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29CC7FB-4B7A-481E-BA57-A128CA619789}" xr6:coauthVersionLast="45" xr6:coauthVersionMax="45" xr10:uidLastSave="{00000000-0000-0000-0000-000000000000}"/>
  <bookViews>
    <workbookView xWindow="-120" yWindow="-120" windowWidth="29040" windowHeight="15840" tabRatio="805" xr2:uid="{D990F71D-DC9A-419F-912C-4DA187BB7ABE}"/>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37" i="183" l="1"/>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38" i="183" l="1"/>
  <c r="A15" i="183"/>
  <c r="D82" i="36" l="1"/>
  <c r="F138" i="183"/>
  <c r="E1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B108" i="106"/>
  <c r="D108" i="106" s="1"/>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B156" i="106"/>
  <c r="D156" i="106" s="1"/>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3" i="106"/>
  <c r="D6143" i="106" s="1"/>
  <c r="B6145" i="106"/>
  <c r="D6145"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33" i="118"/>
  <c r="L22" i="37"/>
  <c r="B2836" i="106" l="1"/>
  <c r="D2836" i="106" s="1"/>
  <c r="D22" i="37"/>
  <c r="D24" i="37"/>
  <c r="B4270" i="106" s="1"/>
  <c r="D4270" i="106" s="1"/>
  <c r="H28"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K28" i="118" l="1"/>
  <c r="O27" i="118" s="1"/>
  <c r="O29" i="118"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H310" i="29" l="1"/>
  <c r="B7115" i="106" s="1"/>
  <c r="D7115" i="106" s="1"/>
  <c r="B7106" i="106"/>
  <c r="D7106" i="106" s="1"/>
  <c r="B2957" i="106"/>
  <c r="D2957" i="106" s="1"/>
  <c r="B4945" i="106"/>
  <c r="D4945" i="106" s="1"/>
  <c r="B7268" i="106"/>
  <c r="B6152" i="106"/>
  <c r="D6152" i="106" s="1"/>
  <c r="B6715" i="106"/>
  <c r="D6715" i="106" s="1"/>
  <c r="B1363" i="106"/>
  <c r="D1363" i="106" s="1"/>
  <c r="B4345" i="106"/>
  <c r="D4345" i="106" s="1"/>
  <c r="B2999" i="106"/>
  <c r="D2999" i="106" s="1"/>
  <c r="B4230" i="106"/>
  <c r="D4230" i="106" s="1"/>
  <c r="B845" i="106"/>
  <c r="D845" i="106" s="1"/>
  <c r="B4355" i="106"/>
  <c r="D4355" i="106" s="1"/>
  <c r="B3578" i="106"/>
  <c r="D3578" i="106" s="1"/>
  <c r="B6164" i="106"/>
  <c r="D6164" i="106" s="1"/>
  <c r="B4334" i="106"/>
  <c r="D4334" i="106" s="1"/>
  <c r="B5431" i="106"/>
  <c r="D5431" i="106" s="1"/>
  <c r="D204" i="5"/>
  <c r="B5444" i="106" s="1"/>
  <c r="D5444" i="106" s="1"/>
  <c r="B6946" i="106"/>
  <c r="D6946" i="106" s="1"/>
  <c r="B6137" i="106"/>
  <c r="D6137" i="106" s="1"/>
  <c r="B5755" i="106"/>
  <c r="D5755" i="106" s="1"/>
  <c r="B863" i="106"/>
  <c r="D863" i="106" s="1"/>
  <c r="F103" i="34"/>
  <c r="B7840" i="106" s="1"/>
  <c r="D7840" i="106" s="1"/>
  <c r="B5115" i="106"/>
  <c r="D5115" i="106" s="1"/>
  <c r="B6255" i="106"/>
  <c r="D6255" i="106" s="1"/>
  <c r="B4377" i="106"/>
  <c r="D4377" i="106" s="1"/>
  <c r="B6345" i="106"/>
  <c r="D6345" i="106" s="1"/>
  <c r="B4190" i="106"/>
  <c r="D4190" i="106" s="1"/>
  <c r="B6780" i="106"/>
  <c r="D6780" i="106" s="1"/>
  <c r="B4408" i="106"/>
  <c r="D4408" i="106" s="1"/>
  <c r="B6294" i="106"/>
  <c r="D6294" i="106" s="1"/>
  <c r="K7" i="29"/>
  <c r="B6727" i="106"/>
  <c r="D6727" i="106" s="1"/>
  <c r="D12" i="5"/>
  <c r="B5328" i="106"/>
  <c r="D5328" i="106" s="1"/>
  <c r="B5" i="7"/>
  <c r="K22" i="29"/>
  <c r="B6880" i="106"/>
  <c r="D6880" i="106" s="1"/>
  <c r="D36" i="36"/>
  <c r="B3417" i="106"/>
  <c r="D3417" i="106" s="1"/>
  <c r="E13" i="3"/>
  <c r="B131" i="106" s="1"/>
  <c r="D131" i="106" s="1"/>
  <c r="B975" i="106"/>
  <c r="D975" i="106" s="1"/>
  <c r="B1315" i="106"/>
  <c r="D1315" i="106" s="1"/>
  <c r="D69" i="36"/>
  <c r="K170" i="29"/>
  <c r="B3055" i="106"/>
  <c r="D3055" i="106" s="1"/>
  <c r="K10" i="29"/>
  <c r="B3062" i="106" s="1"/>
  <c r="D3062" i="106" s="1"/>
  <c r="B6249" i="106"/>
  <c r="D6249" i="106" s="1"/>
  <c r="B6661" i="106"/>
  <c r="D6661" i="106" s="1"/>
  <c r="B5164" i="106"/>
  <c r="D5164" i="106" s="1"/>
  <c r="B6349" i="106"/>
  <c r="D6349" i="106" s="1"/>
  <c r="B6340" i="106"/>
  <c r="D6340" i="106" s="1"/>
  <c r="B3531" i="106"/>
  <c r="D3531" i="106" s="1"/>
  <c r="K7" i="12"/>
  <c r="B6339" i="106"/>
  <c r="D6339" i="106" s="1"/>
  <c r="B2808" i="106"/>
  <c r="D2808" i="106" s="1"/>
  <c r="K145" i="29"/>
  <c r="B2811" i="106" s="1"/>
  <c r="D2811" i="106" s="1"/>
  <c r="J47" i="29"/>
  <c r="B6925" i="106" s="1"/>
  <c r="D6925" i="106" s="1"/>
  <c r="B6919" i="106"/>
  <c r="D6919" i="106" s="1"/>
  <c r="B4327" i="106"/>
  <c r="D4327" i="106" s="1"/>
  <c r="B948" i="106"/>
  <c r="D948" i="106" s="1"/>
  <c r="B7226" i="106"/>
  <c r="D7226" i="106" s="1"/>
  <c r="I350" i="29"/>
  <c r="B6087" i="106"/>
  <c r="D6087" i="106" s="1"/>
  <c r="D184" i="29"/>
  <c r="B4082" i="106"/>
  <c r="D4082" i="106" s="1"/>
  <c r="B6257" i="106"/>
  <c r="D6257" i="106" s="1"/>
  <c r="B3259" i="106"/>
  <c r="D3259" i="106" s="1"/>
  <c r="G76" i="4"/>
  <c r="B3260" i="106" s="1"/>
  <c r="D3260" i="106" s="1"/>
  <c r="B6768" i="106"/>
  <c r="D6768" i="106" s="1"/>
  <c r="B7766" i="106"/>
  <c r="D7766" i="106" s="1"/>
  <c r="B7690" i="106"/>
  <c r="D7690" i="106" s="1"/>
  <c r="B5853" i="106"/>
  <c r="D5853" i="106" s="1"/>
  <c r="B1372" i="106"/>
  <c r="D1372" i="106" s="1"/>
  <c r="K200" i="29"/>
  <c r="B1384" i="106" s="1"/>
  <c r="D1384" i="106" s="1"/>
  <c r="B6332" i="106"/>
  <c r="D6332" i="106" s="1"/>
  <c r="B4215" i="106"/>
  <c r="D4215" i="106" s="1"/>
  <c r="K63" i="29"/>
  <c r="B742" i="106"/>
  <c r="D742" i="106" s="1"/>
  <c r="B6105" i="106"/>
  <c r="D6105" i="106" s="1"/>
  <c r="B5230" i="106"/>
  <c r="D5230" i="106" s="1"/>
  <c r="F123" i="34"/>
  <c r="C181" i="5"/>
  <c r="B4878" i="106"/>
  <c r="D4878" i="106" s="1"/>
  <c r="B6779" i="106"/>
  <c r="D6779" i="106" s="1"/>
  <c r="B6147" i="106"/>
  <c r="D6147" i="106" s="1"/>
  <c r="F72" i="29"/>
  <c r="B927" i="106" s="1"/>
  <c r="D927" i="106" s="1"/>
  <c r="B920" i="106"/>
  <c r="D920" i="106" s="1"/>
  <c r="B1235" i="106"/>
  <c r="D1235" i="106" s="1"/>
  <c r="E127" i="29"/>
  <c r="B1239" i="106" s="1"/>
  <c r="D1239" i="106" s="1"/>
  <c r="K236" i="29"/>
  <c r="B1479" i="106" s="1"/>
  <c r="D1479" i="106" s="1"/>
  <c r="B1415" i="106"/>
  <c r="D1415" i="106" s="1"/>
  <c r="B7161" i="106"/>
  <c r="D7161" i="106" s="1"/>
  <c r="B7167" i="106"/>
  <c r="D7167" i="106" s="1"/>
  <c r="L229" i="29"/>
  <c r="C34" i="3"/>
  <c r="B91" i="106" s="1"/>
  <c r="D91" i="106" s="1"/>
  <c r="B6125" i="106"/>
  <c r="D6125" i="106" s="1"/>
  <c r="B6849" i="106"/>
  <c r="D6849" i="106" s="1"/>
  <c r="D68" i="36"/>
  <c r="B323" i="106"/>
  <c r="D323" i="106" s="1"/>
  <c r="B1012" i="106"/>
  <c r="D1012" i="106" s="1"/>
  <c r="B4335" i="106"/>
  <c r="D4335" i="106" s="1"/>
  <c r="B4321" i="106"/>
  <c r="D4321" i="106" s="1"/>
  <c r="B7148" i="106"/>
  <c r="D7148" i="106" s="1"/>
  <c r="B2800" i="106"/>
  <c r="D2800" i="106" s="1"/>
  <c r="B3562" i="106"/>
  <c r="D3562" i="106" s="1"/>
  <c r="B6624" i="106"/>
  <c r="D6624" i="106" s="1"/>
  <c r="B7030" i="106"/>
  <c r="D7030" i="106" s="1"/>
  <c r="B6615" i="106"/>
  <c r="D6615" i="106" s="1"/>
  <c r="D252" i="5"/>
  <c r="B6834" i="106" s="1"/>
  <c r="D6834" i="106" s="1"/>
  <c r="I33" i="29"/>
  <c r="B6902" i="106" s="1"/>
  <c r="D6902" i="106" s="1"/>
  <c r="B6844" i="106"/>
  <c r="D6844" i="106" s="1"/>
  <c r="B7158" i="106"/>
  <c r="D7158" i="106" s="1"/>
  <c r="B1341" i="106"/>
  <c r="D1341" i="106" s="1"/>
  <c r="B1236" i="106"/>
  <c r="D1236" i="106" s="1"/>
  <c r="K278" i="29"/>
  <c r="B1509" i="106" s="1"/>
  <c r="D1509" i="106" s="1"/>
  <c r="B1445" i="106"/>
  <c r="D1445" i="106" s="1"/>
  <c r="B5672" i="106"/>
  <c r="D5672" i="106" s="1"/>
  <c r="B6394" i="106"/>
  <c r="D6394" i="106" s="1"/>
  <c r="G53" i="29"/>
  <c r="B966" i="106" s="1"/>
  <c r="D966" i="106" s="1"/>
  <c r="B964" i="106"/>
  <c r="D964" i="106" s="1"/>
  <c r="B5876" i="106"/>
  <c r="D5876" i="106" s="1"/>
  <c r="B2725" i="106"/>
  <c r="D2725" i="106" s="1"/>
  <c r="K247" i="29"/>
  <c r="B2726" i="106" s="1"/>
  <c r="D2726" i="106" s="1"/>
  <c r="B6629" i="106"/>
  <c r="D6629" i="106" s="1"/>
  <c r="K364" i="29"/>
  <c r="B7746" i="106" s="1"/>
  <c r="D7746" i="106" s="1"/>
  <c r="B7745" i="106"/>
  <c r="D7745" i="106" s="1"/>
  <c r="B4356" i="106"/>
  <c r="D4356" i="106" s="1"/>
  <c r="B6308" i="106"/>
  <c r="D6308" i="106" s="1"/>
  <c r="B3058" i="106"/>
  <c r="D3058" i="106" s="1"/>
  <c r="B7173" i="106"/>
  <c r="D7173" i="106" s="1"/>
  <c r="B6673" i="106"/>
  <c r="D6673" i="106" s="1"/>
  <c r="B6823" i="106"/>
  <c r="D6823" i="106" s="1"/>
  <c r="K144" i="29"/>
  <c r="B2810" i="106" s="1"/>
  <c r="D2810" i="106" s="1"/>
  <c r="B2807" i="106"/>
  <c r="D2807" i="106" s="1"/>
  <c r="B7816" i="106"/>
  <c r="D7816" i="106" s="1"/>
  <c r="B6296" i="106"/>
  <c r="D6296" i="106" s="1"/>
  <c r="B206" i="106"/>
  <c r="D206" i="106" s="1"/>
  <c r="F184" i="29"/>
  <c r="B4084" i="106"/>
  <c r="D4084" i="106" s="1"/>
  <c r="B5089" i="106"/>
  <c r="D5089" i="106" s="1"/>
  <c r="C67" i="5"/>
  <c r="B5090" i="106" s="1"/>
  <c r="D5090" i="106" s="1"/>
  <c r="B5187" i="106"/>
  <c r="D5187" i="106" s="1"/>
  <c r="F114" i="34"/>
  <c r="B7848" i="106" s="1"/>
  <c r="D7848" i="106" s="1"/>
  <c r="B6365" i="106"/>
  <c r="D6365" i="106" s="1"/>
  <c r="B7684" i="106"/>
  <c r="D7684" i="106" s="1"/>
  <c r="B5575" i="106"/>
  <c r="D5575" i="106" s="1"/>
  <c r="F93" i="34"/>
  <c r="B6714" i="106"/>
  <c r="D6714" i="106" s="1"/>
  <c r="B6150" i="106"/>
  <c r="D6150" i="106" s="1"/>
  <c r="E40" i="4"/>
  <c r="B6288" i="106" s="1"/>
  <c r="D6288" i="106" s="1"/>
  <c r="B6248" i="106"/>
  <c r="D6248" i="106" s="1"/>
  <c r="B6872" i="106"/>
  <c r="D6872" i="106" s="1"/>
  <c r="B6749" i="106"/>
  <c r="D6749" i="106" s="1"/>
  <c r="K12" i="5"/>
  <c r="B12" i="7"/>
  <c r="B5985" i="106"/>
  <c r="D5985" i="106" s="1"/>
  <c r="B6151" i="106"/>
  <c r="D6151" i="106" s="1"/>
  <c r="E172" i="29"/>
  <c r="K171" i="29"/>
  <c r="B1330" i="106" s="1"/>
  <c r="D1330" i="106" s="1"/>
  <c r="B1307" i="106"/>
  <c r="D1307" i="106" s="1"/>
  <c r="B1402" i="106"/>
  <c r="D1402" i="106" s="1"/>
  <c r="K227" i="29"/>
  <c r="B1466" i="106" s="1"/>
  <c r="D1466" i="106" s="1"/>
  <c r="C175" i="5"/>
  <c r="B5225" i="106" s="1"/>
  <c r="D5225" i="106" s="1"/>
  <c r="B5224" i="106"/>
  <c r="D5224" i="106" s="1"/>
  <c r="B1046" i="106"/>
  <c r="D1046" i="106" s="1"/>
  <c r="B5317" i="106"/>
  <c r="D5317" i="106" s="1"/>
  <c r="F164" i="34"/>
  <c r="B7871" i="106" s="1"/>
  <c r="D7871" i="106" s="1"/>
  <c r="B880" i="106"/>
  <c r="D880" i="106" s="1"/>
  <c r="B7150" i="106"/>
  <c r="D7150" i="106" s="1"/>
  <c r="B6664" i="106"/>
  <c r="D6664" i="106" s="1"/>
  <c r="B6801" i="106"/>
  <c r="D6801" i="106" s="1"/>
  <c r="F154" i="34"/>
  <c r="B6671" i="106"/>
  <c r="D6671" i="106" s="1"/>
  <c r="B2801" i="106"/>
  <c r="D2801" i="106" s="1"/>
  <c r="B6180" i="106"/>
  <c r="D6180" i="106" s="1"/>
  <c r="K135" i="29"/>
  <c r="B2987" i="106" s="1"/>
  <c r="D2987" i="106" s="1"/>
  <c r="B4200" i="106"/>
  <c r="D4200" i="106" s="1"/>
  <c r="B870" i="106"/>
  <c r="D870" i="106" s="1"/>
  <c r="B324" i="106"/>
  <c r="D324" i="106" s="1"/>
  <c r="B6657" i="106"/>
  <c r="D6657" i="106" s="1"/>
  <c r="C40" i="5"/>
  <c r="B5087" i="106" s="1"/>
  <c r="D5087" i="106" s="1"/>
  <c r="B5072" i="106"/>
  <c r="D5072" i="106" s="1"/>
  <c r="B1244" i="106"/>
  <c r="D1244" i="106" s="1"/>
  <c r="B5885" i="106"/>
  <c r="D5885" i="106" s="1"/>
  <c r="B166" i="106"/>
  <c r="D166" i="106" s="1"/>
  <c r="B6694" i="106"/>
  <c r="D6694" i="106" s="1"/>
  <c r="B5727" i="106"/>
  <c r="D5727" i="106" s="1"/>
  <c r="B5697" i="106"/>
  <c r="D5697" i="106" s="1"/>
  <c r="B7682" i="106"/>
  <c r="D7682" i="106" s="1"/>
  <c r="B2880" i="106"/>
  <c r="D2880" i="106" s="1"/>
  <c r="B3490" i="106"/>
  <c r="D3490" i="106" s="1"/>
  <c r="F134" i="34"/>
  <c r="B6622" i="106"/>
  <c r="D6622" i="106" s="1"/>
  <c r="B1270" i="106"/>
  <c r="D1270" i="106" s="1"/>
  <c r="K146" i="29"/>
  <c r="B1285" i="106" s="1"/>
  <c r="D1285" i="106" s="1"/>
  <c r="B7248" i="106"/>
  <c r="D7248" i="106" s="1"/>
  <c r="B6092" i="106"/>
  <c r="D6092" i="106" s="1"/>
  <c r="J67" i="5"/>
  <c r="B6318" i="106" s="1"/>
  <c r="D6318" i="106" s="1"/>
  <c r="B6316" i="106"/>
  <c r="D6316" i="106" s="1"/>
  <c r="C217" i="5"/>
  <c r="B5286" i="106" s="1"/>
  <c r="D5286" i="106" s="1"/>
  <c r="B5274" i="106"/>
  <c r="D5274" i="106" s="1"/>
  <c r="K122" i="29"/>
  <c r="B1219" i="106"/>
  <c r="D1219" i="106" s="1"/>
  <c r="C127" i="29"/>
  <c r="B1223" i="106" s="1"/>
  <c r="D1223" i="106" s="1"/>
  <c r="B6861" i="106"/>
  <c r="D6861" i="106" s="1"/>
  <c r="B4393" i="106"/>
  <c r="D4393" i="106" s="1"/>
  <c r="B5728" i="106"/>
  <c r="D5728" i="106" s="1"/>
  <c r="B7256" i="106"/>
  <c r="D7256" i="106" s="1"/>
  <c r="B6803" i="106"/>
  <c r="D6803" i="106" s="1"/>
  <c r="B1350" i="106"/>
  <c r="D1350" i="106" s="1"/>
  <c r="F161" i="34"/>
  <c r="B7868" i="106" s="1"/>
  <c r="D7868" i="106" s="1"/>
  <c r="B5312" i="106"/>
  <c r="D5312" i="106" s="1"/>
  <c r="B5067" i="106"/>
  <c r="D5067" i="106" s="1"/>
  <c r="C18" i="5"/>
  <c r="B5071" i="106" s="1"/>
  <c r="D5071" i="106" s="1"/>
  <c r="F18" i="5"/>
  <c r="B5562" i="106" s="1"/>
  <c r="D5562" i="106" s="1"/>
  <c r="B5558" i="106"/>
  <c r="D5558" i="106" s="1"/>
  <c r="B6820" i="106"/>
  <c r="D6820" i="106" s="1"/>
  <c r="B4761" i="106"/>
  <c r="D4761" i="106" s="1"/>
  <c r="F104" i="34"/>
  <c r="B7841" i="106" s="1"/>
  <c r="D7841" i="106" s="1"/>
  <c r="B7259" i="106"/>
  <c r="B4801" i="106"/>
  <c r="D4801" i="106" s="1"/>
  <c r="B3485" i="106"/>
  <c r="D3485" i="106" s="1"/>
  <c r="B6639" i="106"/>
  <c r="D6639" i="106" s="1"/>
  <c r="B1534" i="106"/>
  <c r="D1534" i="106" s="1"/>
  <c r="B6167" i="106"/>
  <c r="D6167" i="106" s="1"/>
  <c r="D78" i="36"/>
  <c r="C18" i="4"/>
  <c r="B4131" i="106" s="1"/>
  <c r="D4131" i="106" s="1"/>
  <c r="B4113" i="106"/>
  <c r="D4113" i="106" s="1"/>
  <c r="B179" i="106"/>
  <c r="D179" i="106" s="1"/>
  <c r="B6083" i="106"/>
  <c r="D6083" i="106" s="1"/>
  <c r="B6816" i="106"/>
  <c r="D6816" i="106" s="1"/>
  <c r="B6341" i="106"/>
  <c r="D6341" i="106" s="1"/>
  <c r="B4309" i="106"/>
  <c r="D4309" i="106" s="1"/>
  <c r="L147" i="29"/>
  <c r="L149" i="29"/>
  <c r="B5094" i="106"/>
  <c r="D5094" i="106" s="1"/>
  <c r="K222" i="29"/>
  <c r="B1471" i="106" s="1"/>
  <c r="D1471" i="106" s="1"/>
  <c r="B1407" i="106"/>
  <c r="D1407" i="106" s="1"/>
  <c r="B6299" i="106"/>
  <c r="D6299" i="106" s="1"/>
  <c r="K90" i="29"/>
  <c r="B6992" i="106" s="1"/>
  <c r="D6992" i="106" s="1"/>
  <c r="B6991" i="106"/>
  <c r="D6991" i="106" s="1"/>
  <c r="B915" i="106"/>
  <c r="D915" i="106" s="1"/>
  <c r="F157" i="34"/>
  <c r="B6825" i="106"/>
  <c r="D6825" i="106" s="1"/>
  <c r="B1354" i="106"/>
  <c r="D1354" i="106" s="1"/>
  <c r="B6701" i="106"/>
  <c r="D6701" i="106" s="1"/>
  <c r="B6908" i="106"/>
  <c r="D6908" i="106" s="1"/>
  <c r="B1254" i="106"/>
  <c r="D1254" i="106" s="1"/>
  <c r="K126" i="29"/>
  <c r="B1277" i="106" s="1"/>
  <c r="D1277" i="106" s="1"/>
  <c r="B6142" i="106"/>
  <c r="D6142" i="106" s="1"/>
  <c r="K288" i="29"/>
  <c r="H293" i="29"/>
  <c r="B1449" i="106"/>
  <c r="D1449" i="106" s="1"/>
  <c r="B6802" i="106"/>
  <c r="D6802" i="106" s="1"/>
  <c r="B5391" i="106"/>
  <c r="D5391" i="106" s="1"/>
  <c r="D155" i="5"/>
  <c r="B5394" i="106" s="1"/>
  <c r="D5394" i="106" s="1"/>
  <c r="B944" i="106"/>
  <c r="D944" i="106" s="1"/>
  <c r="B5091" i="106"/>
  <c r="D5091" i="106" s="1"/>
  <c r="B6374" i="106"/>
  <c r="D6374" i="106" s="1"/>
  <c r="K169" i="5"/>
  <c r="B5000" i="106" s="1"/>
  <c r="D5000" i="106" s="1"/>
  <c r="B6985" i="106"/>
  <c r="D6985" i="106" s="1"/>
  <c r="K87" i="29"/>
  <c r="B6986" i="106" s="1"/>
  <c r="D6986" i="106" s="1"/>
  <c r="D122" i="5"/>
  <c r="B5367" i="106" s="1"/>
  <c r="D5367" i="106" s="1"/>
  <c r="B5361" i="106"/>
  <c r="D5361" i="106" s="1"/>
  <c r="K26" i="29"/>
  <c r="B6888" i="106"/>
  <c r="D6888" i="106" s="1"/>
  <c r="B6309" i="106"/>
  <c r="D6309" i="106" s="1"/>
  <c r="B2960" i="106"/>
  <c r="D2960" i="106" s="1"/>
  <c r="B5997" i="106"/>
  <c r="D5997" i="106" s="1"/>
  <c r="B7675" i="106"/>
  <c r="D7675" i="106" s="1"/>
  <c r="B839" i="106"/>
  <c r="D839" i="106" s="1"/>
  <c r="B5617" i="106"/>
  <c r="D5617" i="106" s="1"/>
  <c r="H34" i="3"/>
  <c r="B211" i="106" s="1"/>
  <c r="D211" i="106" s="1"/>
  <c r="B6130" i="106"/>
  <c r="D6130" i="106" s="1"/>
  <c r="F23" i="34"/>
  <c r="B5571" i="106"/>
  <c r="D5571" i="106" s="1"/>
  <c r="K41" i="29"/>
  <c r="B1114" i="106" s="1"/>
  <c r="D1114" i="106" s="1"/>
  <c r="B726" i="106"/>
  <c r="D726" i="106" s="1"/>
  <c r="B15" i="7"/>
  <c r="B5332" i="106"/>
  <c r="D5332" i="106" s="1"/>
  <c r="B7659" i="106"/>
  <c r="D7659" i="106" s="1"/>
  <c r="B4811" i="106"/>
  <c r="D4811" i="106" s="1"/>
  <c r="B6091" i="106"/>
  <c r="D6091" i="106" s="1"/>
  <c r="B4370" i="106"/>
  <c r="D4370" i="106" s="1"/>
  <c r="B7186" i="106"/>
  <c r="D7186" i="106" s="1"/>
  <c r="B5358" i="106"/>
  <c r="D5358" i="106" s="1"/>
  <c r="B6754" i="106"/>
  <c r="D6754" i="106" s="1"/>
  <c r="B6812" i="106"/>
  <c r="D6812" i="106" s="1"/>
  <c r="B5798" i="106"/>
  <c r="D5798" i="106" s="1"/>
  <c r="B5572" i="106"/>
  <c r="D5572" i="106" s="1"/>
  <c r="F90" i="34"/>
  <c r="B6717" i="106"/>
  <c r="D6717" i="106" s="1"/>
  <c r="B4949" i="106"/>
  <c r="D4949" i="106" s="1"/>
  <c r="B6322" i="106"/>
  <c r="D6322" i="106" s="1"/>
  <c r="B6690" i="106"/>
  <c r="D6690" i="106" s="1"/>
  <c r="F143" i="34"/>
  <c r="B7073" i="106"/>
  <c r="D7073" i="106" s="1"/>
  <c r="K216" i="29"/>
  <c r="B5069" i="106"/>
  <c r="D5069" i="106" s="1"/>
  <c r="B6958" i="106"/>
  <c r="D6958" i="106" s="1"/>
  <c r="B5821" i="106"/>
  <c r="D5821" i="106" s="1"/>
  <c r="B6333" i="106"/>
  <c r="D6333" i="106" s="1"/>
  <c r="B3275" i="106"/>
  <c r="D3275" i="106" s="1"/>
  <c r="B6758" i="106"/>
  <c r="D6758" i="106" s="1"/>
  <c r="B6642" i="106"/>
  <c r="D6642" i="106" s="1"/>
  <c r="F137" i="34"/>
  <c r="B6293" i="106"/>
  <c r="D6293" i="106" s="1"/>
  <c r="K348" i="29"/>
  <c r="B3617" i="106"/>
  <c r="D3617" i="106" s="1"/>
  <c r="C350" i="29"/>
  <c r="K274" i="29"/>
  <c r="B1503" i="106" s="1"/>
  <c r="D1503" i="106" s="1"/>
  <c r="B1439" i="106"/>
  <c r="D1439" i="106" s="1"/>
  <c r="B979" i="106"/>
  <c r="D979" i="106" s="1"/>
  <c r="K349" i="29"/>
  <c r="B3669" i="106" s="1"/>
  <c r="D3669" i="106" s="1"/>
  <c r="B3618" i="106"/>
  <c r="D3618" i="106" s="1"/>
  <c r="B4312" i="106"/>
  <c r="D4312" i="106" s="1"/>
  <c r="B798" i="106"/>
  <c r="D798" i="106" s="1"/>
  <c r="K108" i="29"/>
  <c r="B2796" i="106" s="1"/>
  <c r="D2796" i="106" s="1"/>
  <c r="B2792" i="106"/>
  <c r="D2792" i="106" s="1"/>
  <c r="B6141" i="106"/>
  <c r="D6141" i="106" s="1"/>
  <c r="B1409" i="106"/>
  <c r="D1409" i="106" s="1"/>
  <c r="K224" i="29"/>
  <c r="B5127" i="106"/>
  <c r="D5127" i="106" s="1"/>
  <c r="B6692" i="106"/>
  <c r="D6692" i="106" s="1"/>
  <c r="B5374" i="106"/>
  <c r="D5374" i="106" s="1"/>
  <c r="B949" i="106"/>
  <c r="D949" i="106" s="1"/>
  <c r="B5765" i="106"/>
  <c r="D5765" i="106" s="1"/>
  <c r="C65" i="29"/>
  <c r="B745" i="106" s="1"/>
  <c r="D745" i="106" s="1"/>
  <c r="K59" i="29"/>
  <c r="B738" i="106"/>
  <c r="D738" i="106" s="1"/>
  <c r="B7731" i="106"/>
  <c r="D7731" i="106" s="1"/>
  <c r="B7699" i="106"/>
  <c r="D7699" i="106" s="1"/>
  <c r="B6830" i="106"/>
  <c r="D6830" i="106" s="1"/>
  <c r="B858" i="106"/>
  <c r="D858" i="106" s="1"/>
  <c r="B4217" i="106"/>
  <c r="D4217" i="106" s="1"/>
  <c r="B6702" i="106"/>
  <c r="D6702" i="106" s="1"/>
  <c r="B1262" i="106"/>
  <c r="D1262" i="106" s="1"/>
  <c r="F32" i="34"/>
  <c r="B7825" i="106" s="1"/>
  <c r="D7825" i="106" s="1"/>
  <c r="B5459" i="106"/>
  <c r="D5459" i="106" s="1"/>
  <c r="B5124" i="106"/>
  <c r="D5124" i="106" s="1"/>
  <c r="B6936" i="106"/>
  <c r="D6936" i="106" s="1"/>
  <c r="B7662" i="106"/>
  <c r="D7662" i="106" s="1"/>
  <c r="B7753" i="106"/>
  <c r="D7753" i="106" s="1"/>
  <c r="B978" i="106"/>
  <c r="D978" i="106" s="1"/>
  <c r="G72" i="29"/>
  <c r="B985" i="106" s="1"/>
  <c r="D985" i="106" s="1"/>
  <c r="C75" i="5"/>
  <c r="B6031" i="106"/>
  <c r="D6031" i="106" s="1"/>
  <c r="B6136" i="106"/>
  <c r="D6136" i="106" s="1"/>
  <c r="L243" i="29"/>
  <c r="B6761" i="106"/>
  <c r="D6761" i="106" s="1"/>
  <c r="F149" i="34"/>
  <c r="B6741" i="106"/>
  <c r="D6741" i="106" s="1"/>
  <c r="B788" i="106"/>
  <c r="D788" i="106" s="1"/>
  <c r="B4802" i="106"/>
  <c r="D4802" i="106" s="1"/>
  <c r="B5989" i="106"/>
  <c r="D5989" i="106" s="1"/>
  <c r="B5785" i="106"/>
  <c r="D5785" i="106" s="1"/>
  <c r="G188" i="5"/>
  <c r="B7703" i="106"/>
  <c r="D7703" i="106" s="1"/>
  <c r="D12" i="171"/>
  <c r="B5123" i="106"/>
  <c r="D5123" i="106" s="1"/>
  <c r="B5724" i="106"/>
  <c r="D5724" i="106" s="1"/>
  <c r="B6094" i="106"/>
  <c r="D6094" i="106" s="1"/>
  <c r="B4797" i="106"/>
  <c r="D4797" i="106" s="1"/>
  <c r="B5872" i="106"/>
  <c r="D5872" i="106" s="1"/>
  <c r="B6260" i="106"/>
  <c r="D6260" i="106" s="1"/>
  <c r="B6911" i="106"/>
  <c r="D6911" i="106" s="1"/>
  <c r="B7676" i="106"/>
  <c r="D7676" i="106" s="1"/>
  <c r="B1020" i="106"/>
  <c r="D1020" i="106" s="1"/>
  <c r="B6165" i="106"/>
  <c r="D6165" i="106" s="1"/>
  <c r="B5692" i="106"/>
  <c r="D5692" i="106" s="1"/>
  <c r="B6259" i="106"/>
  <c r="D6259" i="106" s="1"/>
  <c r="K248" i="29"/>
  <c r="B7082" i="106" s="1"/>
  <c r="D7082" i="106" s="1"/>
  <c r="B7081" i="106"/>
  <c r="D7081" i="106" s="1"/>
  <c r="B3657" i="106"/>
  <c r="D3657" i="106" s="1"/>
  <c r="H362" i="29"/>
  <c r="K360" i="29"/>
  <c r="B4333" i="106"/>
  <c r="D4333" i="106" s="1"/>
  <c r="B7775" i="106"/>
  <c r="D7775" i="106" s="1"/>
  <c r="H137" i="29"/>
  <c r="K56" i="29"/>
  <c r="B736" i="106"/>
  <c r="D736" i="106" s="1"/>
  <c r="B5139" i="106"/>
  <c r="D5139" i="106" s="1"/>
  <c r="B5401" i="106"/>
  <c r="D5401" i="106" s="1"/>
  <c r="B6348" i="106"/>
  <c r="D6348" i="106" s="1"/>
  <c r="B3057" i="106"/>
  <c r="D3057" i="106" s="1"/>
  <c r="B6172" i="106"/>
  <c r="D6172" i="106" s="1"/>
  <c r="B7639" i="106"/>
  <c r="B6117" i="106"/>
  <c r="D6117" i="106" s="1"/>
  <c r="B5604" i="106"/>
  <c r="D5604" i="106" s="1"/>
  <c r="B6183" i="106"/>
  <c r="D6183" i="106" s="1"/>
  <c r="B6153" i="106"/>
  <c r="D6153" i="106" s="1"/>
  <c r="B7673" i="106"/>
  <c r="D7673" i="106" s="1"/>
  <c r="B6813" i="106"/>
  <c r="D6813" i="106" s="1"/>
  <c r="B5822" i="106"/>
  <c r="D5822" i="106" s="1"/>
  <c r="B896" i="106"/>
  <c r="D896" i="106" s="1"/>
  <c r="E65" i="29"/>
  <c r="B861" i="106" s="1"/>
  <c r="D861" i="106" s="1"/>
  <c r="B854" i="106"/>
  <c r="D854" i="106" s="1"/>
  <c r="B7194" i="106"/>
  <c r="D7194" i="106" s="1"/>
  <c r="B4180" i="106"/>
  <c r="D4180" i="106" s="1"/>
  <c r="B7101" i="106"/>
  <c r="D7101" i="106" s="1"/>
  <c r="B3369" i="106"/>
  <c r="D3369" i="106" s="1"/>
  <c r="B6237" i="106"/>
  <c r="D6237" i="106" s="1"/>
  <c r="B325" i="106"/>
  <c r="D325" i="106" s="1"/>
  <c r="B5078" i="106"/>
  <c r="D5078" i="106" s="1"/>
  <c r="B7264" i="106"/>
  <c r="B3561" i="106"/>
  <c r="D3561" i="106" s="1"/>
  <c r="B4078" i="106"/>
  <c r="D4078" i="106" s="1"/>
  <c r="B6173" i="106"/>
  <c r="D6173" i="106" s="1"/>
  <c r="B6700" i="106"/>
  <c r="D6700" i="106" s="1"/>
  <c r="B5498" i="106"/>
  <c r="D5498" i="106" s="1"/>
  <c r="B7035" i="106"/>
  <c r="D7035" i="106" s="1"/>
  <c r="B6875" i="106"/>
  <c r="D6875" i="106" s="1"/>
  <c r="D33" i="29"/>
  <c r="B778" i="106" s="1"/>
  <c r="D778" i="106" s="1"/>
  <c r="B763" i="106"/>
  <c r="D763" i="106" s="1"/>
  <c r="B6905" i="106"/>
  <c r="D6905" i="106" s="1"/>
  <c r="J42" i="29"/>
  <c r="B5395" i="106"/>
  <c r="D5395" i="106" s="1"/>
  <c r="B4086" i="106"/>
  <c r="D4086" i="106" s="1"/>
  <c r="H184" i="29"/>
  <c r="B1370" i="106" s="1"/>
  <c r="D1370" i="106" s="1"/>
  <c r="B3228" i="106"/>
  <c r="D3228" i="106" s="1"/>
  <c r="B904" i="106"/>
  <c r="D904" i="106" s="1"/>
  <c r="K12" i="29"/>
  <c r="B716" i="106"/>
  <c r="D716" i="106" s="1"/>
  <c r="B4394" i="106"/>
  <c r="D4394" i="106" s="1"/>
  <c r="B3653" i="106"/>
  <c r="D3653" i="106" s="1"/>
  <c r="B6951" i="106"/>
  <c r="D6951" i="106" s="1"/>
  <c r="J65" i="29"/>
  <c r="B6962" i="106" s="1"/>
  <c r="D6962" i="106" s="1"/>
  <c r="E175" i="5"/>
  <c r="B4372" i="106" s="1"/>
  <c r="D4372" i="106" s="1"/>
  <c r="B4364" i="106"/>
  <c r="D4364" i="106" s="1"/>
  <c r="B6810" i="106"/>
  <c r="D6810" i="106" s="1"/>
  <c r="B1023" i="106"/>
  <c r="D1023" i="106" s="1"/>
  <c r="B5106" i="106"/>
  <c r="D5106" i="106" s="1"/>
  <c r="F98" i="34"/>
  <c r="H350" i="29"/>
  <c r="B3652" i="106"/>
  <c r="D3652" i="106" s="1"/>
  <c r="B7159" i="106"/>
  <c r="D7159" i="106" s="1"/>
  <c r="B5142" i="106"/>
  <c r="D5142" i="106" s="1"/>
  <c r="D209" i="5"/>
  <c r="B4412" i="106" s="1"/>
  <c r="D4412" i="106" s="1"/>
  <c r="B5440" i="106"/>
  <c r="D5440" i="106" s="1"/>
  <c r="B6111" i="106"/>
  <c r="D6111" i="106" s="1"/>
  <c r="B962" i="106"/>
  <c r="D962" i="106" s="1"/>
  <c r="C330" i="29"/>
  <c r="B7118" i="106"/>
  <c r="D7118" i="106" s="1"/>
  <c r="K319" i="29"/>
  <c r="F132" i="5"/>
  <c r="B5600" i="106"/>
  <c r="D5600" i="106" s="1"/>
  <c r="B4201" i="106"/>
  <c r="D4201" i="106" s="1"/>
  <c r="K136" i="29"/>
  <c r="B2988" i="106" s="1"/>
  <c r="D2988" i="106" s="1"/>
  <c r="B3577" i="106"/>
  <c r="D3577" i="106" s="1"/>
  <c r="B6784" i="106"/>
  <c r="D6784" i="106" s="1"/>
  <c r="B5855" i="106"/>
  <c r="D5855" i="106" s="1"/>
  <c r="B7165" i="106"/>
  <c r="D7165" i="106" s="1"/>
  <c r="B5512" i="106"/>
  <c r="D5512" i="106" s="1"/>
  <c r="B3486" i="106"/>
  <c r="D3486" i="106" s="1"/>
  <c r="B5153" i="106"/>
  <c r="D5153" i="106" s="1"/>
  <c r="B6721" i="106"/>
  <c r="D6721" i="106" s="1"/>
  <c r="B6176" i="106"/>
  <c r="D6176" i="106" s="1"/>
  <c r="B6360" i="106"/>
  <c r="D6360" i="106" s="1"/>
  <c r="B6855" i="106"/>
  <c r="D6855" i="106" s="1"/>
  <c r="B7810" i="106"/>
  <c r="D7810" i="106" s="1"/>
  <c r="B6630" i="106"/>
  <c r="D6630" i="106" s="1"/>
  <c r="B6246" i="106"/>
  <c r="D6246" i="106" s="1"/>
  <c r="E39" i="4"/>
  <c r="B6287" i="106" s="1"/>
  <c r="D6287" i="106" s="1"/>
  <c r="B6159" i="106"/>
  <c r="D6159" i="106" s="1"/>
  <c r="E330" i="29"/>
  <c r="B7120" i="106"/>
  <c r="D7120" i="106" s="1"/>
  <c r="B6085" i="106"/>
  <c r="D6085" i="106" s="1"/>
  <c r="E137" i="29"/>
  <c r="B7774" i="106"/>
  <c r="D7774" i="106" s="1"/>
  <c r="K133" i="29"/>
  <c r="B7776" i="106" s="1"/>
  <c r="D7776" i="106" s="1"/>
  <c r="H19" i="118"/>
  <c r="H14" i="118"/>
  <c r="E37" i="4"/>
  <c r="B6285" i="106" s="1"/>
  <c r="D6285" i="106" s="1"/>
  <c r="B6240" i="106"/>
  <c r="D6240" i="106" s="1"/>
  <c r="K272" i="29"/>
  <c r="D277" i="29"/>
  <c r="B1444" i="106" s="1"/>
  <c r="D1444" i="106" s="1"/>
  <c r="B1437" i="106"/>
  <c r="D1437" i="106" s="1"/>
  <c r="B6168" i="106"/>
  <c r="D6168" i="106" s="1"/>
  <c r="B6814" i="106"/>
  <c r="D6814" i="106" s="1"/>
  <c r="B7083" i="106"/>
  <c r="D7083" i="106" s="1"/>
  <c r="K249" i="29"/>
  <c r="B7084" i="106" s="1"/>
  <c r="D7084" i="106" s="1"/>
  <c r="B756" i="106"/>
  <c r="D756" i="106" s="1"/>
  <c r="K75" i="29"/>
  <c r="B6186" i="106"/>
  <c r="D6186" i="106" s="1"/>
  <c r="B4418" i="106"/>
  <c r="D4418" i="106" s="1"/>
  <c r="F165" i="34"/>
  <c r="B7872" i="106" s="1"/>
  <c r="D7872" i="106" s="1"/>
  <c r="B4314" i="106"/>
  <c r="D4314" i="106" s="1"/>
  <c r="K108" i="5"/>
  <c r="B5999" i="106" s="1"/>
  <c r="D5999" i="106" s="1"/>
  <c r="B5996" i="106"/>
  <c r="D5996" i="106" s="1"/>
  <c r="B899" i="106"/>
  <c r="D899" i="106" s="1"/>
  <c r="B6979" i="106"/>
  <c r="D6979" i="106" s="1"/>
  <c r="B7779" i="106"/>
  <c r="D7779" i="106" s="1"/>
  <c r="K158" i="29"/>
  <c r="B7780" i="106" s="1"/>
  <c r="D7780" i="106" s="1"/>
  <c r="B6898" i="106"/>
  <c r="D6898" i="106" s="1"/>
  <c r="K31" i="29"/>
  <c r="B6247" i="106"/>
  <c r="D6247" i="106" s="1"/>
  <c r="H13" i="3"/>
  <c r="B203" i="106" s="1"/>
  <c r="D203" i="106" s="1"/>
  <c r="B3519" i="106"/>
  <c r="D3519" i="106" s="1"/>
  <c r="B5919" i="106"/>
  <c r="D5919" i="106" s="1"/>
  <c r="I18" i="5"/>
  <c r="B5923" i="106" s="1"/>
  <c r="D5923" i="106" s="1"/>
  <c r="B6804" i="106"/>
  <c r="D6804" i="106" s="1"/>
  <c r="B3582" i="106"/>
  <c r="D3582" i="106" s="1"/>
  <c r="B6407" i="106"/>
  <c r="D6407" i="106" s="1"/>
  <c r="K79" i="29"/>
  <c r="B2974" i="106" s="1"/>
  <c r="D2974" i="106" s="1"/>
  <c r="B2950" i="106"/>
  <c r="D2950" i="106" s="1"/>
  <c r="B3273" i="106"/>
  <c r="D3273" i="106" s="1"/>
  <c r="B5344" i="106"/>
  <c r="D5344" i="106" s="1"/>
  <c r="B5242" i="106"/>
  <c r="D5242" i="106" s="1"/>
  <c r="B4118" i="106"/>
  <c r="D4118" i="106" s="1"/>
  <c r="H18" i="4"/>
  <c r="B4134" i="106" s="1"/>
  <c r="D4134" i="106" s="1"/>
  <c r="B88" i="106"/>
  <c r="D88" i="106" s="1"/>
  <c r="L204" i="29"/>
  <c r="L208" i="29" s="1"/>
  <c r="B921" i="106"/>
  <c r="D921" i="106" s="1"/>
  <c r="B7768" i="106"/>
  <c r="D7768" i="106" s="1"/>
  <c r="B5239" i="106"/>
  <c r="D5239" i="106" s="1"/>
  <c r="B3372" i="106"/>
  <c r="D3372" i="106" s="1"/>
  <c r="B4361" i="106"/>
  <c r="D4361" i="106" s="1"/>
  <c r="B1026" i="106"/>
  <c r="D1026" i="106" s="1"/>
  <c r="B1031" i="106"/>
  <c r="D1031" i="106" s="1"/>
  <c r="B6217" i="106"/>
  <c r="D6217" i="106" s="1"/>
  <c r="J13" i="3"/>
  <c r="B6124" i="106" s="1"/>
  <c r="D6124" i="106" s="1"/>
  <c r="D41" i="36"/>
  <c r="G34" i="3"/>
  <c r="B188" i="106" s="1"/>
  <c r="D188" i="106" s="1"/>
  <c r="B6129" i="106"/>
  <c r="D6129" i="106" s="1"/>
  <c r="B5556" i="106"/>
  <c r="D5556" i="106" s="1"/>
  <c r="K159" i="29"/>
  <c r="B7782" i="106" s="1"/>
  <c r="D7782" i="106" s="1"/>
  <c r="B7781" i="106"/>
  <c r="D7781" i="106" s="1"/>
  <c r="B7110" i="106"/>
  <c r="D7110" i="106" s="1"/>
  <c r="K308" i="29"/>
  <c r="B4100" i="106" s="1"/>
  <c r="D4100" i="106" s="1"/>
  <c r="K53" i="4"/>
  <c r="B3703" i="106" s="1"/>
  <c r="D3703" i="106" s="1"/>
  <c r="B3699" i="106"/>
  <c r="D3699" i="106" s="1"/>
  <c r="B4228" i="106"/>
  <c r="D4228" i="106" s="1"/>
  <c r="B892" i="106"/>
  <c r="D892" i="106" s="1"/>
  <c r="B5177" i="106"/>
  <c r="D5177" i="106" s="1"/>
  <c r="B7654" i="106"/>
  <c r="D7654" i="106" s="1"/>
  <c r="B6953" i="106"/>
  <c r="D6953" i="106" s="1"/>
  <c r="B4368" i="106"/>
  <c r="D4368" i="106" s="1"/>
  <c r="K175" i="5"/>
  <c r="B6336" i="106"/>
  <c r="D6336" i="106" s="1"/>
  <c r="H122" i="5"/>
  <c r="B7882" i="106"/>
  <c r="D7882" i="106" s="1"/>
  <c r="B5119" i="106"/>
  <c r="D5119" i="106" s="1"/>
  <c r="B5583" i="106"/>
  <c r="D5583" i="106" s="1"/>
  <c r="F108" i="5"/>
  <c r="B5587" i="106" s="1"/>
  <c r="D5587" i="106" s="1"/>
  <c r="B1416" i="106"/>
  <c r="D1416" i="106" s="1"/>
  <c r="K237" i="29"/>
  <c r="B1480" i="106" s="1"/>
  <c r="D1480" i="106" s="1"/>
  <c r="B1013" i="106"/>
  <c r="D1013" i="106" s="1"/>
  <c r="B6678" i="106"/>
  <c r="D6678" i="106" s="1"/>
  <c r="B5064" i="106"/>
  <c r="D5064" i="106" s="1"/>
  <c r="B17" i="7"/>
  <c r="B6753" i="106"/>
  <c r="D6753" i="106" s="1"/>
  <c r="F148" i="34"/>
  <c r="B72" i="106"/>
  <c r="D72" i="106" s="1"/>
  <c r="K32" i="29"/>
  <c r="B6900" i="106"/>
  <c r="D6900" i="106" s="1"/>
  <c r="B6627" i="106"/>
  <c r="D6627" i="106" s="1"/>
  <c r="B6956" i="106"/>
  <c r="D6956" i="106" s="1"/>
  <c r="B5883" i="106"/>
  <c r="D5883" i="106" s="1"/>
  <c r="B5059" i="106"/>
  <c r="D5059" i="106" s="1"/>
  <c r="B6972" i="106"/>
  <c r="D6972" i="106" s="1"/>
  <c r="B5100" i="106"/>
  <c r="D5100" i="106" s="1"/>
  <c r="B5779" i="106"/>
  <c r="D5779" i="106" s="1"/>
  <c r="G175" i="5"/>
  <c r="B5780" i="106" s="1"/>
  <c r="D5780" i="106" s="1"/>
  <c r="B6894" i="106"/>
  <c r="D6894" i="106" s="1"/>
  <c r="K29" i="29"/>
  <c r="B5375" i="106"/>
  <c r="D5375" i="106" s="1"/>
  <c r="B796" i="106"/>
  <c r="D796" i="106" s="1"/>
  <c r="D65" i="29"/>
  <c r="B803" i="106" s="1"/>
  <c r="D803" i="106" s="1"/>
  <c r="B7266" i="106"/>
  <c r="K125" i="29"/>
  <c r="B3488" i="106" s="1"/>
  <c r="D3488" i="106" s="1"/>
  <c r="B3482" i="106"/>
  <c r="D3482" i="106" s="1"/>
  <c r="B951" i="106"/>
  <c r="D951" i="106" s="1"/>
  <c r="B6794" i="106"/>
  <c r="D6794" i="106" s="1"/>
  <c r="B4360" i="106"/>
  <c r="D4360" i="106" s="1"/>
  <c r="B4318" i="106"/>
  <c r="D4318" i="106" s="1"/>
  <c r="B6362" i="106"/>
  <c r="D6362" i="106" s="1"/>
  <c r="B787" i="106"/>
  <c r="D787" i="106" s="1"/>
  <c r="D108" i="5"/>
  <c r="B5355" i="106" s="1"/>
  <c r="D5355" i="106" s="1"/>
  <c r="B5349" i="106"/>
  <c r="D5349" i="106" s="1"/>
  <c r="B4882" i="106"/>
  <c r="D4882" i="106" s="1"/>
  <c r="B6675" i="106"/>
  <c r="D6675" i="106" s="1"/>
  <c r="B950" i="106"/>
  <c r="D950" i="106" s="1"/>
  <c r="B7807" i="106"/>
  <c r="D7807" i="106" s="1"/>
  <c r="B5070" i="106"/>
  <c r="D5070" i="106" s="1"/>
  <c r="B5710" i="106"/>
  <c r="D5710" i="106" s="1"/>
  <c r="B5569" i="106"/>
  <c r="D5569" i="106" s="1"/>
  <c r="F21" i="34"/>
  <c r="I72" i="29"/>
  <c r="B6973" i="106" s="1"/>
  <c r="D6973" i="106" s="1"/>
  <c r="B6963" i="106"/>
  <c r="D6963" i="106" s="1"/>
  <c r="B2797" i="106"/>
  <c r="D2797" i="106" s="1"/>
  <c r="K130" i="29"/>
  <c r="B6651" i="106"/>
  <c r="D6651" i="106" s="1"/>
  <c r="B5362" i="106"/>
  <c r="D5362" i="106" s="1"/>
  <c r="F168" i="34"/>
  <c r="B7813" i="106"/>
  <c r="D7813" i="106" s="1"/>
  <c r="B7706" i="106"/>
  <c r="D7706" i="106" s="1"/>
  <c r="B501" i="106"/>
  <c r="D501" i="106" s="1"/>
  <c r="F26" i="34"/>
  <c r="B5577" i="106"/>
  <c r="D5577" i="106" s="1"/>
  <c r="B4916" i="106"/>
  <c r="D4916" i="106" s="1"/>
  <c r="B6099" i="106"/>
  <c r="D6099" i="106" s="1"/>
  <c r="B6379" i="106"/>
  <c r="D6379" i="106" s="1"/>
  <c r="D72" i="29"/>
  <c r="B811" i="106" s="1"/>
  <c r="D811" i="106" s="1"/>
  <c r="B804" i="106"/>
  <c r="D804" i="106" s="1"/>
  <c r="B7812" i="106"/>
  <c r="D7812" i="106" s="1"/>
  <c r="B3161" i="106"/>
  <c r="D3161" i="106" s="1"/>
  <c r="H51" i="4"/>
  <c r="B3170" i="106" s="1"/>
  <c r="D3170" i="106" s="1"/>
  <c r="B705" i="106"/>
  <c r="D705" i="106" s="1"/>
  <c r="K5" i="29"/>
  <c r="C33" i="29"/>
  <c r="B720" i="106" s="1"/>
  <c r="D720" i="106" s="1"/>
  <c r="B3060" i="106"/>
  <c r="D3060" i="106" s="1"/>
  <c r="B6169" i="106"/>
  <c r="D6169" i="106" s="1"/>
  <c r="B6175" i="106"/>
  <c r="D6175" i="106" s="1"/>
  <c r="B7260" i="106"/>
  <c r="B6337" i="106"/>
  <c r="D6337" i="106" s="1"/>
  <c r="B4877" i="106"/>
  <c r="D4877" i="106" s="1"/>
  <c r="B4317" i="106"/>
  <c r="D4317" i="106" s="1"/>
  <c r="F120" i="34"/>
  <c r="B7854" i="106" s="1"/>
  <c r="D7854" i="106" s="1"/>
  <c r="B13" i="7"/>
  <c r="B5026" i="106"/>
  <c r="D5026" i="106" s="1"/>
  <c r="B7212" i="106"/>
  <c r="D7212" i="106" s="1"/>
  <c r="K339" i="29"/>
  <c r="B7213" i="106" s="1"/>
  <c r="D7213" i="106" s="1"/>
  <c r="B4338" i="106"/>
  <c r="D4338" i="106" s="1"/>
  <c r="B7674" i="106"/>
  <c r="D7674" i="106" s="1"/>
  <c r="B5994" i="106"/>
  <c r="D5994" i="106" s="1"/>
  <c r="L270" i="29"/>
  <c r="B6252" i="106"/>
  <c r="D6252" i="106" s="1"/>
  <c r="B6133" i="106"/>
  <c r="D6133" i="106" s="1"/>
  <c r="B2758" i="106"/>
  <c r="D2758" i="106" s="1"/>
  <c r="B6766" i="106"/>
  <c r="D6766" i="106" s="1"/>
  <c r="B6097" i="106"/>
  <c r="D6097" i="106" s="1"/>
  <c r="B7183" i="106"/>
  <c r="D7183" i="106" s="1"/>
  <c r="B130" i="106"/>
  <c r="D130" i="106" s="1"/>
  <c r="B7091" i="106"/>
  <c r="D7091" i="106" s="1"/>
  <c r="K253" i="29"/>
  <c r="B7092" i="106" s="1"/>
  <c r="D7092" i="106" s="1"/>
  <c r="H100" i="29"/>
  <c r="B7012" i="106" s="1"/>
  <c r="D7012" i="106" s="1"/>
  <c r="K93" i="29"/>
  <c r="B6996" i="106"/>
  <c r="D6996" i="106" s="1"/>
  <c r="B784" i="106"/>
  <c r="D784" i="106" s="1"/>
  <c r="B7039" i="106"/>
  <c r="D7039" i="106" s="1"/>
  <c r="L92" i="29"/>
  <c r="B4915" i="106"/>
  <c r="D4915" i="106" s="1"/>
  <c r="F118" i="34"/>
  <c r="B7852" i="106" s="1"/>
  <c r="D7852" i="106" s="1"/>
  <c r="B6101" i="106"/>
  <c r="D6101" i="106" s="1"/>
  <c r="B840" i="106"/>
  <c r="D840" i="106" s="1"/>
  <c r="B5353" i="106"/>
  <c r="D5353" i="106" s="1"/>
  <c r="B5757" i="106"/>
  <c r="D5757" i="106" s="1"/>
  <c r="B3234" i="106"/>
  <c r="D3234" i="106" s="1"/>
  <c r="F330" i="29"/>
  <c r="B7121" i="106"/>
  <c r="D7121" i="106" s="1"/>
  <c r="B5279" i="106"/>
  <c r="D5279" i="106" s="1"/>
  <c r="F130" i="34"/>
  <c r="B7862" i="106" s="1"/>
  <c r="D7862" i="106" s="1"/>
  <c r="B5278" i="106"/>
  <c r="D5278" i="106" s="1"/>
  <c r="F129" i="34"/>
  <c r="B7861" i="106" s="1"/>
  <c r="D7861" i="106" s="1"/>
  <c r="B6933" i="106"/>
  <c r="D6933" i="106" s="1"/>
  <c r="B7885" i="106"/>
  <c r="D7885" i="106" s="1"/>
  <c r="K62" i="29"/>
  <c r="B741" i="106"/>
  <c r="D741" i="106" s="1"/>
  <c r="B6177" i="106"/>
  <c r="D6177" i="106" s="1"/>
  <c r="B4376" i="106"/>
  <c r="D4376" i="106" s="1"/>
  <c r="K205" i="29"/>
  <c r="B7068" i="106" s="1"/>
  <c r="D7068" i="106" s="1"/>
  <c r="B7067" i="106"/>
  <c r="D7067" i="106" s="1"/>
  <c r="B5990" i="106"/>
  <c r="D5990" i="106" s="1"/>
  <c r="B7100" i="106"/>
  <c r="D7100" i="106" s="1"/>
  <c r="J303" i="29"/>
  <c r="J312" i="29" s="1"/>
  <c r="B7117" i="106" s="1"/>
  <c r="D7117" i="106" s="1"/>
  <c r="B3549" i="106"/>
  <c r="D3549" i="106" s="1"/>
  <c r="B6800" i="106"/>
  <c r="D6800" i="106" s="1"/>
  <c r="B7652" i="106"/>
  <c r="D7652" i="106" s="1"/>
  <c r="B5093" i="106"/>
  <c r="D5093" i="106" s="1"/>
  <c r="B6685" i="106"/>
  <c r="D6685" i="106" s="1"/>
  <c r="B7179" i="106"/>
  <c r="D7179" i="106" s="1"/>
  <c r="B6134" i="106"/>
  <c r="D6134" i="106" s="1"/>
  <c r="B6795" i="106"/>
  <c r="D6795" i="106" s="1"/>
  <c r="B6658" i="106"/>
  <c r="D6658" i="106" s="1"/>
  <c r="K363" i="29"/>
  <c r="B7241" i="106" s="1"/>
  <c r="D7241" i="106" s="1"/>
  <c r="B7240" i="106"/>
  <c r="D7240" i="106" s="1"/>
  <c r="B790" i="106"/>
  <c r="D790" i="106" s="1"/>
  <c r="D53" i="29"/>
  <c r="B792" i="106" s="1"/>
  <c r="D792" i="106" s="1"/>
  <c r="B6174" i="106"/>
  <c r="D6174" i="106" s="1"/>
  <c r="B208" i="106"/>
  <c r="D208" i="106" s="1"/>
  <c r="B6765" i="106"/>
  <c r="D6765" i="106" s="1"/>
  <c r="E47" i="29"/>
  <c r="B847" i="106" s="1"/>
  <c r="D847" i="106" s="1"/>
  <c r="B844" i="106"/>
  <c r="D844" i="106" s="1"/>
  <c r="B4885" i="106"/>
  <c r="D4885" i="106" s="1"/>
  <c r="B4310" i="106"/>
  <c r="D4310" i="106" s="1"/>
  <c r="B774" i="106"/>
  <c r="D774" i="106" s="1"/>
  <c r="B6688" i="106"/>
  <c r="D6688" i="106" s="1"/>
  <c r="F217" i="5"/>
  <c r="B5703" i="106" s="1"/>
  <c r="D5703" i="106" s="1"/>
  <c r="B5691" i="106"/>
  <c r="D5691" i="106" s="1"/>
  <c r="B6144" i="106"/>
  <c r="D6144" i="106" s="1"/>
  <c r="B145" i="106"/>
  <c r="D145" i="106" s="1"/>
  <c r="B6171" i="106"/>
  <c r="D6171" i="106" s="1"/>
  <c r="B5107" i="106"/>
  <c r="D5107" i="106" s="1"/>
  <c r="F99" i="34"/>
  <c r="B6669" i="106"/>
  <c r="D6669" i="106" s="1"/>
  <c r="D71" i="36"/>
  <c r="B5012" i="106"/>
  <c r="D5012" i="106" s="1"/>
  <c r="B5754" i="106"/>
  <c r="D5754" i="106" s="1"/>
  <c r="G145" i="5"/>
  <c r="B5756" i="106" s="1"/>
  <c r="D5756" i="106" s="1"/>
  <c r="B730" i="106"/>
  <c r="D730" i="106" s="1"/>
  <c r="K46" i="29"/>
  <c r="B1118" i="106" s="1"/>
  <c r="D1118" i="106" s="1"/>
  <c r="B3639" i="106"/>
  <c r="D3639" i="106" s="1"/>
  <c r="B5589" i="106"/>
  <c r="D5589" i="106" s="1"/>
  <c r="F114" i="5"/>
  <c r="D18" i="5"/>
  <c r="B5339" i="106" s="1"/>
  <c r="D5339" i="106" s="1"/>
  <c r="B5335" i="106"/>
  <c r="D5335" i="106" s="1"/>
  <c r="B6187" i="106"/>
  <c r="D6187" i="106" s="1"/>
  <c r="B2908" i="106"/>
  <c r="D2908" i="106" s="1"/>
  <c r="B7178" i="106"/>
  <c r="D7178" i="106" s="1"/>
  <c r="B6665" i="106"/>
  <c r="D6665" i="106" s="1"/>
  <c r="B6618" i="106"/>
  <c r="D6618" i="106" s="1"/>
  <c r="G252" i="5"/>
  <c r="B6837" i="106" s="1"/>
  <c r="D6837" i="106" s="1"/>
  <c r="B5462" i="106"/>
  <c r="D5462" i="106" s="1"/>
  <c r="B6131" i="106"/>
  <c r="D6131" i="106" s="1"/>
  <c r="J34" i="3"/>
  <c r="B6191" i="106" s="1"/>
  <c r="D6191" i="106" s="1"/>
  <c r="B6001" i="106"/>
  <c r="D6001" i="106" s="1"/>
  <c r="B5924" i="106"/>
  <c r="D5924" i="106" s="1"/>
  <c r="I67" i="5"/>
  <c r="B5926" i="106" s="1"/>
  <c r="D5926" i="106" s="1"/>
  <c r="B6189" i="106"/>
  <c r="D6189" i="106" s="1"/>
  <c r="B7692" i="106"/>
  <c r="D7692" i="106" s="1"/>
  <c r="B4341" i="106"/>
  <c r="D4341" i="106" s="1"/>
  <c r="I47" i="29"/>
  <c r="B6924" i="106" s="1"/>
  <c r="D6924" i="106" s="1"/>
  <c r="B6918" i="106"/>
  <c r="D6918" i="106" s="1"/>
  <c r="B6148" i="106"/>
  <c r="D6148" i="106" s="1"/>
  <c r="F135" i="34"/>
  <c r="B6626" i="106"/>
  <c r="D6626" i="106" s="1"/>
  <c r="B6254" i="106"/>
  <c r="D6254" i="106" s="1"/>
  <c r="B6789" i="106"/>
  <c r="D6789" i="106" s="1"/>
  <c r="B7141" i="106"/>
  <c r="D7141" i="106" s="1"/>
  <c r="L110" i="29"/>
  <c r="L112" i="29" s="1"/>
  <c r="B6363" i="106"/>
  <c r="D6363" i="106" s="1"/>
  <c r="B6686" i="106"/>
  <c r="D6686" i="106" s="1"/>
  <c r="B3579" i="106"/>
  <c r="D3579" i="106" s="1"/>
  <c r="B1019" i="106"/>
  <c r="D1019" i="106" s="1"/>
  <c r="B2791" i="106"/>
  <c r="D2791" i="106" s="1"/>
  <c r="K107" i="29"/>
  <c r="B2795" i="106" s="1"/>
  <c r="D2795" i="106" s="1"/>
  <c r="B6971" i="106"/>
  <c r="D6971" i="106" s="1"/>
  <c r="B2843" i="106"/>
  <c r="D2843" i="106" s="1"/>
  <c r="K290" i="29"/>
  <c r="B2845" i="106" s="1"/>
  <c r="D2845" i="106" s="1"/>
  <c r="F91" i="34"/>
  <c r="B6314" i="106"/>
  <c r="D6314" i="106" s="1"/>
  <c r="B5729" i="106"/>
  <c r="D5729" i="106" s="1"/>
  <c r="B6138" i="106"/>
  <c r="D6138" i="106" s="1"/>
  <c r="B4410" i="106"/>
  <c r="D4410" i="106" s="1"/>
  <c r="B7883" i="106"/>
  <c r="D7883" i="106" s="1"/>
  <c r="B4804" i="106"/>
  <c r="D4804" i="106" s="1"/>
  <c r="F181" i="5"/>
  <c r="B5658" i="106" s="1"/>
  <c r="D5658" i="106" s="1"/>
  <c r="B7811" i="106"/>
  <c r="D7811" i="106" s="1"/>
  <c r="B7122" i="106"/>
  <c r="D7122" i="106" s="1"/>
  <c r="G330" i="29"/>
  <c r="B7808" i="106"/>
  <c r="D7808" i="106" s="1"/>
  <c r="B5517" i="106"/>
  <c r="D5517" i="106" s="1"/>
  <c r="K64" i="29"/>
  <c r="B743" i="106"/>
  <c r="D743" i="106" s="1"/>
  <c r="B4881" i="106"/>
  <c r="D4881" i="106" s="1"/>
  <c r="B4946" i="106"/>
  <c r="D4946" i="106" s="1"/>
  <c r="B6389" i="106"/>
  <c r="D6389" i="106" s="1"/>
  <c r="B6711" i="106"/>
  <c r="D6711" i="106" s="1"/>
  <c r="B809" i="106"/>
  <c r="D809" i="106" s="1"/>
  <c r="B917" i="106"/>
  <c r="D917" i="106" s="1"/>
  <c r="B3721" i="106"/>
  <c r="D3721" i="106" s="1"/>
  <c r="K283" i="29"/>
  <c r="B3723" i="106" s="1"/>
  <c r="D3723" i="106" s="1"/>
  <c r="B7806" i="106"/>
  <c r="D7806" i="106" s="1"/>
  <c r="B6371" i="106"/>
  <c r="D6371" i="106" s="1"/>
  <c r="H169" i="5"/>
  <c r="B5899" i="106" s="1"/>
  <c r="D5899" i="106" s="1"/>
  <c r="B5084" i="106"/>
  <c r="D5084" i="106" s="1"/>
  <c r="B7060" i="106"/>
  <c r="D7060" i="106" s="1"/>
  <c r="G350" i="29"/>
  <c r="B3645" i="106"/>
  <c r="D3645" i="106" s="1"/>
  <c r="F167" i="34"/>
  <c r="B7809" i="106"/>
  <c r="D7809" i="106" s="1"/>
  <c r="B6722" i="106"/>
  <c r="D6722" i="106" s="1"/>
  <c r="B897" i="106"/>
  <c r="D897" i="106" s="1"/>
  <c r="B7169" i="106"/>
  <c r="D7169" i="106" s="1"/>
  <c r="B6738" i="106"/>
  <c r="D6738" i="106" s="1"/>
  <c r="B6656" i="106"/>
  <c r="D6656" i="106" s="1"/>
  <c r="B6870" i="106"/>
  <c r="D6870" i="106" s="1"/>
  <c r="B6915" i="106"/>
  <c r="D6915" i="106" s="1"/>
  <c r="B2813" i="106"/>
  <c r="D2813" i="106" s="1"/>
  <c r="K166" i="29"/>
  <c r="B2819" i="106" s="1"/>
  <c r="D2819" i="106" s="1"/>
  <c r="B6695" i="106"/>
  <c r="D6695" i="106" s="1"/>
  <c r="D188" i="5"/>
  <c r="B5426" i="106"/>
  <c r="D5426" i="106" s="1"/>
  <c r="B7027" i="106"/>
  <c r="D7027" i="106" s="1"/>
  <c r="B6730" i="106"/>
  <c r="D6730" i="106" s="1"/>
  <c r="B6406" i="106"/>
  <c r="D6406" i="106" s="1"/>
  <c r="B7250" i="106"/>
  <c r="D7250" i="106" s="1"/>
  <c r="B4865" i="106"/>
  <c r="D4865" i="106" s="1"/>
  <c r="B6086" i="106"/>
  <c r="D6086" i="106" s="1"/>
  <c r="B2723" i="106"/>
  <c r="D2723" i="106" s="1"/>
  <c r="B6367" i="106"/>
  <c r="D6367" i="106" s="1"/>
  <c r="B6089" i="106"/>
  <c r="D6089" i="106" s="1"/>
  <c r="B6723" i="106"/>
  <c r="D6723" i="106" s="1"/>
  <c r="B4332" i="106"/>
  <c r="D4332" i="106" s="1"/>
  <c r="E122" i="5"/>
  <c r="B5528" i="106"/>
  <c r="D5528" i="106" s="1"/>
  <c r="B5424" i="106"/>
  <c r="D5424" i="106" s="1"/>
  <c r="D181" i="5"/>
  <c r="B5425" i="106" s="1"/>
  <c r="D5425" i="106" s="1"/>
  <c r="B6906" i="106"/>
  <c r="D6906" i="106" s="1"/>
  <c r="B4379" i="106"/>
  <c r="D4379" i="106" s="1"/>
  <c r="B6628" i="106"/>
  <c r="D6628" i="106" s="1"/>
  <c r="B4351" i="106"/>
  <c r="D4351" i="106" s="1"/>
  <c r="F110" i="34"/>
  <c r="B7845" i="106" s="1"/>
  <c r="D7845" i="106" s="1"/>
  <c r="B5823" i="106"/>
  <c r="D5823" i="106" s="1"/>
  <c r="B6654" i="106"/>
  <c r="D6654" i="106" s="1"/>
  <c r="B5114" i="106"/>
  <c r="D5114" i="106" s="1"/>
  <c r="F141" i="34"/>
  <c r="B6674" i="106"/>
  <c r="D6674" i="106" s="1"/>
  <c r="B6355" i="106"/>
  <c r="D6355" i="106" s="1"/>
  <c r="B5615" i="106"/>
  <c r="D5615" i="106" s="1"/>
  <c r="F155" i="5"/>
  <c r="B5618" i="106" s="1"/>
  <c r="D5618" i="106" s="1"/>
  <c r="B5082" i="106"/>
  <c r="D5082" i="106" s="1"/>
  <c r="B807" i="106"/>
  <c r="D807" i="106" s="1"/>
  <c r="B6120" i="106"/>
  <c r="D6120" i="106" s="1"/>
  <c r="B619" i="106"/>
  <c r="D619" i="106" s="1"/>
  <c r="B7208" i="106"/>
  <c r="D7208" i="106" s="1"/>
  <c r="H340" i="29"/>
  <c r="B7214" i="106" s="1"/>
  <c r="D7214" i="106" s="1"/>
  <c r="K337" i="29"/>
  <c r="B6926" i="106"/>
  <c r="D6926" i="106" s="1"/>
  <c r="I53" i="29"/>
  <c r="B6942" i="106" s="1"/>
  <c r="D6942" i="106" s="1"/>
  <c r="B5708" i="106"/>
  <c r="D5708" i="106" s="1"/>
  <c r="B1253" i="106"/>
  <c r="D1253" i="106" s="1"/>
  <c r="B1252" i="106"/>
  <c r="D1252" i="106" s="1"/>
  <c r="B4421" i="106"/>
  <c r="D4421" i="106" s="1"/>
  <c r="B119" i="106"/>
  <c r="D119" i="106" s="1"/>
  <c r="B5432" i="106"/>
  <c r="D5432" i="106" s="1"/>
  <c r="B5280" i="106"/>
  <c r="D5280" i="106" s="1"/>
  <c r="F131" i="34"/>
  <c r="B7863" i="106" s="1"/>
  <c r="D7863" i="106" s="1"/>
  <c r="B712" i="106"/>
  <c r="D712" i="106" s="1"/>
  <c r="K18" i="29"/>
  <c r="B1100" i="106" s="1"/>
  <c r="D1100" i="106" s="1"/>
  <c r="B801" i="106"/>
  <c r="D801" i="106" s="1"/>
  <c r="B5357" i="106"/>
  <c r="D5357" i="106" s="1"/>
  <c r="D114" i="5"/>
  <c r="B2952" i="106"/>
  <c r="D2952" i="106" s="1"/>
  <c r="K81" i="29"/>
  <c r="B2976" i="106" s="1"/>
  <c r="D2976" i="106" s="1"/>
  <c r="B3083" i="106"/>
  <c r="D3083" i="106" s="1"/>
  <c r="B806" i="106"/>
  <c r="D806" i="106" s="1"/>
  <c r="B6947" i="106"/>
  <c r="D6947" i="106" s="1"/>
  <c r="B6307" i="106"/>
  <c r="D6307" i="106" s="1"/>
  <c r="B7670" i="106"/>
  <c r="D7670" i="106" s="1"/>
  <c r="B6744" i="106"/>
  <c r="D6744" i="106" s="1"/>
  <c r="B6304" i="106"/>
  <c r="D6304" i="106" s="1"/>
  <c r="B7697" i="106"/>
  <c r="D7697" i="106" s="1"/>
  <c r="K329" i="29"/>
  <c r="B5884" i="106"/>
  <c r="D5884" i="106" s="1"/>
  <c r="B910" i="106"/>
  <c r="D910" i="106" s="1"/>
  <c r="B3370" i="106"/>
  <c r="D3370" i="106" s="1"/>
  <c r="D217" i="5"/>
  <c r="B5470" i="106" s="1"/>
  <c r="D5470" i="106" s="1"/>
  <c r="B5458" i="106"/>
  <c r="D5458" i="106" s="1"/>
  <c r="F31" i="34"/>
  <c r="B7824" i="106" s="1"/>
  <c r="B6295" i="106"/>
  <c r="D6295" i="106" s="1"/>
  <c r="B6726" i="106"/>
  <c r="D6726" i="106" s="1"/>
  <c r="K19" i="29"/>
  <c r="B3381" i="106" s="1"/>
  <c r="D3381" i="106" s="1"/>
  <c r="B3367" i="106"/>
  <c r="D3367" i="106" s="1"/>
  <c r="B6759" i="106"/>
  <c r="D6759" i="106" s="1"/>
  <c r="L340" i="29"/>
  <c r="H160" i="29"/>
  <c r="B7053" i="106" s="1"/>
  <c r="D7053" i="106" s="1"/>
  <c r="B7777" i="106"/>
  <c r="D7777" i="106" s="1"/>
  <c r="K157" i="29"/>
  <c r="B653" i="106"/>
  <c r="D653" i="106" s="1"/>
  <c r="B6710" i="106"/>
  <c r="D6710" i="106" s="1"/>
  <c r="B6123" i="106"/>
  <c r="D6123" i="106" s="1"/>
  <c r="B7029" i="106"/>
  <c r="D7029" i="106" s="1"/>
  <c r="K86" i="29"/>
  <c r="B6984" i="106" s="1"/>
  <c r="D6984" i="106" s="1"/>
  <c r="B6983" i="106"/>
  <c r="D6983" i="106" s="1"/>
  <c r="B3078" i="106"/>
  <c r="D3078" i="106" s="1"/>
  <c r="B5152" i="106"/>
  <c r="D5152" i="106" s="1"/>
  <c r="B3316" i="106"/>
  <c r="D3316" i="106" s="1"/>
  <c r="I44" i="4"/>
  <c r="B3317" i="106" s="1"/>
  <c r="D3317" i="106" s="1"/>
  <c r="B2772" i="106"/>
  <c r="D2772" i="106" s="1"/>
  <c r="D34" i="3"/>
  <c r="B122" i="106" s="1"/>
  <c r="D122" i="106" s="1"/>
  <c r="B6126" i="106"/>
  <c r="D6126" i="106" s="1"/>
  <c r="B4339" i="106"/>
  <c r="D4339" i="106" s="1"/>
  <c r="B6743" i="106"/>
  <c r="D6743" i="106" s="1"/>
  <c r="B4853" i="106"/>
  <c r="D4853" i="106" s="1"/>
  <c r="B5570" i="106"/>
  <c r="D5570" i="106" s="1"/>
  <c r="F89" i="34"/>
  <c r="B6884" i="106"/>
  <c r="D6884" i="106" s="1"/>
  <c r="K24" i="29"/>
  <c r="B1347" i="106"/>
  <c r="D1347" i="106" s="1"/>
  <c r="B7658" i="106"/>
  <c r="D7658" i="106" s="1"/>
  <c r="B6328" i="106"/>
  <c r="D6328" i="106" s="1"/>
  <c r="B6914" i="106"/>
  <c r="D6914" i="106" s="1"/>
  <c r="B6155" i="106"/>
  <c r="D6155" i="106" s="1"/>
  <c r="B6393" i="106"/>
  <c r="D6393" i="106" s="1"/>
  <c r="B5057" i="106"/>
  <c r="D5057" i="106" s="1"/>
  <c r="B4876" i="106"/>
  <c r="D4876" i="106" s="1"/>
  <c r="B6347" i="106"/>
  <c r="D6347" i="106" s="1"/>
  <c r="B1406" i="106"/>
  <c r="D1406" i="106" s="1"/>
  <c r="K221" i="29"/>
  <c r="B1470" i="106" s="1"/>
  <c r="D1470" i="106" s="1"/>
  <c r="B7032" i="106"/>
  <c r="D7032" i="106" s="1"/>
  <c r="B5574" i="106"/>
  <c r="D5574" i="106" s="1"/>
  <c r="F24" i="34"/>
  <c r="B6103" i="106"/>
  <c r="D6103" i="106" s="1"/>
  <c r="B3375" i="106"/>
  <c r="D3375" i="106" s="1"/>
  <c r="B4362" i="106"/>
  <c r="D4362" i="106" s="1"/>
  <c r="F170" i="34"/>
  <c r="B7875" i="106" s="1"/>
  <c r="D7875" i="106" s="1"/>
  <c r="D17" i="171"/>
  <c r="H168" i="29"/>
  <c r="K163" i="29"/>
  <c r="B1310" i="106"/>
  <c r="D1310" i="106" s="1"/>
  <c r="B6231" i="106"/>
  <c r="D6231" i="106" s="1"/>
  <c r="B5075" i="106"/>
  <c r="D5075" i="106" s="1"/>
  <c r="B5522" i="106"/>
  <c r="D5522" i="106" s="1"/>
  <c r="E108" i="5"/>
  <c r="B5526" i="106" s="1"/>
  <c r="D5526" i="106" s="1"/>
  <c r="B6109" i="106"/>
  <c r="D6109" i="106" s="1"/>
  <c r="B7160" i="106"/>
  <c r="D7160" i="106" s="1"/>
  <c r="B1396" i="106"/>
  <c r="D1396" i="106" s="1"/>
  <c r="K225" i="29"/>
  <c r="B1460" i="106" s="1"/>
  <c r="D1460" i="106" s="1"/>
  <c r="B1261" i="106"/>
  <c r="D1261" i="106" s="1"/>
  <c r="B1016" i="106"/>
  <c r="D1016" i="106" s="1"/>
  <c r="B7193" i="106"/>
  <c r="D7193" i="106" s="1"/>
  <c r="B5256" i="106"/>
  <c r="D5256" i="106" s="1"/>
  <c r="C209" i="5"/>
  <c r="B6851" i="106"/>
  <c r="D6851" i="106" s="1"/>
  <c r="K16" i="29"/>
  <c r="B1094" i="106" s="1"/>
  <c r="D1094" i="106" s="1"/>
  <c r="B706" i="106"/>
  <c r="D706" i="106" s="1"/>
  <c r="B6102" i="106"/>
  <c r="D6102" i="106" s="1"/>
  <c r="B5194" i="106"/>
  <c r="D5194" i="106" s="1"/>
  <c r="F115" i="34"/>
  <c r="B7849" i="106" s="1"/>
  <c r="D7849" i="106" s="1"/>
  <c r="B902" i="106"/>
  <c r="D902" i="106" s="1"/>
  <c r="F47" i="29"/>
  <c r="B905" i="106" s="1"/>
  <c r="D905" i="106" s="1"/>
  <c r="B7689" i="106"/>
  <c r="D7689" i="106" s="1"/>
  <c r="B6648" i="106"/>
  <c r="D6648" i="106" s="1"/>
  <c r="B4864" i="106"/>
  <c r="D4864" i="106" s="1"/>
  <c r="B5739" i="106"/>
  <c r="D5739" i="106" s="1"/>
  <c r="B925" i="106"/>
  <c r="D925" i="106" s="1"/>
  <c r="B3585" i="106"/>
  <c r="D3585" i="106" s="1"/>
  <c r="B4799" i="106"/>
  <c r="D4799" i="106" s="1"/>
  <c r="D73" i="36"/>
  <c r="B6290" i="106"/>
  <c r="D6290" i="106" s="1"/>
  <c r="K201" i="29"/>
  <c r="B2841" i="106" s="1"/>
  <c r="D2841" i="106" s="1"/>
  <c r="B2831" i="106"/>
  <c r="D2831" i="106" s="1"/>
  <c r="B6907" i="106"/>
  <c r="D6907" i="106" s="1"/>
  <c r="B6806" i="106"/>
  <c r="D6806" i="106" s="1"/>
  <c r="B2989" i="106"/>
  <c r="D2989" i="106" s="1"/>
  <c r="K188" i="29"/>
  <c r="E194" i="29"/>
  <c r="E196" i="29" s="1"/>
  <c r="B1352" i="106" s="1"/>
  <c r="D1352" i="106" s="1"/>
  <c r="B6390" i="106"/>
  <c r="D6390" i="106" s="1"/>
  <c r="B5695" i="106"/>
  <c r="D5695" i="106" s="1"/>
  <c r="F122" i="34"/>
  <c r="B7855" i="106" s="1"/>
  <c r="D7855" i="106" s="1"/>
  <c r="B4792" i="106"/>
  <c r="D4792" i="106" s="1"/>
  <c r="B65" i="106"/>
  <c r="D65" i="106" s="1"/>
  <c r="B6644" i="106"/>
  <c r="D6644" i="106" s="1"/>
  <c r="L277" i="29"/>
  <c r="B6660" i="106"/>
  <c r="D6660" i="106" s="1"/>
  <c r="B5799" i="106"/>
  <c r="D5799" i="106" s="1"/>
  <c r="G209" i="5"/>
  <c r="B4414" i="106" s="1"/>
  <c r="D4414" i="106" s="1"/>
  <c r="K9" i="29"/>
  <c r="B7251" i="106"/>
  <c r="D7251" i="106" s="1"/>
  <c r="J57" i="29"/>
  <c r="B6949" i="106" s="1"/>
  <c r="D6949" i="106" s="1"/>
  <c r="B6945" i="106"/>
  <c r="D6945" i="106" s="1"/>
  <c r="B6233" i="106"/>
  <c r="D6233" i="106" s="1"/>
  <c r="B7750" i="106"/>
  <c r="D7750" i="106" s="1"/>
  <c r="B5524" i="106"/>
  <c r="D5524" i="106" s="1"/>
  <c r="B5231" i="106"/>
  <c r="D5231" i="106" s="1"/>
  <c r="B4448" i="106"/>
  <c r="D4448" i="106" s="1"/>
  <c r="B6170" i="106"/>
  <c r="D6170" i="106" s="1"/>
  <c r="B6310" i="106"/>
  <c r="D6310" i="106" s="1"/>
  <c r="D270" i="29"/>
  <c r="B1436" i="106" s="1"/>
  <c r="D1436" i="106" s="1"/>
  <c r="K263" i="29"/>
  <c r="B1428" i="106"/>
  <c r="D1428" i="106" s="1"/>
  <c r="B6739" i="106"/>
  <c r="D6739" i="106" s="1"/>
  <c r="K88" i="29"/>
  <c r="B6988" i="106" s="1"/>
  <c r="D6988" i="106" s="1"/>
  <c r="B6987" i="106"/>
  <c r="D6987" i="106" s="1"/>
  <c r="B7700" i="106"/>
  <c r="D7700" i="106" s="1"/>
  <c r="K45" i="29"/>
  <c r="B1117" i="106" s="1"/>
  <c r="D1117" i="106" s="1"/>
  <c r="B729" i="106"/>
  <c r="D729" i="106" s="1"/>
  <c r="K18" i="5"/>
  <c r="B5992" i="106" s="1"/>
  <c r="D5992" i="106" s="1"/>
  <c r="B5988" i="106"/>
  <c r="D5988" i="106" s="1"/>
  <c r="B4805" i="106"/>
  <c r="D4805" i="106" s="1"/>
  <c r="B7663" i="106"/>
  <c r="D7663" i="106" s="1"/>
  <c r="B6845" i="106"/>
  <c r="D6845" i="106" s="1"/>
  <c r="J33" i="29"/>
  <c r="B6903" i="106" s="1"/>
  <c r="D6903" i="106" s="1"/>
  <c r="H12" i="5"/>
  <c r="B5871" i="106"/>
  <c r="D5871" i="106" s="1"/>
  <c r="B9" i="7"/>
  <c r="B6182" i="106"/>
  <c r="D6182" i="106" s="1"/>
  <c r="B4378" i="106"/>
  <c r="D4378" i="106" s="1"/>
  <c r="B6636" i="106"/>
  <c r="D6636" i="106" s="1"/>
  <c r="B5602" i="106"/>
  <c r="D5602" i="106" s="1"/>
  <c r="B6952" i="106"/>
  <c r="D6952" i="106" s="1"/>
  <c r="B953" i="106"/>
  <c r="D953" i="106" s="1"/>
  <c r="G42" i="29"/>
  <c r="K49" i="29"/>
  <c r="B732" i="106"/>
  <c r="D732" i="106" s="1"/>
  <c r="C53" i="29"/>
  <c r="B734" i="106" s="1"/>
  <c r="D734" i="106" s="1"/>
  <c r="B7009" i="106"/>
  <c r="D7009" i="106" s="1"/>
  <c r="C221" i="5"/>
  <c r="B5301" i="106"/>
  <c r="D5301" i="106" s="1"/>
  <c r="K207" i="29"/>
  <c r="B7070" i="106" s="1"/>
  <c r="D7070" i="106" s="1"/>
  <c r="B7069" i="106"/>
  <c r="D7069" i="106" s="1"/>
  <c r="B7752" i="106"/>
  <c r="D7752" i="106" s="1"/>
  <c r="G44" i="4"/>
  <c r="B6910" i="106"/>
  <c r="D6910" i="106" s="1"/>
  <c r="B6781" i="106"/>
  <c r="D6781" i="106" s="1"/>
  <c r="B1038" i="106"/>
  <c r="D1038" i="106" s="1"/>
  <c r="B6121" i="106"/>
  <c r="D6121" i="106" s="1"/>
  <c r="B3533" i="106"/>
  <c r="D3533" i="106" s="1"/>
  <c r="B5241" i="106"/>
  <c r="D5241" i="106" s="1"/>
  <c r="B6219" i="106"/>
  <c r="D6219" i="106" s="1"/>
  <c r="K34" i="3"/>
  <c r="B3565" i="106" s="1"/>
  <c r="D3565" i="106" s="1"/>
  <c r="B6132" i="106"/>
  <c r="D6132" i="106" s="1"/>
  <c r="L47" i="29"/>
  <c r="B3082" i="106"/>
  <c r="D3082" i="106" s="1"/>
  <c r="B6330" i="106"/>
  <c r="D6330" i="106" s="1"/>
  <c r="B6391" i="106"/>
  <c r="D6391" i="106" s="1"/>
  <c r="B2996" i="106"/>
  <c r="D2996" i="106" s="1"/>
  <c r="B1008" i="106"/>
  <c r="D1008" i="106" s="1"/>
  <c r="B4392" i="106"/>
  <c r="D4392" i="106" s="1"/>
  <c r="B1429" i="106"/>
  <c r="D1429" i="106" s="1"/>
  <c r="K264" i="29"/>
  <c r="B1493" i="106" s="1"/>
  <c r="D1493" i="106" s="1"/>
  <c r="B5673" i="106"/>
  <c r="D5673" i="106" s="1"/>
  <c r="F209" i="5"/>
  <c r="B4413" i="106" s="1"/>
  <c r="D4413" i="106" s="1"/>
  <c r="B6776" i="106"/>
  <c r="D6776" i="106" s="1"/>
  <c r="B7672" i="106"/>
  <c r="D7672" i="106" s="1"/>
  <c r="B7113" i="106"/>
  <c r="D7113" i="106" s="1"/>
  <c r="K82" i="29"/>
  <c r="B2977" i="106" s="1"/>
  <c r="D2977" i="106" s="1"/>
  <c r="B2953" i="106"/>
  <c r="D2953" i="106" s="1"/>
  <c r="B5073" i="106"/>
  <c r="D5073" i="106" s="1"/>
  <c r="B7154" i="106"/>
  <c r="D7154" i="106" s="1"/>
  <c r="K323" i="29"/>
  <c r="B7142" i="106"/>
  <c r="D7142" i="106" s="1"/>
  <c r="F144" i="34"/>
  <c r="B6712" i="106"/>
  <c r="D6712" i="106" s="1"/>
  <c r="B832" i="106"/>
  <c r="D832" i="106" s="1"/>
  <c r="B5074" i="106"/>
  <c r="D5074" i="106" s="1"/>
  <c r="B7026" i="106"/>
  <c r="D7026" i="106" s="1"/>
  <c r="G184" i="29"/>
  <c r="B4085" i="106"/>
  <c r="D4085" i="106" s="1"/>
  <c r="B6315" i="106"/>
  <c r="D6315" i="106" s="1"/>
  <c r="F28" i="34"/>
  <c r="B6619" i="106"/>
  <c r="D6619" i="106" s="1"/>
  <c r="H252" i="5"/>
  <c r="B6113" i="106"/>
  <c r="D6113" i="106" s="1"/>
  <c r="F57" i="29"/>
  <c r="B911" i="106" s="1"/>
  <c r="D911" i="106" s="1"/>
  <c r="B909" i="106"/>
  <c r="D909" i="106" s="1"/>
  <c r="B7681" i="106"/>
  <c r="D7681" i="106" s="1"/>
  <c r="B6100" i="106"/>
  <c r="D6100" i="106" s="1"/>
  <c r="B6324" i="106"/>
  <c r="D6324" i="106" s="1"/>
  <c r="B7636" i="106"/>
  <c r="B6742" i="106"/>
  <c r="D6742" i="106" s="1"/>
  <c r="B618" i="106"/>
  <c r="D618" i="106" s="1"/>
  <c r="B4081" i="106"/>
  <c r="D4081" i="106" s="1"/>
  <c r="C184" i="29"/>
  <c r="K180" i="29"/>
  <c r="K184" i="29" s="1"/>
  <c r="B7140" i="106"/>
  <c r="D7140" i="106" s="1"/>
  <c r="C122" i="5"/>
  <c r="B5132" i="106" s="1"/>
  <c r="D5132" i="106" s="1"/>
  <c r="B5126" i="106"/>
  <c r="D5126" i="106" s="1"/>
  <c r="B6358" i="106"/>
  <c r="D6358" i="106" s="1"/>
  <c r="B1049" i="106"/>
  <c r="D1049" i="106" s="1"/>
  <c r="K106" i="29"/>
  <c r="B1147" i="106" s="1"/>
  <c r="D1147" i="106" s="1"/>
  <c r="B898" i="106"/>
  <c r="D898" i="106" s="1"/>
  <c r="B5879" i="106"/>
  <c r="D5879" i="106" s="1"/>
  <c r="H67" i="5"/>
  <c r="B5881" i="106" s="1"/>
  <c r="D5881" i="106" s="1"/>
  <c r="B799" i="106"/>
  <c r="D799" i="106" s="1"/>
  <c r="B6342" i="106"/>
  <c r="D6342" i="106" s="1"/>
  <c r="B922" i="106"/>
  <c r="D922" i="106" s="1"/>
  <c r="B4375" i="106"/>
  <c r="D4375" i="106" s="1"/>
  <c r="B7685" i="106"/>
  <c r="D7685" i="106" s="1"/>
  <c r="D261" i="29"/>
  <c r="B1427" i="106" s="1"/>
  <c r="D1427" i="106" s="1"/>
  <c r="K259" i="29"/>
  <c r="B1425" i="106"/>
  <c r="D1425" i="106" s="1"/>
  <c r="B4793" i="106"/>
  <c r="D4793" i="106" s="1"/>
  <c r="B5591" i="106"/>
  <c r="D5591" i="106" s="1"/>
  <c r="B2722" i="106"/>
  <c r="D2722" i="106" s="1"/>
  <c r="B6763" i="106"/>
  <c r="D6763" i="106" s="1"/>
  <c r="D44" i="4"/>
  <c r="B7749" i="106"/>
  <c r="D7749" i="106" s="1"/>
  <c r="B7707" i="106"/>
  <c r="D7707" i="106" s="1"/>
  <c r="B6687" i="106"/>
  <c r="D6687" i="106" s="1"/>
  <c r="B958" i="106"/>
  <c r="D958" i="106" s="1"/>
  <c r="B4365" i="106"/>
  <c r="D4365" i="106" s="1"/>
  <c r="H175" i="5"/>
  <c r="B6638" i="106"/>
  <c r="D6638" i="106" s="1"/>
  <c r="B6713" i="106"/>
  <c r="D6713" i="106" s="1"/>
  <c r="B3422" i="106"/>
  <c r="D3422" i="106" s="1"/>
  <c r="D38" i="36"/>
  <c r="G13" i="3"/>
  <c r="B180" i="106" s="1"/>
  <c r="D180" i="106" s="1"/>
  <c r="B5763" i="106"/>
  <c r="D5763" i="106" s="1"/>
  <c r="B7693" i="106"/>
  <c r="D7693" i="106" s="1"/>
  <c r="F29" i="34"/>
  <c r="B7881" i="106" s="1"/>
  <c r="D7881" i="106" s="1"/>
  <c r="B5387" i="106"/>
  <c r="D5387" i="106" s="1"/>
  <c r="B7152" i="106"/>
  <c r="D7152" i="106" s="1"/>
  <c r="B846" i="106"/>
  <c r="D846" i="106" s="1"/>
  <c r="K252" i="29"/>
  <c r="B7090" i="106" s="1"/>
  <c r="D7090" i="106" s="1"/>
  <c r="B7089" i="106"/>
  <c r="D7089" i="106" s="1"/>
  <c r="B7655" i="106"/>
  <c r="D7655" i="106" s="1"/>
  <c r="B5665" i="106"/>
  <c r="D5665" i="106" s="1"/>
  <c r="B5336" i="106"/>
  <c r="D5336" i="106" s="1"/>
  <c r="B7814" i="106"/>
  <c r="D7814" i="106" s="1"/>
  <c r="B2997" i="106"/>
  <c r="D2997" i="106" s="1"/>
  <c r="B6236" i="106"/>
  <c r="D6236" i="106" s="1"/>
  <c r="B6319" i="106"/>
  <c r="D6319" i="106" s="1"/>
  <c r="J108" i="5"/>
  <c r="B6351" i="106" s="1"/>
  <c r="D6351" i="106" s="1"/>
  <c r="L238" i="29"/>
  <c r="B5594" i="106"/>
  <c r="D5594" i="106" s="1"/>
  <c r="B1426" i="106"/>
  <c r="D1426" i="106" s="1"/>
  <c r="K260" i="29"/>
  <c r="B1490" i="106" s="1"/>
  <c r="D1490" i="106" s="1"/>
  <c r="B7045" i="106"/>
  <c r="D7045" i="106" s="1"/>
  <c r="B6112" i="106"/>
  <c r="D6112" i="106" s="1"/>
  <c r="B6650" i="106"/>
  <c r="D6650" i="106" s="1"/>
  <c r="F138" i="34"/>
  <c r="B6708" i="106"/>
  <c r="D6708" i="106" s="1"/>
  <c r="K98" i="29"/>
  <c r="B7007" i="106" s="1"/>
  <c r="D7007" i="106" s="1"/>
  <c r="B7006" i="106"/>
  <c r="D7006" i="106" s="1"/>
  <c r="K228" i="29"/>
  <c r="B3392" i="106" s="1"/>
  <c r="D3392" i="106" s="1"/>
  <c r="B3389" i="106"/>
  <c r="D3389" i="106" s="1"/>
  <c r="B4181" i="106"/>
  <c r="D4181" i="106" s="1"/>
  <c r="B6098" i="106"/>
  <c r="D6098" i="106" s="1"/>
  <c r="B5275" i="106"/>
  <c r="D5275" i="106" s="1"/>
  <c r="F76" i="4"/>
  <c r="B3254" i="106" s="1"/>
  <c r="D3254" i="106" s="1"/>
  <c r="B5024" i="106"/>
  <c r="D5024" i="106" s="1"/>
  <c r="B6364" i="106"/>
  <c r="D6364" i="106" s="1"/>
  <c r="D18" i="4"/>
  <c r="B4132" i="106" s="1"/>
  <c r="D4132" i="106" s="1"/>
  <c r="B4114" i="106"/>
  <c r="D4114" i="106" s="1"/>
  <c r="B3368" i="106"/>
  <c r="D3368" i="106" s="1"/>
  <c r="B7102" i="106"/>
  <c r="D7102" i="106" s="1"/>
  <c r="G155" i="5"/>
  <c r="B4357" i="106" s="1"/>
  <c r="D4357" i="106" s="1"/>
  <c r="B6380" i="106"/>
  <c r="D6380" i="106" s="1"/>
  <c r="B5338" i="106"/>
  <c r="D5338" i="106" s="1"/>
  <c r="B5877" i="106"/>
  <c r="D5877" i="106" s="1"/>
  <c r="B833" i="106"/>
  <c r="D833" i="106" s="1"/>
  <c r="B851" i="106"/>
  <c r="D851" i="106" s="1"/>
  <c r="E57" i="29"/>
  <c r="B853" i="106" s="1"/>
  <c r="D853" i="106" s="1"/>
  <c r="F142" i="34"/>
  <c r="B6682" i="106"/>
  <c r="D6682" i="106" s="1"/>
  <c r="K218" i="29"/>
  <c r="B7075" i="106"/>
  <c r="D7075" i="106" s="1"/>
  <c r="B1414" i="106"/>
  <c r="D1414" i="106" s="1"/>
  <c r="K235" i="29"/>
  <c r="B1478" i="106" s="1"/>
  <c r="D1478" i="106" s="1"/>
  <c r="B4884" i="106"/>
  <c r="D4884" i="106" s="1"/>
  <c r="B4806" i="106"/>
  <c r="D4806" i="106" s="1"/>
  <c r="B4342" i="106"/>
  <c r="D4342" i="106" s="1"/>
  <c r="B4353" i="106"/>
  <c r="D4353" i="106" s="1"/>
  <c r="B6320" i="106"/>
  <c r="D6320" i="106" s="1"/>
  <c r="B6392" i="106"/>
  <c r="D6392" i="106" s="1"/>
  <c r="B7667" i="106"/>
  <c r="D7667" i="106" s="1"/>
  <c r="B7748" i="106"/>
  <c r="D7748" i="106" s="1"/>
  <c r="I47" i="4"/>
  <c r="C44" i="4"/>
  <c r="B5578" i="106"/>
  <c r="D5578" i="106" s="1"/>
  <c r="F27" i="34"/>
  <c r="J44" i="4"/>
  <c r="B7754" i="106"/>
  <c r="D7754" i="106" s="1"/>
  <c r="B3236" i="106"/>
  <c r="D3236" i="106" s="1"/>
  <c r="B1360" i="106"/>
  <c r="D1360" i="106" s="1"/>
  <c r="B6302" i="106"/>
  <c r="D6302" i="106" s="1"/>
  <c r="J18" i="5"/>
  <c r="B6306" i="106" s="1"/>
  <c r="D6306" i="106" s="1"/>
  <c r="B6343" i="106"/>
  <c r="D6343" i="106" s="1"/>
  <c r="B7157" i="106"/>
  <c r="D7157" i="106" s="1"/>
  <c r="B3648" i="106"/>
  <c r="D3648" i="106" s="1"/>
  <c r="B184" i="106"/>
  <c r="D184" i="106" s="1"/>
  <c r="B6235" i="106"/>
  <c r="D6235" i="106" s="1"/>
  <c r="B6114" i="106"/>
  <c r="D6114" i="106" s="1"/>
  <c r="B2769" i="106"/>
  <c r="D2769" i="106" s="1"/>
  <c r="B6181" i="106"/>
  <c r="D6181" i="106" s="1"/>
  <c r="B7815" i="106"/>
  <c r="D7815" i="106" s="1"/>
  <c r="B5734" i="106"/>
  <c r="D5734" i="106" s="1"/>
  <c r="G108" i="5"/>
  <c r="B5737" i="106" s="1"/>
  <c r="D5737" i="106" s="1"/>
  <c r="B5347" i="106"/>
  <c r="D5347" i="106" s="1"/>
  <c r="B4359" i="106"/>
  <c r="D4359" i="106" s="1"/>
  <c r="B717" i="106"/>
  <c r="D717" i="106" s="1"/>
  <c r="K13" i="29"/>
  <c r="B1105" i="106" s="1"/>
  <c r="D1105" i="106" s="1"/>
  <c r="B3620" i="106"/>
  <c r="D3620" i="106" s="1"/>
  <c r="K351" i="29"/>
  <c r="B3671" i="106" s="1"/>
  <c r="D3671" i="106" s="1"/>
  <c r="B5619" i="106"/>
  <c r="D5619" i="106" s="1"/>
  <c r="B3583" i="106"/>
  <c r="D3583" i="106" s="1"/>
  <c r="B6135" i="106"/>
  <c r="D6135" i="106" s="1"/>
  <c r="B7801" i="106"/>
  <c r="D7801" i="106" s="1"/>
  <c r="B5561" i="106"/>
  <c r="D5561" i="106" s="1"/>
  <c r="B6735" i="106"/>
  <c r="D6735" i="106" s="1"/>
  <c r="B6757" i="106"/>
  <c r="D6757" i="106" s="1"/>
  <c r="B6375" i="106"/>
  <c r="D6375" i="106" s="1"/>
  <c r="F20" i="34"/>
  <c r="B5568" i="106"/>
  <c r="D5568" i="106" s="1"/>
  <c r="B4419" i="106"/>
  <c r="D4419" i="106" s="1"/>
  <c r="B3297" i="106"/>
  <c r="D3297" i="106" s="1"/>
  <c r="B2840" i="106"/>
  <c r="D2840" i="106" s="1"/>
  <c r="B6980" i="106"/>
  <c r="D6980" i="106" s="1"/>
  <c r="B5494" i="106"/>
  <c r="D5494" i="106" s="1"/>
  <c r="F33" i="34"/>
  <c r="B6856" i="106"/>
  <c r="D6856" i="106" s="1"/>
  <c r="B5023" i="106"/>
  <c r="D5023" i="106" s="1"/>
  <c r="D76" i="4"/>
  <c r="B3237" i="106" s="1"/>
  <c r="D3237" i="106" s="1"/>
  <c r="B6704" i="106"/>
  <c r="D6704" i="106" s="1"/>
  <c r="B117" i="106"/>
  <c r="D117" i="106" s="1"/>
  <c r="B6828" i="106"/>
  <c r="D6828" i="106" s="1"/>
  <c r="B1419" i="106"/>
  <c r="D1419" i="106" s="1"/>
  <c r="K241" i="29"/>
  <c r="B1483" i="106" s="1"/>
  <c r="D1483" i="106" s="1"/>
  <c r="B6869" i="106"/>
  <c r="D6869" i="106" s="1"/>
  <c r="B6822" i="106"/>
  <c r="D6822" i="106" s="1"/>
  <c r="B1007" i="106"/>
  <c r="D1007" i="106" s="1"/>
  <c r="H65" i="29"/>
  <c r="B1035" i="106" s="1"/>
  <c r="D1035" i="106" s="1"/>
  <c r="B1028" i="106"/>
  <c r="D1028" i="106" s="1"/>
  <c r="B6404" i="106"/>
  <c r="D6404" i="106" s="1"/>
  <c r="B6623" i="106"/>
  <c r="D6623" i="106" s="1"/>
  <c r="B6774" i="106"/>
  <c r="D6774" i="106" s="1"/>
  <c r="B6104" i="106"/>
  <c r="D6104" i="106" s="1"/>
  <c r="B6719" i="106"/>
  <c r="D6719" i="106" s="1"/>
  <c r="D132" i="5"/>
  <c r="B5368" i="106"/>
  <c r="D5368" i="106" s="1"/>
  <c r="B6119" i="106"/>
  <c r="D6119" i="106" s="1"/>
  <c r="B4447" i="106"/>
  <c r="D4447" i="106" s="1"/>
  <c r="I13" i="3"/>
  <c r="B2888" i="106" s="1"/>
  <c r="D2888" i="106" s="1"/>
  <c r="D40" i="36"/>
  <c r="B3427" i="106"/>
  <c r="D3427" i="106" s="1"/>
  <c r="B6652" i="106"/>
  <c r="D6652" i="106" s="1"/>
  <c r="B6335" i="106"/>
  <c r="D6335" i="106" s="1"/>
  <c r="B6334" i="106"/>
  <c r="D6334" i="106" s="1"/>
  <c r="B6338" i="106"/>
  <c r="D6338" i="106" s="1"/>
  <c r="B6242" i="106"/>
  <c r="D6242" i="106" s="1"/>
  <c r="B6771" i="106"/>
  <c r="D6771" i="106" s="1"/>
  <c r="B6676" i="106"/>
  <c r="D6676" i="106" s="1"/>
  <c r="K354" i="29"/>
  <c r="B7791" i="106"/>
  <c r="D7791" i="106" s="1"/>
  <c r="H357" i="29"/>
  <c r="B7237" i="106" s="1"/>
  <c r="D7237" i="106" s="1"/>
  <c r="B3548" i="106"/>
  <c r="D3548" i="106" s="1"/>
  <c r="K13" i="3"/>
  <c r="B3552" i="106" s="1"/>
  <c r="D3552" i="106" s="1"/>
  <c r="B1373" i="106"/>
  <c r="D1373" i="106" s="1"/>
  <c r="K203" i="29"/>
  <c r="B1385" i="106" s="1"/>
  <c r="D1385" i="106" s="1"/>
  <c r="B5726" i="106"/>
  <c r="D5726" i="106" s="1"/>
  <c r="G18" i="5"/>
  <c r="B5730" i="106" s="1"/>
  <c r="D5730" i="106" s="1"/>
  <c r="B6827" i="106"/>
  <c r="D6827" i="106" s="1"/>
  <c r="B5315" i="106"/>
  <c r="D5315" i="106" s="1"/>
  <c r="F163" i="34"/>
  <c r="B7870" i="106" s="1"/>
  <c r="D7870" i="106" s="1"/>
  <c r="B6938" i="106"/>
  <c r="D6938" i="106" s="1"/>
  <c r="B1232" i="106"/>
  <c r="D1232" i="106" s="1"/>
  <c r="F127" i="29"/>
  <c r="B1247" i="106" s="1"/>
  <c r="D1247" i="106" s="1"/>
  <c r="B1243" i="106"/>
  <c r="D1243" i="106" s="1"/>
  <c r="B6792" i="106"/>
  <c r="D6792" i="106" s="1"/>
  <c r="B6156" i="106"/>
  <c r="D6156" i="106" s="1"/>
  <c r="B4352" i="106"/>
  <c r="D4352" i="106" s="1"/>
  <c r="K356" i="29"/>
  <c r="B3673" i="106" s="1"/>
  <c r="D3673" i="106" s="1"/>
  <c r="B7236" i="106"/>
  <c r="D7236" i="106" s="1"/>
  <c r="K8" i="29"/>
  <c r="B3380" i="106" s="1"/>
  <c r="D3380" i="106" s="1"/>
  <c r="B3366" i="106"/>
  <c r="D3366" i="106" s="1"/>
  <c r="B5586" i="106"/>
  <c r="D5586" i="106" s="1"/>
  <c r="B500" i="106"/>
  <c r="D500" i="106" s="1"/>
  <c r="B3483" i="106"/>
  <c r="D3483" i="106" s="1"/>
  <c r="B4920" i="106"/>
  <c r="D4920" i="106" s="1"/>
  <c r="B3374" i="106"/>
  <c r="D3374" i="106" s="1"/>
  <c r="B432" i="106"/>
  <c r="D432" i="106" s="1"/>
  <c r="B5099" i="106"/>
  <c r="D5099" i="106" s="1"/>
  <c r="B6960" i="106"/>
  <c r="D6960" i="106" s="1"/>
  <c r="B6728" i="106"/>
  <c r="D6728" i="106" s="1"/>
  <c r="B739" i="106"/>
  <c r="D739" i="106" s="1"/>
  <c r="K60" i="29"/>
  <c r="B1037" i="106"/>
  <c r="D1037" i="106" s="1"/>
  <c r="B5083" i="106"/>
  <c r="D5083" i="106" s="1"/>
  <c r="K122" i="5"/>
  <c r="B6000" i="106"/>
  <c r="D6000" i="106" s="1"/>
  <c r="B6403" i="106"/>
  <c r="D6403" i="106" s="1"/>
  <c r="B5791" i="106"/>
  <c r="D5791" i="106" s="1"/>
  <c r="B5559" i="106"/>
  <c r="D5559" i="106" s="1"/>
  <c r="B5485" i="106"/>
  <c r="D5485" i="106" s="1"/>
  <c r="D221" i="5"/>
  <c r="B5488" i="106" s="1"/>
  <c r="D5488" i="106" s="1"/>
  <c r="B6993" i="106"/>
  <c r="D6993" i="106" s="1"/>
  <c r="K91" i="29"/>
  <c r="B6994" i="106" s="1"/>
  <c r="D6994" i="106" s="1"/>
  <c r="B7170" i="106"/>
  <c r="D7170" i="106" s="1"/>
  <c r="B6750" i="106"/>
  <c r="D6750" i="106" s="1"/>
  <c r="B3085" i="106"/>
  <c r="D3085" i="106" s="1"/>
  <c r="B7704" i="106"/>
  <c r="D7704" i="106" s="1"/>
  <c r="B4380" i="106"/>
  <c r="D4380" i="106" s="1"/>
  <c r="K67" i="5"/>
  <c r="B5995" i="106" s="1"/>
  <c r="D5995" i="106" s="1"/>
  <c r="B5993" i="106"/>
  <c r="D5993" i="106" s="1"/>
  <c r="B7085" i="106"/>
  <c r="D7085" i="106" s="1"/>
  <c r="K250" i="29"/>
  <c r="B7086" i="106" s="1"/>
  <c r="D7086" i="106" s="1"/>
  <c r="B6292" i="106"/>
  <c r="D6292" i="106" s="1"/>
  <c r="K333" i="29"/>
  <c r="B7788" i="106" s="1"/>
  <c r="D7788" i="106" s="1"/>
  <c r="B7787" i="106"/>
  <c r="D7787" i="106" s="1"/>
  <c r="C155" i="5"/>
  <c r="B5175" i="106"/>
  <c r="D5175" i="106" s="1"/>
  <c r="B6359" i="106"/>
  <c r="D6359" i="106" s="1"/>
  <c r="B6662" i="106"/>
  <c r="D6662" i="106" s="1"/>
  <c r="B6178" i="106"/>
  <c r="D6178" i="106" s="1"/>
  <c r="B6826" i="106"/>
  <c r="D6826" i="106" s="1"/>
  <c r="B5738" i="106"/>
  <c r="D5738" i="106" s="1"/>
  <c r="G114" i="5"/>
  <c r="B5991" i="106"/>
  <c r="D5991" i="106" s="1"/>
  <c r="B913" i="106"/>
  <c r="D913" i="106" s="1"/>
  <c r="B4313" i="106"/>
  <c r="D4313" i="106" s="1"/>
  <c r="F30" i="34"/>
  <c r="B7823" i="106" s="1"/>
  <c r="B6876" i="106"/>
  <c r="D6876" i="106" s="1"/>
  <c r="K20" i="29"/>
  <c r="B7043" i="106"/>
  <c r="D7043" i="106" s="1"/>
  <c r="B7137" i="106"/>
  <c r="D7137" i="106" s="1"/>
  <c r="B1268" i="106"/>
  <c r="D1268" i="106" s="1"/>
  <c r="H147" i="29"/>
  <c r="K142" i="29"/>
  <c r="B7698" i="106"/>
  <c r="D7698" i="106" s="1"/>
  <c r="B6864" i="106"/>
  <c r="D6864" i="106" s="1"/>
  <c r="F18" i="34"/>
  <c r="B5564" i="106"/>
  <c r="D5564" i="106" s="1"/>
  <c r="B652" i="106"/>
  <c r="D652" i="106" s="1"/>
  <c r="B735" i="106"/>
  <c r="D735" i="106" s="1"/>
  <c r="C57" i="29"/>
  <c r="B737" i="106" s="1"/>
  <c r="D737" i="106" s="1"/>
  <c r="K55" i="29"/>
  <c r="B6081" i="106"/>
  <c r="D6081" i="106" s="1"/>
  <c r="B6854" i="106"/>
  <c r="D6854" i="106" s="1"/>
  <c r="F44" i="4"/>
  <c r="B7751" i="106"/>
  <c r="D7751" i="106" s="1"/>
  <c r="B7195" i="106"/>
  <c r="D7195" i="106" s="1"/>
  <c r="B7229" i="106"/>
  <c r="D7229" i="106" s="1"/>
  <c r="K254" i="29"/>
  <c r="B7094" i="106" s="1"/>
  <c r="D7094" i="106" s="1"/>
  <c r="B7093" i="106"/>
  <c r="D7093" i="106" s="1"/>
  <c r="B7049" i="106"/>
  <c r="D7049" i="106" s="1"/>
  <c r="K148" i="29"/>
  <c r="B7050" i="106" s="1"/>
  <c r="D7050" i="106" s="1"/>
  <c r="B6305" i="106"/>
  <c r="D6305" i="106" s="1"/>
  <c r="B4330" i="106"/>
  <c r="D4330" i="106" s="1"/>
  <c r="B5560" i="106"/>
  <c r="D5560" i="106" s="1"/>
  <c r="B6312" i="106"/>
  <c r="D6312" i="106" s="1"/>
  <c r="F88" i="34"/>
  <c r="B5735" i="106"/>
  <c r="D5735" i="106" s="1"/>
  <c r="F132" i="34"/>
  <c r="B7864" i="106" s="1"/>
  <c r="D7864" i="106" s="1"/>
  <c r="B4340" i="106"/>
  <c r="D4340" i="106" s="1"/>
  <c r="B6234" i="106"/>
  <c r="D6234" i="106" s="1"/>
  <c r="B6874" i="106"/>
  <c r="D6874" i="106" s="1"/>
  <c r="B7155" i="106"/>
  <c r="D7155" i="106" s="1"/>
  <c r="B793" i="106"/>
  <c r="D793" i="106" s="1"/>
  <c r="D57" i="29"/>
  <c r="B795" i="106" s="1"/>
  <c r="D795" i="106" s="1"/>
  <c r="K80" i="29"/>
  <c r="B2975" i="106" s="1"/>
  <c r="D2975" i="106" s="1"/>
  <c r="B2951" i="106"/>
  <c r="D2951" i="106" s="1"/>
  <c r="B6323" i="106"/>
  <c r="D6323" i="106" s="1"/>
  <c r="B7262" i="106"/>
  <c r="L53" i="29"/>
  <c r="B4369" i="106"/>
  <c r="D4369" i="106" s="1"/>
  <c r="B6317" i="106"/>
  <c r="D6317" i="106" s="1"/>
  <c r="B6796" i="106"/>
  <c r="D6796" i="106" s="1"/>
  <c r="B4210" i="106"/>
  <c r="D4210" i="106" s="1"/>
  <c r="K206" i="29"/>
  <c r="B6935" i="106"/>
  <c r="D6935" i="106" s="1"/>
  <c r="B6637" i="106"/>
  <c r="D6637" i="106" s="1"/>
  <c r="B5553" i="106"/>
  <c r="D5553" i="106" s="1"/>
  <c r="B7" i="7"/>
  <c r="F12" i="5"/>
  <c r="B1528" i="106"/>
  <c r="D1528" i="106" s="1"/>
  <c r="G221" i="5"/>
  <c r="B5847" i="106" s="1"/>
  <c r="D5847" i="106" s="1"/>
  <c r="B5844" i="106"/>
  <c r="D5844" i="106" s="1"/>
  <c r="B5740" i="106"/>
  <c r="D5740" i="106" s="1"/>
  <c r="B6401" i="106"/>
  <c r="D6401" i="106" s="1"/>
  <c r="C198" i="5"/>
  <c r="B4316" i="106"/>
  <c r="D4316" i="106" s="1"/>
  <c r="B6663" i="106"/>
  <c r="D6663" i="106" s="1"/>
  <c r="B1051" i="106"/>
  <c r="D1051" i="106" s="1"/>
  <c r="K109" i="29"/>
  <c r="B1149" i="106" s="1"/>
  <c r="D1149" i="106" s="1"/>
  <c r="B3631" i="106"/>
  <c r="D3631" i="106" s="1"/>
  <c r="E350" i="29"/>
  <c r="B814" i="106"/>
  <c r="D814" i="106" s="1"/>
  <c r="B7022" i="106"/>
  <c r="D7022" i="106" s="1"/>
  <c r="B4922" i="106"/>
  <c r="D4922" i="106" s="1"/>
  <c r="B6937" i="106"/>
  <c r="D6937" i="106" s="1"/>
  <c r="B5095" i="106"/>
  <c r="D5095" i="106" s="1"/>
  <c r="B961" i="106"/>
  <c r="D961" i="106" s="1"/>
  <c r="B6640" i="106"/>
  <c r="D6640" i="106" s="1"/>
  <c r="B3257" i="106"/>
  <c r="D3257" i="106" s="1"/>
  <c r="B988" i="106"/>
  <c r="D988" i="106" s="1"/>
  <c r="B6157" i="106"/>
  <c r="D6157" i="106" s="1"/>
  <c r="B7168" i="106"/>
  <c r="D7168" i="106" s="1"/>
  <c r="B6775" i="106"/>
  <c r="D6775" i="106" s="1"/>
  <c r="B6256" i="106"/>
  <c r="D6256" i="106" s="1"/>
  <c r="B7164" i="106"/>
  <c r="D7164" i="106" s="1"/>
  <c r="B6095" i="106"/>
  <c r="D6095" i="106" s="1"/>
  <c r="B4409" i="106"/>
  <c r="D4409" i="106" s="1"/>
  <c r="B6645" i="106"/>
  <c r="D6645" i="106" s="1"/>
  <c r="B852" i="106"/>
  <c r="D852" i="106" s="1"/>
  <c r="B134" i="106"/>
  <c r="D134" i="106" s="1"/>
  <c r="B4874" i="106"/>
  <c r="D4874" i="106" s="1"/>
  <c r="B6959" i="106"/>
  <c r="D6959" i="106" s="1"/>
  <c r="B7191" i="106"/>
  <c r="D7191" i="106" s="1"/>
  <c r="H33" i="29"/>
  <c r="B1010" i="106" s="1"/>
  <c r="D1010" i="106" s="1"/>
  <c r="B995" i="106"/>
  <c r="D995" i="106" s="1"/>
  <c r="B5337" i="106"/>
  <c r="D5337" i="106" s="1"/>
  <c r="H204" i="29"/>
  <c r="K199" i="29"/>
  <c r="B1371" i="106"/>
  <c r="D1371" i="106" s="1"/>
  <c r="B6968" i="106"/>
  <c r="D6968" i="106" s="1"/>
  <c r="B7805" i="106"/>
  <c r="D7805" i="106" s="1"/>
  <c r="K284" i="29"/>
  <c r="B4166" i="106" s="1"/>
  <c r="D4166" i="106" s="1"/>
  <c r="B4165" i="106"/>
  <c r="D4165" i="106" s="1"/>
  <c r="F65" i="29"/>
  <c r="B919" i="106" s="1"/>
  <c r="D919" i="106" s="1"/>
  <c r="B912" i="106"/>
  <c r="D912" i="106" s="1"/>
  <c r="B5079" i="106"/>
  <c r="D5079" i="106" s="1"/>
  <c r="B6725" i="106"/>
  <c r="D6725" i="106" s="1"/>
  <c r="B6920" i="106"/>
  <c r="D6920" i="106" s="1"/>
  <c r="B6760" i="106"/>
  <c r="D6760" i="106" s="1"/>
  <c r="B864" i="106"/>
  <c r="D864" i="106" s="1"/>
  <c r="H194" i="29"/>
  <c r="B2995" i="106"/>
  <c r="D2995" i="106" s="1"/>
  <c r="B2959" i="106"/>
  <c r="D2959" i="106" s="1"/>
  <c r="L362" i="29"/>
  <c r="L365" i="29" s="1"/>
  <c r="B1015" i="106"/>
  <c r="D1015" i="106" s="1"/>
  <c r="F140" i="34"/>
  <c r="B6666" i="106"/>
  <c r="D6666" i="106" s="1"/>
  <c r="B3295" i="106"/>
  <c r="D3295" i="106" s="1"/>
  <c r="B1228" i="106"/>
  <c r="D1228" i="106" s="1"/>
  <c r="B7109" i="106"/>
  <c r="D7109" i="106" s="1"/>
  <c r="B5393" i="106"/>
  <c r="D5393" i="106" s="1"/>
  <c r="B791" i="106"/>
  <c r="D791" i="106" s="1"/>
  <c r="B6670" i="106"/>
  <c r="D6670" i="106" s="1"/>
  <c r="B6740" i="106"/>
  <c r="D6740" i="106" s="1"/>
  <c r="K183" i="29"/>
  <c r="B1380" i="106" s="1"/>
  <c r="D1380" i="106" s="1"/>
  <c r="B1338" i="106"/>
  <c r="D1338" i="106" s="1"/>
  <c r="B4329" i="106"/>
  <c r="D4329" i="106" s="1"/>
  <c r="F121" i="34"/>
  <c r="C108" i="5"/>
  <c r="B5120" i="106" s="1"/>
  <c r="D5120" i="106" s="1"/>
  <c r="B5113" i="106"/>
  <c r="D5113" i="106" s="1"/>
  <c r="F102" i="34"/>
  <c r="B7839" i="106" s="1"/>
  <c r="D7839" i="106" s="1"/>
  <c r="G12" i="5"/>
  <c r="B5722" i="106"/>
  <c r="D5722" i="106" s="1"/>
  <c r="B7058" i="106"/>
  <c r="D7058" i="106" s="1"/>
  <c r="J184" i="29"/>
  <c r="B6969" i="106"/>
  <c r="D6969" i="106" s="1"/>
  <c r="B7210" i="106"/>
  <c r="D7210" i="106" s="1"/>
  <c r="K338" i="29"/>
  <c r="B7211" i="106" s="1"/>
  <c r="D7211" i="106" s="1"/>
  <c r="B3411" i="106"/>
  <c r="D3411" i="106" s="1"/>
  <c r="C13" i="3"/>
  <c r="B77" i="106" s="1"/>
  <c r="D77" i="106" s="1"/>
  <c r="H24" i="118"/>
  <c r="D34" i="36"/>
  <c r="B5731" i="106"/>
  <c r="D5731" i="106" s="1"/>
  <c r="G67" i="5"/>
  <c r="B5733" i="106" s="1"/>
  <c r="D5733" i="106" s="1"/>
  <c r="B1002" i="106"/>
  <c r="D1002" i="106" s="1"/>
  <c r="B5519" i="106"/>
  <c r="D5519" i="106" s="1"/>
  <c r="E67" i="5"/>
  <c r="B5521" i="106" s="1"/>
  <c r="D5521" i="106" s="1"/>
  <c r="B6258" i="106"/>
  <c r="D6258" i="106" s="1"/>
  <c r="B5463" i="106"/>
  <c r="D5463" i="106" s="1"/>
  <c r="L84" i="29"/>
  <c r="B6805" i="106"/>
  <c r="D6805" i="106" s="1"/>
  <c r="B7024" i="106"/>
  <c r="D7024" i="106" s="1"/>
  <c r="I127" i="29"/>
  <c r="B7033" i="106" s="1"/>
  <c r="D7033" i="106" s="1"/>
  <c r="B6745" i="106"/>
  <c r="D6745" i="106" s="1"/>
  <c r="B202" i="106"/>
  <c r="D202" i="106" s="1"/>
  <c r="B2979" i="106"/>
  <c r="D2979" i="106" s="1"/>
  <c r="B7637" i="106"/>
  <c r="F117" i="34"/>
  <c r="B7851" i="106" s="1"/>
  <c r="D7851" i="106" s="1"/>
  <c r="B5060" i="106"/>
  <c r="D5060" i="106" s="1"/>
  <c r="B4919" i="106"/>
  <c r="D4919" i="106" s="1"/>
  <c r="B6646" i="106"/>
  <c r="D6646" i="106" s="1"/>
  <c r="B6734" i="106"/>
  <c r="D6734" i="106" s="1"/>
  <c r="B7249" i="106"/>
  <c r="D7249" i="106" s="1"/>
  <c r="B3581" i="106"/>
  <c r="D3581" i="106" s="1"/>
  <c r="B812" i="106"/>
  <c r="D812" i="106" s="1"/>
  <c r="B3627" i="106"/>
  <c r="D3627" i="106" s="1"/>
  <c r="B5135" i="106"/>
  <c r="D5135" i="106" s="1"/>
  <c r="B6797" i="106"/>
  <c r="D6797" i="106" s="1"/>
  <c r="B842" i="106"/>
  <c r="D842" i="106" s="1"/>
  <c r="B5077" i="106"/>
  <c r="D5077" i="106" s="1"/>
  <c r="B7803" i="106"/>
  <c r="D7803" i="106" s="1"/>
  <c r="B4917" i="106"/>
  <c r="D4917" i="106" s="1"/>
  <c r="B957" i="106"/>
  <c r="D957" i="106" s="1"/>
  <c r="B5065" i="106"/>
  <c r="D5065" i="106" s="1"/>
  <c r="B18" i="7"/>
  <c r="B900" i="106"/>
  <c r="D900" i="106" s="1"/>
  <c r="B972" i="106"/>
  <c r="D972" i="106" s="1"/>
  <c r="B4354" i="106"/>
  <c r="D4354" i="106" s="1"/>
  <c r="B980" i="106"/>
  <c r="D980" i="106" s="1"/>
  <c r="B800" i="106"/>
  <c r="D800" i="106" s="1"/>
  <c r="B6326" i="106"/>
  <c r="D6326" i="106" s="1"/>
  <c r="B6643" i="106"/>
  <c r="D6643" i="106" s="1"/>
  <c r="B6331" i="106"/>
  <c r="D6331" i="106" s="1"/>
  <c r="B3253" i="106"/>
  <c r="D3253" i="106" s="1"/>
  <c r="B4420" i="106"/>
  <c r="D4420" i="106" s="1"/>
  <c r="B7031" i="106"/>
  <c r="D7031" i="106" s="1"/>
  <c r="B7265" i="106"/>
  <c r="B6955" i="106"/>
  <c r="D6955" i="106" s="1"/>
  <c r="B7185" i="106"/>
  <c r="D7185" i="106" s="1"/>
  <c r="B7184" i="106"/>
  <c r="D7184" i="106" s="1"/>
  <c r="B2719" i="106"/>
  <c r="D2719" i="106" s="1"/>
  <c r="B7769" i="106"/>
  <c r="D7769" i="106" s="1"/>
  <c r="B7656" i="106"/>
  <c r="D7656" i="106" s="1"/>
  <c r="B7669" i="106"/>
  <c r="D7669" i="106" s="1"/>
  <c r="B954" i="106"/>
  <c r="D954" i="106" s="1"/>
  <c r="K195" i="29"/>
  <c r="B2839" i="106" s="1"/>
  <c r="D2839" i="106" s="1"/>
  <c r="B2824" i="106"/>
  <c r="D2824" i="106" s="1"/>
  <c r="B5350" i="106"/>
  <c r="D5350" i="106" s="1"/>
  <c r="K326" i="29"/>
  <c r="B7181" i="106"/>
  <c r="D7181" i="106" s="1"/>
  <c r="B6667" i="106"/>
  <c r="D6667" i="106" s="1"/>
  <c r="K134" i="29"/>
  <c r="B2986" i="106" s="1"/>
  <c r="D2986" i="106" s="1"/>
  <c r="B4199" i="106"/>
  <c r="D4199" i="106" s="1"/>
  <c r="B1029" i="106"/>
  <c r="D1029" i="106" s="1"/>
  <c r="K123" i="29"/>
  <c r="B1275" i="106" s="1"/>
  <c r="D1275" i="106" s="1"/>
  <c r="B1220" i="106"/>
  <c r="D1220" i="106" s="1"/>
  <c r="B5104" i="106"/>
  <c r="D5104" i="106" s="1"/>
  <c r="B1335" i="106"/>
  <c r="D1335" i="106" s="1"/>
  <c r="K182" i="29"/>
  <c r="B1377" i="106" s="1"/>
  <c r="D1377" i="106" s="1"/>
  <c r="B1549" i="106"/>
  <c r="D1549" i="106" s="1"/>
  <c r="H303" i="29"/>
  <c r="B7059" i="106"/>
  <c r="D7059" i="106" s="1"/>
  <c r="B849" i="106"/>
  <c r="D849" i="106" s="1"/>
  <c r="B986" i="106"/>
  <c r="D986" i="106" s="1"/>
  <c r="B5520" i="106"/>
  <c r="D5520" i="106" s="1"/>
  <c r="J169" i="5"/>
  <c r="B6396" i="106" s="1"/>
  <c r="D6396" i="106" s="1"/>
  <c r="B6373" i="106"/>
  <c r="D6373" i="106" s="1"/>
  <c r="B7246" i="106"/>
  <c r="D7246" i="106" s="1"/>
  <c r="I108" i="5"/>
  <c r="B5930" i="106" s="1"/>
  <c r="D5930" i="106" s="1"/>
  <c r="B5927" i="106"/>
  <c r="D5927" i="106" s="1"/>
  <c r="F19" i="34"/>
  <c r="B5567" i="106"/>
  <c r="D5567" i="106" s="1"/>
  <c r="B5027" i="106"/>
  <c r="D5027" i="106" s="1"/>
  <c r="B780" i="106"/>
  <c r="D780" i="106" s="1"/>
  <c r="B6957" i="106"/>
  <c r="D6957" i="106" s="1"/>
  <c r="D72" i="36"/>
  <c r="B2757" i="106"/>
  <c r="D2757" i="106" s="1"/>
  <c r="B5696" i="106"/>
  <c r="D5696" i="106" s="1"/>
  <c r="B2980" i="106"/>
  <c r="D2980" i="106" s="1"/>
  <c r="B6922" i="106"/>
  <c r="D6922" i="106" s="1"/>
  <c r="B5122" i="106"/>
  <c r="D5122" i="106" s="1"/>
  <c r="C114" i="5"/>
  <c r="B4771" i="106"/>
  <c r="D4771" i="106" s="1"/>
  <c r="B16" i="7"/>
  <c r="B3446" i="106" s="1"/>
  <c r="D3446" i="106" s="1"/>
  <c r="B5723" i="106"/>
  <c r="D5723" i="106" s="1"/>
  <c r="F34" i="3"/>
  <c r="B169" i="106" s="1"/>
  <c r="D169" i="106" s="1"/>
  <c r="B6128" i="106"/>
  <c r="D6128" i="106" s="1"/>
  <c r="B4328" i="106"/>
  <c r="D4328" i="106" s="1"/>
  <c r="B5063" i="106"/>
  <c r="D5063" i="106" s="1"/>
  <c r="B14" i="7"/>
  <c r="H5" i="12"/>
  <c r="K97" i="29"/>
  <c r="B7005" i="106" s="1"/>
  <c r="D7005" i="106" s="1"/>
  <c r="B7004" i="106"/>
  <c r="D7004" i="106" s="1"/>
  <c r="B6878" i="106"/>
  <c r="D6878" i="106" s="1"/>
  <c r="K21" i="29"/>
  <c r="B6879" i="106" s="1"/>
  <c r="D6879" i="106" s="1"/>
  <c r="B5240" i="106"/>
  <c r="D5240" i="106" s="1"/>
  <c r="B7253" i="106"/>
  <c r="D7253" i="106" s="1"/>
  <c r="I184" i="29"/>
  <c r="B7063" i="106" s="1"/>
  <c r="D7063" i="106" s="1"/>
  <c r="B7057" i="106"/>
  <c r="D7057" i="106" s="1"/>
  <c r="B5732" i="106"/>
  <c r="D5732" i="106" s="1"/>
  <c r="D67" i="5"/>
  <c r="B5342" i="106" s="1"/>
  <c r="D5342" i="106" s="1"/>
  <c r="B5340" i="106"/>
  <c r="D5340" i="106" s="1"/>
  <c r="B6090" i="106"/>
  <c r="D6090" i="106" s="1"/>
  <c r="B4116" i="106"/>
  <c r="D4116" i="106" s="1"/>
  <c r="F18" i="4"/>
  <c r="B4133" i="106" s="1"/>
  <c r="D4133" i="106" s="1"/>
  <c r="B5330" i="106"/>
  <c r="D5330" i="106" s="1"/>
  <c r="B857" i="106"/>
  <c r="D857" i="106" s="1"/>
  <c r="B1420" i="106"/>
  <c r="D1420" i="106" s="1"/>
  <c r="K242" i="29"/>
  <c r="B1484" i="106" s="1"/>
  <c r="D1484" i="106" s="1"/>
  <c r="B5137" i="106"/>
  <c r="D5137" i="106" s="1"/>
  <c r="F303" i="29"/>
  <c r="B1541" i="106" s="1"/>
  <c r="D1541" i="106" s="1"/>
  <c r="B1537" i="106"/>
  <c r="D1537" i="106" s="1"/>
  <c r="B5790" i="106"/>
  <c r="D5790" i="106" s="1"/>
  <c r="G204" i="5"/>
  <c r="B5803" i="106" s="1"/>
  <c r="D5803" i="106" s="1"/>
  <c r="B2092" i="106"/>
  <c r="D2092" i="106" s="1"/>
  <c r="K138" i="29"/>
  <c r="B2094" i="106" s="1"/>
  <c r="D2094" i="106" s="1"/>
  <c r="B6635" i="106"/>
  <c r="D6635" i="106" s="1"/>
  <c r="B4191" i="106"/>
  <c r="D4191" i="106" s="1"/>
  <c r="C93" i="5"/>
  <c r="B5112" i="106" s="1"/>
  <c r="D5112" i="106" s="1"/>
  <c r="B5103" i="106"/>
  <c r="D5103" i="106" s="1"/>
  <c r="F97" i="34"/>
  <c r="B5181" i="106"/>
  <c r="D5181" i="106" s="1"/>
  <c r="F113" i="34"/>
  <c r="K37" i="29"/>
  <c r="B1110" i="106" s="1"/>
  <c r="D1110" i="106" s="1"/>
  <c r="B722" i="106"/>
  <c r="D722" i="106" s="1"/>
  <c r="B1357" i="106"/>
  <c r="D1357" i="106" s="1"/>
  <c r="B6140" i="106"/>
  <c r="D6140" i="106" s="1"/>
  <c r="F150" i="34"/>
  <c r="B6769" i="106"/>
  <c r="D6769" i="106" s="1"/>
  <c r="B6718" i="106"/>
  <c r="D6718" i="106" s="1"/>
  <c r="B7166" i="106"/>
  <c r="D7166" i="106" s="1"/>
  <c r="B5105" i="106"/>
  <c r="D5105" i="106" s="1"/>
  <c r="B7232" i="106"/>
  <c r="D7232" i="106" s="1"/>
  <c r="B1316" i="106"/>
  <c r="D1316" i="106" s="1"/>
  <c r="B6954" i="106"/>
  <c r="D6954" i="106" s="1"/>
  <c r="H47" i="29"/>
  <c r="B1021" i="106" s="1"/>
  <c r="D1021" i="106" s="1"/>
  <c r="B1018" i="106"/>
  <c r="D1018" i="106" s="1"/>
  <c r="H84" i="29"/>
  <c r="B2955" i="106"/>
  <c r="D2955" i="106" s="1"/>
  <c r="B6811" i="106"/>
  <c r="D6811" i="106" s="1"/>
  <c r="H18" i="5"/>
  <c r="B5878" i="106" s="1"/>
  <c r="D5878" i="106" s="1"/>
  <c r="B5874" i="106"/>
  <c r="D5874" i="106" s="1"/>
  <c r="B3493" i="106"/>
  <c r="D3493" i="106" s="1"/>
  <c r="B1257" i="106"/>
  <c r="D1257" i="106" s="1"/>
  <c r="I303" i="29"/>
  <c r="B7099" i="106"/>
  <c r="D7099" i="106" s="1"/>
  <c r="B6808" i="106"/>
  <c r="D6808" i="106" s="1"/>
  <c r="B1229" i="106"/>
  <c r="D1229" i="106" s="1"/>
  <c r="B834" i="106"/>
  <c r="D834" i="106" s="1"/>
  <c r="B6344" i="106"/>
  <c r="D6344" i="106" s="1"/>
  <c r="B956" i="106"/>
  <c r="D956" i="106" s="1"/>
  <c r="B6303" i="106"/>
  <c r="D6303" i="106" s="1"/>
  <c r="B6614" i="106"/>
  <c r="D6614" i="106" s="1"/>
  <c r="C252" i="5"/>
  <c r="B6833" i="106" s="1"/>
  <c r="D6833" i="106" s="1"/>
  <c r="B7255" i="106"/>
  <c r="D7255" i="106" s="1"/>
  <c r="B6395" i="106"/>
  <c r="D6395" i="106" s="1"/>
  <c r="B3251" i="106"/>
  <c r="D3251" i="106" s="1"/>
  <c r="C141" i="5"/>
  <c r="B5148" i="106"/>
  <c r="D5148" i="106" s="1"/>
  <c r="B1039" i="106"/>
  <c r="D1039" i="106" s="1"/>
  <c r="B6860" i="106"/>
  <c r="D6860" i="106" s="1"/>
  <c r="B973" i="106"/>
  <c r="D973" i="106" s="1"/>
  <c r="B5523" i="106"/>
  <c r="D5523" i="106" s="1"/>
  <c r="E18" i="4"/>
  <c r="B4175" i="106" s="1"/>
  <c r="D4175" i="106" s="1"/>
  <c r="B4115" i="106"/>
  <c r="D4115" i="106" s="1"/>
  <c r="B6116" i="106"/>
  <c r="D6116" i="106" s="1"/>
  <c r="K94" i="29"/>
  <c r="B6999" i="106" s="1"/>
  <c r="D6999" i="106" s="1"/>
  <c r="B6998" i="106"/>
  <c r="D6998" i="106" s="1"/>
  <c r="B4192" i="106"/>
  <c r="D4192" i="106" s="1"/>
  <c r="B6913" i="106"/>
  <c r="D6913" i="106" s="1"/>
  <c r="B5247" i="106"/>
  <c r="D5247" i="106" s="1"/>
  <c r="C204" i="5"/>
  <c r="B86" i="106"/>
  <c r="D86" i="106" s="1"/>
  <c r="K219" i="29"/>
  <c r="B3065" i="106" s="1"/>
  <c r="D3065" i="106" s="1"/>
  <c r="B3064" i="106"/>
  <c r="D3064" i="106" s="1"/>
  <c r="B2994" i="106"/>
  <c r="D2994" i="106" s="1"/>
  <c r="K193" i="29"/>
  <c r="B3012" i="106" s="1"/>
  <c r="D3012" i="106" s="1"/>
  <c r="B6731" i="106"/>
  <c r="D6731" i="106" s="1"/>
  <c r="B6372" i="106"/>
  <c r="D6372" i="106" s="1"/>
  <c r="I169" i="5"/>
  <c r="B3484" i="106"/>
  <c r="D3484" i="106" s="1"/>
  <c r="F153" i="34"/>
  <c r="B6793" i="106"/>
  <c r="D6793" i="106" s="1"/>
  <c r="B1312" i="106"/>
  <c r="D1312" i="106" s="1"/>
  <c r="K169" i="29"/>
  <c r="B1326" i="106" s="1"/>
  <c r="D1326" i="106" s="1"/>
  <c r="B3059" i="106"/>
  <c r="D3059" i="106" s="1"/>
  <c r="B5565" i="106"/>
  <c r="D5565" i="106" s="1"/>
  <c r="F86" i="34"/>
  <c r="K226" i="29"/>
  <c r="B7080" i="106" s="1"/>
  <c r="D7080" i="106" s="1"/>
  <c r="B7079" i="106"/>
  <c r="D7079" i="106" s="1"/>
  <c r="B7638" i="106"/>
  <c r="B7138" i="106"/>
  <c r="D7138" i="106" s="1"/>
  <c r="B968" i="106"/>
  <c r="D968" i="106" s="1"/>
  <c r="B7680" i="106"/>
  <c r="D7680" i="106" s="1"/>
  <c r="B6720" i="106"/>
  <c r="D6720" i="106" s="1"/>
  <c r="F145" i="34"/>
  <c r="D42" i="29"/>
  <c r="B785" i="106" s="1"/>
  <c r="D785" i="106" s="1"/>
  <c r="B779" i="106"/>
  <c r="D779" i="106" s="1"/>
  <c r="B6689" i="106"/>
  <c r="D6689" i="106" s="1"/>
  <c r="B1009" i="106"/>
  <c r="D1009" i="106" s="1"/>
  <c r="B5920" i="106"/>
  <c r="D5920" i="106" s="1"/>
  <c r="K9" i="12"/>
  <c r="B7714" i="106" s="1"/>
  <c r="D7714" i="106" s="1"/>
  <c r="F111" i="34"/>
  <c r="B7846" i="106" s="1"/>
  <c r="D7846" i="106" s="1"/>
  <c r="B5168" i="106"/>
  <c r="D5168" i="106" s="1"/>
  <c r="B837" i="106"/>
  <c r="D837" i="106" s="1"/>
  <c r="E42" i="29"/>
  <c r="H53" i="29"/>
  <c r="B1024" i="106" s="1"/>
  <c r="D1024" i="106" s="1"/>
  <c r="B1022" i="106"/>
  <c r="D1022" i="106" s="1"/>
  <c r="L160" i="29"/>
  <c r="B7174" i="106"/>
  <c r="D7174" i="106" s="1"/>
  <c r="B1313" i="106"/>
  <c r="D1313" i="106" s="1"/>
  <c r="K167" i="29"/>
  <c r="B1327" i="106" s="1"/>
  <c r="D1327" i="106" s="1"/>
  <c r="B1431" i="106"/>
  <c r="D1431" i="106" s="1"/>
  <c r="K266" i="29"/>
  <c r="B1495" i="106" s="1"/>
  <c r="D1495" i="106" s="1"/>
  <c r="B4337" i="106"/>
  <c r="D4337" i="106" s="1"/>
  <c r="B5354" i="106"/>
  <c r="D5354" i="106" s="1"/>
  <c r="B5117" i="106"/>
  <c r="D5117" i="106" s="1"/>
  <c r="B3377" i="106"/>
  <c r="D3377" i="106" s="1"/>
  <c r="B2794" i="106"/>
  <c r="D2794" i="106" s="1"/>
  <c r="K52" i="29"/>
  <c r="B6940" i="106" s="1"/>
  <c r="D6940" i="106" s="1"/>
  <c r="B6932" i="106"/>
  <c r="D6932" i="106" s="1"/>
  <c r="B6188" i="106"/>
  <c r="D6188" i="106" s="1"/>
  <c r="K328" i="29"/>
  <c r="B7696" i="106" s="1"/>
  <c r="D7696" i="106" s="1"/>
  <c r="B7688" i="106"/>
  <c r="D7688" i="106" s="1"/>
  <c r="B7664" i="106"/>
  <c r="D7664" i="106" s="1"/>
  <c r="B7163" i="106"/>
  <c r="D7163" i="106" s="1"/>
  <c r="K324" i="29"/>
  <c r="B7666" i="106"/>
  <c r="D7666" i="106" s="1"/>
  <c r="B651" i="106"/>
  <c r="D651" i="106" s="1"/>
  <c r="B4079" i="106"/>
  <c r="D4079" i="106" s="1"/>
  <c r="B6361" i="106"/>
  <c r="D6361" i="106" s="1"/>
  <c r="B6737" i="106"/>
  <c r="D6737" i="106" s="1"/>
  <c r="F147" i="34"/>
  <c r="J252" i="5"/>
  <c r="B6620" i="106"/>
  <c r="D6620" i="106" s="1"/>
  <c r="E184" i="29"/>
  <c r="B4083" i="106"/>
  <c r="D4083" i="106" s="1"/>
  <c r="B5310" i="106"/>
  <c r="D5310" i="106" s="1"/>
  <c r="B6989" i="106"/>
  <c r="D6989" i="106" s="1"/>
  <c r="K89" i="29"/>
  <c r="B6990" i="106" s="1"/>
  <c r="D6990" i="106" s="1"/>
  <c r="B914" i="106"/>
  <c r="D914" i="106" s="1"/>
  <c r="B6369" i="106"/>
  <c r="D6369" i="106" s="1"/>
  <c r="D82" i="5"/>
  <c r="B5348" i="106" s="1"/>
  <c r="D5348" i="106" s="1"/>
  <c r="B5343" i="106"/>
  <c r="D5343" i="106" s="1"/>
  <c r="B1041" i="106"/>
  <c r="D1041" i="106" s="1"/>
  <c r="B3646" i="106"/>
  <c r="D3646" i="106" s="1"/>
  <c r="B3530" i="106"/>
  <c r="D3530" i="106" s="1"/>
  <c r="B1525" i="106"/>
  <c r="D1525" i="106" s="1"/>
  <c r="D303" i="29"/>
  <c r="B7196" i="106"/>
  <c r="D7196" i="106" s="1"/>
  <c r="B7131" i="106"/>
  <c r="D7131" i="106" s="1"/>
  <c r="K73" i="29"/>
  <c r="B1142" i="106" s="1"/>
  <c r="D1142" i="106" s="1"/>
  <c r="B754" i="106"/>
  <c r="D754" i="106" s="1"/>
  <c r="L127" i="29"/>
  <c r="L129" i="29" s="1"/>
  <c r="B5609" i="106"/>
  <c r="D5609" i="106" s="1"/>
  <c r="B620" i="106"/>
  <c r="D620" i="106" s="1"/>
  <c r="B4366" i="106"/>
  <c r="D4366" i="106" s="1"/>
  <c r="I175" i="5"/>
  <c r="B955" i="106"/>
  <c r="D955" i="106" s="1"/>
  <c r="E53" i="29"/>
  <c r="B850" i="106" s="1"/>
  <c r="D850" i="106" s="1"/>
  <c r="B848" i="106"/>
  <c r="D848" i="106" s="1"/>
  <c r="B4075" i="106"/>
  <c r="D4075" i="106" s="1"/>
  <c r="B7188" i="106"/>
  <c r="D7188" i="106" s="1"/>
  <c r="C188" i="5"/>
  <c r="B5233" i="106"/>
  <c r="D5233" i="106" s="1"/>
  <c r="B6241" i="106"/>
  <c r="D6241" i="106" s="1"/>
  <c r="B6693" i="106"/>
  <c r="D6693" i="106" s="1"/>
  <c r="B5333" i="106"/>
  <c r="D5333" i="106" s="1"/>
  <c r="L330" i="29"/>
  <c r="B1044" i="106"/>
  <c r="D1044" i="106" s="1"/>
  <c r="B4886" i="106"/>
  <c r="D4886" i="106" s="1"/>
  <c r="B890" i="106"/>
  <c r="D890" i="106" s="1"/>
  <c r="B2720" i="106"/>
  <c r="D2720" i="106" s="1"/>
  <c r="B6929" i="106"/>
  <c r="D6929" i="106" s="1"/>
  <c r="B6798" i="106"/>
  <c r="D6798" i="106" s="1"/>
  <c r="B6777" i="106"/>
  <c r="D6777" i="106" s="1"/>
  <c r="F151" i="34"/>
  <c r="B5529" i="106"/>
  <c r="D5529" i="106" s="1"/>
  <c r="B6325" i="106"/>
  <c r="D6325" i="106" s="1"/>
  <c r="B6329" i="106"/>
  <c r="D6329" i="106" s="1"/>
  <c r="B3492" i="106"/>
  <c r="D3492" i="106" s="1"/>
  <c r="B6253" i="106"/>
  <c r="D6253" i="106" s="1"/>
  <c r="B2799" i="106"/>
  <c r="D2799" i="106" s="1"/>
  <c r="B4446" i="106"/>
  <c r="D4446" i="106" s="1"/>
  <c r="B6707" i="106"/>
  <c r="D6707" i="106" s="1"/>
  <c r="B6251" i="106"/>
  <c r="D6251" i="106" s="1"/>
  <c r="B5880" i="106"/>
  <c r="D5880" i="106" s="1"/>
  <c r="B6863" i="106"/>
  <c r="D6863" i="106" s="1"/>
  <c r="B6381" i="106"/>
  <c r="D6381" i="106" s="1"/>
  <c r="B923" i="106"/>
  <c r="D923" i="106" s="1"/>
  <c r="B6399" i="106"/>
  <c r="D6399" i="106" s="1"/>
  <c r="B6965" i="106"/>
  <c r="D6965" i="106" s="1"/>
  <c r="B152" i="106"/>
  <c r="D152" i="106" s="1"/>
  <c r="B1014" i="106"/>
  <c r="D1014" i="106" s="1"/>
  <c r="B6668" i="106"/>
  <c r="D6668" i="106" s="1"/>
  <c r="J76" i="4"/>
  <c r="B6261" i="106" s="1"/>
  <c r="D6261" i="106" s="1"/>
  <c r="B6239" i="106"/>
  <c r="D6239" i="106" s="1"/>
  <c r="H42" i="29"/>
  <c r="B1011" i="106"/>
  <c r="D1011" i="106" s="1"/>
  <c r="J175" i="5"/>
  <c r="B6400" i="106" s="1"/>
  <c r="D6400" i="106" s="1"/>
  <c r="B6398" i="106"/>
  <c r="D6398" i="106" s="1"/>
  <c r="B1411" i="106"/>
  <c r="D1411" i="106" s="1"/>
  <c r="K232" i="29"/>
  <c r="D238" i="29"/>
  <c r="B916" i="106"/>
  <c r="D916" i="106" s="1"/>
  <c r="B7884" i="106"/>
  <c r="D7884" i="106" s="1"/>
  <c r="B6408" i="106"/>
  <c r="D6408" i="106" s="1"/>
  <c r="B7694" i="106"/>
  <c r="D7694" i="106" s="1"/>
  <c r="F119" i="34"/>
  <c r="B7853" i="106" s="1"/>
  <c r="D7853" i="106" s="1"/>
  <c r="B6388" i="106"/>
  <c r="D6388" i="106" s="1"/>
  <c r="K273" i="29"/>
  <c r="B1502" i="106" s="1"/>
  <c r="D1502" i="106" s="1"/>
  <c r="B1438" i="106"/>
  <c r="D1438" i="106" s="1"/>
  <c r="B6160" i="106"/>
  <c r="D6160" i="106" s="1"/>
  <c r="B747" i="106"/>
  <c r="D747" i="106" s="1"/>
  <c r="K68" i="29"/>
  <c r="B6762" i="106"/>
  <c r="D6762" i="106" s="1"/>
  <c r="B838" i="106"/>
  <c r="D838" i="106" s="1"/>
  <c r="B6970" i="106"/>
  <c r="D6970" i="106" s="1"/>
  <c r="B3534" i="106"/>
  <c r="D3534" i="106" s="1"/>
  <c r="L57" i="29"/>
  <c r="B6921" i="106"/>
  <c r="D6921" i="106" s="1"/>
  <c r="B7660" i="106"/>
  <c r="D7660" i="106" s="1"/>
  <c r="B2829" i="106"/>
  <c r="D2829" i="106" s="1"/>
  <c r="B4415" i="106"/>
  <c r="D4415" i="106" s="1"/>
  <c r="F162" i="34"/>
  <c r="B7869" i="106" s="1"/>
  <c r="D7869" i="106" s="1"/>
  <c r="L42" i="29"/>
  <c r="L303" i="29"/>
  <c r="B5080" i="106"/>
  <c r="D5080" i="106" s="1"/>
  <c r="K255" i="29"/>
  <c r="B7096" i="106" s="1"/>
  <c r="D7096" i="106" s="1"/>
  <c r="B7095" i="106"/>
  <c r="D7095" i="106" s="1"/>
  <c r="B776" i="106"/>
  <c r="D776" i="106" s="1"/>
  <c r="B2992" i="106"/>
  <c r="D2992" i="106" s="1"/>
  <c r="K191" i="29"/>
  <c r="B3010" i="106" s="1"/>
  <c r="D3010" i="106" s="1"/>
  <c r="K61" i="29"/>
  <c r="B740" i="106"/>
  <c r="D740" i="106" s="1"/>
  <c r="B5929" i="106"/>
  <c r="D5929" i="106" s="1"/>
  <c r="J53" i="29"/>
  <c r="B6943" i="106" s="1"/>
  <c r="D6943" i="106" s="1"/>
  <c r="B6927" i="106"/>
  <c r="D6927" i="106" s="1"/>
  <c r="B1265" i="106"/>
  <c r="D1265" i="106" s="1"/>
  <c r="B2798" i="106"/>
  <c r="D2798" i="106" s="1"/>
  <c r="K215" i="29"/>
  <c r="B3387" i="106"/>
  <c r="D3387" i="106" s="1"/>
  <c r="D229" i="29"/>
  <c r="B1410" i="106" s="1"/>
  <c r="D1410" i="106" s="1"/>
  <c r="B7261" i="106"/>
  <c r="B4944" i="106"/>
  <c r="D4944" i="106" s="1"/>
  <c r="B7258" i="106"/>
  <c r="D7258" i="106" s="1"/>
  <c r="B965" i="106"/>
  <c r="D965" i="106" s="1"/>
  <c r="B6846" i="106"/>
  <c r="D6846" i="106" s="1"/>
  <c r="I12" i="5"/>
  <c r="B5918" i="106" s="1"/>
  <c r="D5918" i="106" s="1"/>
  <c r="B10" i="7"/>
  <c r="B5916" i="106"/>
  <c r="D5916" i="106" s="1"/>
  <c r="B6166" i="106"/>
  <c r="D6166" i="106" s="1"/>
  <c r="D330" i="29"/>
  <c r="B7119" i="106"/>
  <c r="D7119" i="106" s="1"/>
  <c r="B5664" i="106"/>
  <c r="D5664" i="106" s="1"/>
  <c r="F204" i="5"/>
  <c r="B5677" i="106" s="1"/>
  <c r="D5677" i="106" s="1"/>
  <c r="B4311" i="106"/>
  <c r="D4311" i="106" s="1"/>
  <c r="B3625" i="106"/>
  <c r="D3625" i="106" s="1"/>
  <c r="B4121" i="106"/>
  <c r="D4121" i="106" s="1"/>
  <c r="K18" i="4"/>
  <c r="B4135" i="106" s="1"/>
  <c r="D4135" i="106" s="1"/>
  <c r="B4808" i="106"/>
  <c r="D4808" i="106" s="1"/>
  <c r="B3655" i="106"/>
  <c r="D3655" i="106" s="1"/>
  <c r="B6778" i="106"/>
  <c r="D6778" i="106" s="1"/>
  <c r="B725" i="106"/>
  <c r="D725" i="106" s="1"/>
  <c r="K40" i="29"/>
  <c r="B1113" i="106" s="1"/>
  <c r="D1113" i="106" s="1"/>
  <c r="B5581" i="106"/>
  <c r="D5581" i="106" s="1"/>
  <c r="F67" i="5"/>
  <c r="B5582" i="106" s="1"/>
  <c r="D5582" i="106" s="1"/>
  <c r="B6346" i="106"/>
  <c r="D6346" i="106" s="1"/>
  <c r="B6862" i="106"/>
  <c r="D6862" i="106" s="1"/>
  <c r="B5625" i="106"/>
  <c r="D5625" i="106" s="1"/>
  <c r="B6653" i="106"/>
  <c r="D6653" i="106" s="1"/>
  <c r="B1048" i="106"/>
  <c r="D1048" i="106" s="1"/>
  <c r="H110" i="29"/>
  <c r="H112" i="29" s="1"/>
  <c r="B7018" i="106" s="1"/>
  <c r="D7018" i="106" s="1"/>
  <c r="K105" i="29"/>
  <c r="B7036" i="106"/>
  <c r="D7036" i="106" s="1"/>
  <c r="B7040" i="106"/>
  <c r="D7040" i="106" s="1"/>
  <c r="B1552" i="106"/>
  <c r="D1552" i="106" s="1"/>
  <c r="B6291" i="106"/>
  <c r="D6291" i="106" s="1"/>
  <c r="B104" i="106"/>
  <c r="D104" i="106" s="1"/>
  <c r="B4315" i="106"/>
  <c r="D4315" i="106" s="1"/>
  <c r="E303" i="29"/>
  <c r="B1531" i="106"/>
  <c r="D1531" i="106" s="1"/>
  <c r="B7146" i="106"/>
  <c r="D7146" i="106" s="1"/>
  <c r="B6378" i="106"/>
  <c r="D6378" i="106" s="1"/>
  <c r="K14" i="29"/>
  <c r="B1106" i="106" s="1"/>
  <c r="D1106" i="106" s="1"/>
  <c r="B718" i="106"/>
  <c r="D718" i="106" s="1"/>
  <c r="B5986" i="106"/>
  <c r="D5986" i="106" s="1"/>
  <c r="K27" i="29"/>
  <c r="F46" i="34" s="1"/>
  <c r="B6890" i="106"/>
  <c r="D6890" i="106" s="1"/>
  <c r="B4331" i="106"/>
  <c r="D4331" i="106" s="1"/>
  <c r="L65" i="29"/>
  <c r="B4336" i="106"/>
  <c r="D4336" i="106" s="1"/>
  <c r="B1447" i="106"/>
  <c r="D1447" i="106" s="1"/>
  <c r="K280" i="29"/>
  <c r="G14" i="4" s="1"/>
  <c r="B2609" i="106" s="1"/>
  <c r="D2609" i="106" s="1"/>
  <c r="B7197" i="106"/>
  <c r="D7197" i="106" s="1"/>
  <c r="B2887" i="106"/>
  <c r="D2887" i="106" s="1"/>
  <c r="B6313" i="106"/>
  <c r="D6313" i="106" s="1"/>
  <c r="F22" i="34"/>
  <c r="B6641" i="106"/>
  <c r="D6641" i="106" s="1"/>
  <c r="B3641" i="106"/>
  <c r="D3641" i="106" s="1"/>
  <c r="K99" i="29"/>
  <c r="B7010" i="106" s="1"/>
  <c r="D7010" i="106" s="1"/>
  <c r="E100" i="29"/>
  <c r="B7011" i="106" s="1"/>
  <c r="D7011" i="106" s="1"/>
  <c r="B7008" i="106"/>
  <c r="D7008" i="106" s="1"/>
  <c r="B6631" i="106"/>
  <c r="D6631" i="106" s="1"/>
  <c r="L293" i="29"/>
  <c r="B981" i="106"/>
  <c r="D981" i="106" s="1"/>
  <c r="B6184" i="106"/>
  <c r="D6184" i="106" s="1"/>
  <c r="B1413" i="106"/>
  <c r="D1413" i="106" s="1"/>
  <c r="K234" i="29"/>
  <c r="B1477" i="106" s="1"/>
  <c r="D1477" i="106" s="1"/>
  <c r="K101" i="29"/>
  <c r="B7015" i="106" s="1"/>
  <c r="D7015" i="106" s="1"/>
  <c r="B2947" i="106"/>
  <c r="D2947" i="106" s="1"/>
  <c r="B1030" i="106"/>
  <c r="D1030" i="106" s="1"/>
  <c r="B2806" i="106"/>
  <c r="D2806" i="106" s="1"/>
  <c r="B4814" i="106"/>
  <c r="D4814" i="106" s="1"/>
  <c r="B7661" i="106"/>
  <c r="D7661" i="106" s="1"/>
  <c r="B6756" i="106"/>
  <c r="D6756" i="106" s="1"/>
  <c r="B97" i="106"/>
  <c r="D97" i="106" s="1"/>
  <c r="B6705" i="106"/>
  <c r="D6705" i="106" s="1"/>
  <c r="B2766" i="106"/>
  <c r="D2766" i="106" s="1"/>
  <c r="B4077" i="106"/>
  <c r="D4077" i="106" s="1"/>
  <c r="F129" i="29"/>
  <c r="F151" i="29" s="1"/>
  <c r="B1250" i="106" s="1"/>
  <c r="D1250" i="106" s="1"/>
  <c r="K23" i="29"/>
  <c r="B6882" i="106"/>
  <c r="D6882" i="106" s="1"/>
  <c r="L100" i="29"/>
  <c r="G181" i="5"/>
  <c r="B5784" i="106" s="1"/>
  <c r="D5784" i="106" s="1"/>
  <c r="B4810" i="106"/>
  <c r="D4810" i="106" s="1"/>
  <c r="B6809" i="106"/>
  <c r="D6809" i="106" s="1"/>
  <c r="F155" i="34"/>
  <c r="B6696" i="106"/>
  <c r="D6696" i="106" s="1"/>
  <c r="B6655" i="106"/>
  <c r="D6655" i="106" s="1"/>
  <c r="B6370" i="106"/>
  <c r="D6370" i="106" s="1"/>
  <c r="B794" i="106"/>
  <c r="D794" i="106" s="1"/>
  <c r="K30" i="29"/>
  <c r="B6896" i="106"/>
  <c r="D6896" i="106" s="1"/>
  <c r="B7002" i="106"/>
  <c r="D7002" i="106" s="1"/>
  <c r="K96" i="29"/>
  <c r="B7003" i="106" s="1"/>
  <c r="D7003" i="106" s="1"/>
  <c r="B6659" i="106"/>
  <c r="D6659" i="106" s="1"/>
  <c r="B1418" i="106"/>
  <c r="D1418" i="106" s="1"/>
  <c r="D243" i="29"/>
  <c r="B1421" i="106" s="1"/>
  <c r="D1421" i="106" s="1"/>
  <c r="K240" i="29"/>
  <c r="B1423" i="106"/>
  <c r="D1423" i="106" s="1"/>
  <c r="K246" i="29"/>
  <c r="B1487" i="106" s="1"/>
  <c r="D1487" i="106" s="1"/>
  <c r="B6909" i="106"/>
  <c r="D6909" i="106" s="1"/>
  <c r="B5511" i="106"/>
  <c r="D5511" i="106" s="1"/>
  <c r="B7728" i="106"/>
  <c r="D7728" i="106" s="1"/>
  <c r="B5171" i="106"/>
  <c r="D5171" i="106" s="1"/>
  <c r="B6752" i="106"/>
  <c r="D6752" i="106" s="1"/>
  <c r="B3487" i="106"/>
  <c r="D3487" i="106" s="1"/>
  <c r="B5584" i="106"/>
  <c r="D5584" i="106" s="1"/>
  <c r="K217" i="29"/>
  <c r="B3391" i="106" s="1"/>
  <c r="D3391" i="106" s="1"/>
  <c r="B3388" i="106"/>
  <c r="D3388" i="106" s="1"/>
  <c r="B5167" i="106"/>
  <c r="D5167" i="106" s="1"/>
  <c r="F109" i="34"/>
  <c r="E76" i="4"/>
  <c r="B3276" i="106" s="1"/>
  <c r="D3276" i="106" s="1"/>
  <c r="B2817" i="106"/>
  <c r="D2817" i="106" s="1"/>
  <c r="B3084" i="106"/>
  <c r="D3084" i="106" s="1"/>
  <c r="B5092" i="106"/>
  <c r="D5092" i="106" s="1"/>
  <c r="B4117" i="106"/>
  <c r="D4117" i="106" s="1"/>
  <c r="G18" i="4"/>
  <c r="B4176" i="106" s="1"/>
  <c r="D4176" i="106" s="1"/>
  <c r="B5439" i="106"/>
  <c r="D5439" i="106" s="1"/>
  <c r="B1366" i="106"/>
  <c r="D1366" i="106" s="1"/>
  <c r="K44" i="29"/>
  <c r="C47" i="29"/>
  <c r="B731" i="106" s="1"/>
  <c r="D731" i="106" s="1"/>
  <c r="B728" i="106"/>
  <c r="D728" i="106" s="1"/>
  <c r="B7252" i="106"/>
  <c r="D7252" i="106" s="1"/>
  <c r="B5359" i="106"/>
  <c r="D5359" i="106" s="1"/>
  <c r="B749" i="106"/>
  <c r="D749" i="106" s="1"/>
  <c r="K70" i="29"/>
  <c r="B6815" i="106"/>
  <c r="D6815" i="106" s="1"/>
  <c r="B7764" i="106"/>
  <c r="D7764" i="106" s="1"/>
  <c r="F94" i="34"/>
  <c r="B5818" i="106"/>
  <c r="D5818" i="106" s="1"/>
  <c r="F33" i="29"/>
  <c r="B894" i="106" s="1"/>
  <c r="D894" i="106" s="1"/>
  <c r="B879" i="106"/>
  <c r="D879" i="106" s="1"/>
  <c r="L357" i="29"/>
  <c r="B5352" i="106"/>
  <c r="D5352" i="106" s="1"/>
  <c r="K307" i="29"/>
  <c r="B4099" i="106" s="1"/>
  <c r="D4099" i="106" s="1"/>
  <c r="B7108" i="106"/>
  <c r="D7108" i="106" s="1"/>
  <c r="B764" i="106"/>
  <c r="D764" i="106" s="1"/>
  <c r="B6831" i="106"/>
  <c r="D6831" i="106" s="1"/>
  <c r="B3532" i="106"/>
  <c r="D3532" i="106" s="1"/>
  <c r="B2721" i="106"/>
  <c r="D2721" i="106" s="1"/>
  <c r="B5922" i="106"/>
  <c r="D5922" i="106" s="1"/>
  <c r="B5116" i="106"/>
  <c r="D5116" i="106" s="1"/>
  <c r="B1237" i="106"/>
  <c r="D1237" i="106" s="1"/>
  <c r="B5086" i="106"/>
  <c r="D5086" i="106" s="1"/>
  <c r="B6873" i="106"/>
  <c r="D6873" i="106" s="1"/>
  <c r="L184" i="29"/>
  <c r="B5654" i="106"/>
  <c r="D5654" i="106" s="1"/>
  <c r="F175" i="5"/>
  <c r="B5655" i="106" s="1"/>
  <c r="D5655" i="106" s="1"/>
  <c r="G33" i="29"/>
  <c r="B952" i="106" s="1"/>
  <c r="D952" i="106" s="1"/>
  <c r="B937" i="106"/>
  <c r="D937" i="106" s="1"/>
  <c r="B7139" i="106"/>
  <c r="D7139" i="106" s="1"/>
  <c r="B5566" i="106"/>
  <c r="D5566" i="106" s="1"/>
  <c r="F87" i="34"/>
  <c r="B6799" i="106"/>
  <c r="D6799" i="106" s="1"/>
  <c r="B6691" i="106"/>
  <c r="D6691" i="106" s="1"/>
  <c r="B2981" i="106"/>
  <c r="D2981" i="106" s="1"/>
  <c r="B1442" i="106"/>
  <c r="D1442" i="106" s="1"/>
  <c r="K276" i="29"/>
  <c r="B1506" i="106" s="1"/>
  <c r="D1506" i="106" s="1"/>
  <c r="B7802" i="106"/>
  <c r="D7802" i="106" s="1"/>
  <c r="B7062" i="106"/>
  <c r="D7062" i="106" s="1"/>
  <c r="B6788" i="106"/>
  <c r="D6788" i="106" s="1"/>
  <c r="B723" i="106"/>
  <c r="D723" i="106" s="1"/>
  <c r="K38" i="29"/>
  <c r="B1111" i="106" s="1"/>
  <c r="D1111" i="106" s="1"/>
  <c r="B6850" i="106"/>
  <c r="D6850" i="106" s="1"/>
  <c r="B4868" i="106"/>
  <c r="D4868" i="106" s="1"/>
  <c r="K223" i="29"/>
  <c r="B1472" i="106" s="1"/>
  <c r="D1472" i="106" s="1"/>
  <c r="B1408" i="106"/>
  <c r="D1408" i="106" s="1"/>
  <c r="B7238" i="106"/>
  <c r="D7238" i="106" s="1"/>
  <c r="K361" i="29"/>
  <c r="B7239" i="106" s="1"/>
  <c r="D7239" i="106" s="1"/>
  <c r="D285" i="29"/>
  <c r="B3722" i="106" s="1"/>
  <c r="D3722" i="106" s="1"/>
  <c r="B7783" i="106"/>
  <c r="D7783" i="106" s="1"/>
  <c r="K282" i="29"/>
  <c r="C145" i="5"/>
  <c r="B5163" i="106"/>
  <c r="D5163" i="106" s="1"/>
  <c r="B6747" i="106"/>
  <c r="D6747" i="106" s="1"/>
  <c r="B7263" i="106"/>
  <c r="K17" i="29"/>
  <c r="B6871" i="106" s="1"/>
  <c r="D6871" i="106" s="1"/>
  <c r="B5514" i="106"/>
  <c r="D5514" i="106" s="1"/>
  <c r="E18" i="5"/>
  <c r="B5518" i="106" s="1"/>
  <c r="D5518" i="106" s="1"/>
  <c r="B6865" i="106"/>
  <c r="D6865" i="106" s="1"/>
  <c r="B7653" i="106"/>
  <c r="D7653" i="106" s="1"/>
  <c r="B5097" i="106"/>
  <c r="D5097" i="106" s="1"/>
  <c r="C82" i="5"/>
  <c r="B5345" i="106"/>
  <c r="D5345" i="106" s="1"/>
  <c r="B907" i="106"/>
  <c r="D907" i="106" s="1"/>
  <c r="B2954" i="106"/>
  <c r="D2954" i="106" s="1"/>
  <c r="K83" i="29"/>
  <c r="B2978" i="106" s="1"/>
  <c r="D2978" i="106" s="1"/>
  <c r="B1546" i="106"/>
  <c r="D1546" i="106" s="1"/>
  <c r="B6832" i="106"/>
  <c r="D6832" i="106" s="1"/>
  <c r="B6867" i="106"/>
  <c r="D6867" i="106" s="1"/>
  <c r="B6866" i="106"/>
  <c r="D6866" i="106" s="1"/>
  <c r="B6244" i="106"/>
  <c r="D6244" i="106" s="1"/>
  <c r="F63" i="5"/>
  <c r="B5579" i="106" s="1"/>
  <c r="D5579" i="106" s="1"/>
  <c r="F85" i="34"/>
  <c r="B5563" i="106"/>
  <c r="D5563" i="106" s="1"/>
  <c r="B6967" i="106"/>
  <c r="D6967" i="106" s="1"/>
  <c r="B6939" i="106"/>
  <c r="D6939" i="106" s="1"/>
  <c r="B828" i="106"/>
  <c r="D828" i="106" s="1"/>
  <c r="B3000" i="106"/>
  <c r="D3000" i="106" s="1"/>
  <c r="B6767" i="106"/>
  <c r="D6767" i="106" s="1"/>
  <c r="B6232" i="106"/>
  <c r="D6232" i="106" s="1"/>
  <c r="B4875" i="106"/>
  <c r="D4875" i="106" s="1"/>
  <c r="B7785" i="106"/>
  <c r="D7785" i="106" s="1"/>
  <c r="H334" i="29"/>
  <c r="B7789" i="106" s="1"/>
  <c r="D7789" i="106" s="1"/>
  <c r="K332" i="29"/>
  <c r="B7143" i="106"/>
  <c r="D7143" i="106" s="1"/>
  <c r="B6672" i="106"/>
  <c r="D6672" i="106" s="1"/>
  <c r="B6732" i="106"/>
  <c r="D6732" i="106" s="1"/>
  <c r="B7233" i="106"/>
  <c r="D7233" i="106" s="1"/>
  <c r="B6852" i="106"/>
  <c r="D6852" i="106" s="1"/>
  <c r="K95" i="29"/>
  <c r="B7001" i="106" s="1"/>
  <c r="D7001" i="106" s="1"/>
  <c r="B7000" i="106"/>
  <c r="D7000" i="106" s="1"/>
  <c r="B6786" i="106"/>
  <c r="D6786" i="106" s="1"/>
  <c r="B6807" i="106"/>
  <c r="D6807" i="106" s="1"/>
  <c r="B6632" i="106"/>
  <c r="D6632" i="106" s="1"/>
  <c r="B4883" i="106"/>
  <c r="D4883" i="106" s="1"/>
  <c r="B777" i="106"/>
  <c r="D777" i="106" s="1"/>
  <c r="B7128" i="106"/>
  <c r="D7128" i="106" s="1"/>
  <c r="K128" i="29"/>
  <c r="B1280" i="106" s="1"/>
  <c r="D1280" i="106" s="1"/>
  <c r="B1224" i="106"/>
  <c r="D1224" i="106" s="1"/>
  <c r="B7182" i="106"/>
  <c r="D7182" i="106" s="1"/>
  <c r="B1245" i="106"/>
  <c r="D1245" i="106" s="1"/>
  <c r="B4322" i="106"/>
  <c r="D4322" i="106" s="1"/>
  <c r="B4407" i="106"/>
  <c r="D4407" i="106" s="1"/>
  <c r="B5068" i="106"/>
  <c r="D5068" i="106" s="1"/>
  <c r="B5134" i="106"/>
  <c r="D5134" i="106" s="1"/>
  <c r="B6107" i="106"/>
  <c r="D6107" i="106" s="1"/>
  <c r="B321" i="106"/>
  <c r="D321" i="106" s="1"/>
  <c r="I48" i="4"/>
  <c r="B2106" i="106" s="1"/>
  <c r="D2106" i="106" s="1"/>
  <c r="B6829" i="106"/>
  <c r="D6829" i="106" s="1"/>
  <c r="B7701" i="106"/>
  <c r="D7701" i="106" s="1"/>
  <c r="B6376" i="106"/>
  <c r="D6376" i="106" s="1"/>
  <c r="B1369" i="106"/>
  <c r="D1369" i="106" s="1"/>
  <c r="B6115" i="106"/>
  <c r="D6115" i="106" s="1"/>
  <c r="B5817" i="106"/>
  <c r="D5817" i="106" s="1"/>
  <c r="G217" i="5"/>
  <c r="B5829" i="106" s="1"/>
  <c r="D5829" i="106" s="1"/>
  <c r="K165" i="29"/>
  <c r="B2818" i="106" s="1"/>
  <c r="D2818" i="106" s="1"/>
  <c r="B2812" i="106"/>
  <c r="D2812" i="106" s="1"/>
  <c r="D127" i="29"/>
  <c r="B1231" i="106" s="1"/>
  <c r="D1231" i="106" s="1"/>
  <c r="B1227" i="106"/>
  <c r="D1227" i="106" s="1"/>
  <c r="B4889" i="106"/>
  <c r="D4889" i="106" s="1"/>
  <c r="B6634" i="106"/>
  <c r="D6634" i="106" s="1"/>
  <c r="F136" i="34"/>
  <c r="B6149" i="106"/>
  <c r="D6149" i="106" s="1"/>
  <c r="B4795" i="106"/>
  <c r="D4795" i="106" s="1"/>
  <c r="F13" i="3"/>
  <c r="B157" i="106" s="1"/>
  <c r="D157" i="106" s="1"/>
  <c r="B3419" i="106"/>
  <c r="D3419" i="106" s="1"/>
  <c r="D37" i="36"/>
  <c r="B3079" i="106"/>
  <c r="D3079" i="106" s="1"/>
  <c r="B6146" i="106"/>
  <c r="D6146" i="106" s="1"/>
  <c r="B5384" i="106"/>
  <c r="D5384" i="106" s="1"/>
  <c r="B835" i="106"/>
  <c r="D835" i="106" s="1"/>
  <c r="B126" i="106"/>
  <c r="D126" i="106" s="1"/>
  <c r="B6354" i="106"/>
  <c r="D6354" i="106" s="1"/>
  <c r="B5555" i="106"/>
  <c r="D5555" i="106" s="1"/>
  <c r="B6697" i="106"/>
  <c r="D6697" i="106" s="1"/>
  <c r="B5081" i="106"/>
  <c r="D5081" i="106" s="1"/>
  <c r="B867" i="106"/>
  <c r="D867" i="106" s="1"/>
  <c r="H41" i="4"/>
  <c r="B6250" i="106"/>
  <c r="D6250" i="106" s="1"/>
  <c r="B6772" i="106"/>
  <c r="D6772" i="106" s="1"/>
  <c r="B6356" i="106"/>
  <c r="D6356" i="106" s="1"/>
  <c r="K52" i="4"/>
  <c r="B3698" i="106"/>
  <c r="D3698" i="106" s="1"/>
  <c r="B4381" i="106"/>
  <c r="D4381" i="106" s="1"/>
  <c r="B6158" i="106"/>
  <c r="D6158" i="106" s="1"/>
  <c r="K164" i="29"/>
  <c r="B1325" i="106" s="1"/>
  <c r="D1325" i="106" s="1"/>
  <c r="B1311" i="106"/>
  <c r="D1311" i="106" s="1"/>
  <c r="B775" i="106"/>
  <c r="D775" i="106" s="1"/>
  <c r="B7046" i="106"/>
  <c r="D7046" i="106" s="1"/>
  <c r="B781" i="106"/>
  <c r="D781" i="106" s="1"/>
  <c r="B1032" i="106"/>
  <c r="D1032" i="106" s="1"/>
  <c r="B4947" i="106"/>
  <c r="D4947" i="106" s="1"/>
  <c r="G141" i="5"/>
  <c r="B5749" i="106"/>
  <c r="D5749" i="106" s="1"/>
  <c r="B5248" i="106"/>
  <c r="D5248" i="106" s="1"/>
  <c r="K269" i="29"/>
  <c r="B1498" i="106" s="1"/>
  <c r="D1498" i="106" s="1"/>
  <c r="B1434" i="106"/>
  <c r="D1434" i="106" s="1"/>
  <c r="B841" i="106"/>
  <c r="D841" i="106" s="1"/>
  <c r="B5601" i="106"/>
  <c r="D5601" i="106" s="1"/>
  <c r="B2998" i="106"/>
  <c r="D2998" i="106" s="1"/>
  <c r="B1006" i="106"/>
  <c r="D1006" i="106" s="1"/>
  <c r="B7190" i="106"/>
  <c r="D7190" i="106" s="1"/>
  <c r="K327" i="29"/>
  <c r="B7254" i="106"/>
  <c r="D7254" i="106" s="1"/>
  <c r="D141" i="5"/>
  <c r="B5383" i="106" s="1"/>
  <c r="D5383" i="106" s="1"/>
  <c r="B5370" i="106"/>
  <c r="D5370" i="106" s="1"/>
  <c r="B6724" i="106"/>
  <c r="D6724" i="106" s="1"/>
  <c r="B76" i="106"/>
  <c r="D76" i="106" s="1"/>
  <c r="B7668" i="106"/>
  <c r="D7668" i="106" s="1"/>
  <c r="B6161" i="106"/>
  <c r="D6161" i="106" s="1"/>
  <c r="B4417" i="106"/>
  <c r="D4417" i="106" s="1"/>
  <c r="B5860" i="106"/>
  <c r="D5860" i="106" s="1"/>
  <c r="B7679" i="106"/>
  <c r="D7679" i="106" s="1"/>
  <c r="F53" i="29"/>
  <c r="B908" i="106" s="1"/>
  <c r="D908" i="106" s="1"/>
  <c r="B906" i="106"/>
  <c r="D906" i="106" s="1"/>
  <c r="B5331" i="106"/>
  <c r="D5331" i="106" s="1"/>
  <c r="J350" i="29"/>
  <c r="B7227" i="106"/>
  <c r="D7227" i="106" s="1"/>
  <c r="B6321" i="106"/>
  <c r="D6321" i="106" s="1"/>
  <c r="B859" i="106"/>
  <c r="D859" i="106" s="1"/>
  <c r="B7112" i="106"/>
  <c r="D7112" i="106" s="1"/>
  <c r="K309" i="29"/>
  <c r="B3717" i="106" s="1"/>
  <c r="D3717" i="106" s="1"/>
  <c r="B6350" i="106"/>
  <c r="D6350" i="106" s="1"/>
  <c r="D13" i="3"/>
  <c r="B109" i="106" s="1"/>
  <c r="D109" i="106" s="1"/>
  <c r="B3414" i="106"/>
  <c r="D3414" i="106" s="1"/>
  <c r="D35" i="36"/>
  <c r="B7671" i="106"/>
  <c r="D7671" i="106" s="1"/>
  <c r="B6764" i="106"/>
  <c r="D6764" i="106" s="1"/>
  <c r="B971" i="106"/>
  <c r="D971" i="106" s="1"/>
  <c r="F146" i="34"/>
  <c r="B6729" i="106"/>
  <c r="D6729" i="106" s="1"/>
  <c r="B7187" i="106"/>
  <c r="D7187" i="106" s="1"/>
  <c r="B996" i="106"/>
  <c r="D996" i="106" s="1"/>
  <c r="B6773" i="106"/>
  <c r="D6773" i="106" s="1"/>
  <c r="B893" i="106"/>
  <c r="D893" i="106" s="1"/>
  <c r="E38" i="4"/>
  <c r="B6286" i="106" s="1"/>
  <c r="D6286" i="106" s="1"/>
  <c r="B6243" i="106"/>
  <c r="D6243" i="106" s="1"/>
  <c r="B6162" i="106"/>
  <c r="D6162" i="106" s="1"/>
  <c r="B5056" i="106"/>
  <c r="D5056" i="106" s="1"/>
  <c r="F116" i="34"/>
  <c r="B7850" i="106" s="1"/>
  <c r="D7850" i="106" s="1"/>
  <c r="I34" i="3"/>
  <c r="B2910" i="106" s="1"/>
  <c r="D2910" i="106" s="1"/>
  <c r="B6139" i="106"/>
  <c r="D6139" i="106" s="1"/>
  <c r="B1412" i="106"/>
  <c r="D1412" i="106" s="1"/>
  <c r="K233" i="29"/>
  <c r="B1476" i="106" s="1"/>
  <c r="D1476" i="106" s="1"/>
  <c r="B5705" i="106"/>
  <c r="D5705" i="106" s="1"/>
  <c r="B719" i="106"/>
  <c r="D719" i="106" s="1"/>
  <c r="K15" i="29"/>
  <c r="B5101" i="106"/>
  <c r="D5101" i="106" s="1"/>
  <c r="K355" i="29"/>
  <c r="B7794" i="106" s="1"/>
  <c r="D7794" i="106" s="1"/>
  <c r="B7793" i="106"/>
  <c r="D7793" i="106" s="1"/>
  <c r="G65" i="29"/>
  <c r="B977" i="106" s="1"/>
  <c r="D977" i="106" s="1"/>
  <c r="B970" i="106"/>
  <c r="D970" i="106" s="1"/>
  <c r="B6923" i="106"/>
  <c r="D6923" i="106" s="1"/>
  <c r="K275" i="29"/>
  <c r="B1504" i="106" s="1"/>
  <c r="D1504" i="106" s="1"/>
  <c r="B1440" i="106"/>
  <c r="D1440" i="106" s="1"/>
  <c r="B4382" i="106"/>
  <c r="D4382" i="106" s="1"/>
  <c r="B5098" i="106"/>
  <c r="D5098" i="106" s="1"/>
  <c r="B2956" i="106"/>
  <c r="D2956" i="106" s="1"/>
  <c r="B7014" i="106"/>
  <c r="D7014" i="106" s="1"/>
  <c r="B5515" i="106"/>
  <c r="D5515" i="106" s="1"/>
  <c r="B2763" i="106"/>
  <c r="D2763" i="106" s="1"/>
  <c r="B3632" i="106"/>
  <c r="D3632" i="106" s="1"/>
  <c r="B5118" i="106"/>
  <c r="D5118" i="106" s="1"/>
  <c r="F105" i="34"/>
  <c r="K289" i="29"/>
  <c r="B1513" i="106" s="1"/>
  <c r="D1513" i="106" s="1"/>
  <c r="B1450" i="106"/>
  <c r="D1450" i="106" s="1"/>
  <c r="B5013" i="106"/>
  <c r="D5013" i="106" s="1"/>
  <c r="I330" i="29"/>
  <c r="I342" i="29" s="1"/>
  <c r="B7124" i="106"/>
  <c r="D7124" i="106" s="1"/>
  <c r="B1430" i="106"/>
  <c r="D1430" i="106" s="1"/>
  <c r="K265" i="29"/>
  <c r="B1494" i="106" s="1"/>
  <c r="D1494" i="106" s="1"/>
  <c r="B5593" i="106"/>
  <c r="D5593" i="106" s="1"/>
  <c r="F122" i="5"/>
  <c r="B5599" i="106" s="1"/>
  <c r="D5599" i="106" s="1"/>
  <c r="B1344" i="106"/>
  <c r="D1344" i="106" s="1"/>
  <c r="B6647" i="106"/>
  <c r="D6647" i="106" s="1"/>
  <c r="B6847" i="106"/>
  <c r="D6847" i="106" s="1"/>
  <c r="B5058" i="106"/>
  <c r="D5058" i="106" s="1"/>
  <c r="B7176" i="106"/>
  <c r="D7176" i="106" s="1"/>
  <c r="B6716" i="106"/>
  <c r="D6716" i="106" s="1"/>
  <c r="B3580" i="106"/>
  <c r="D3580" i="106" s="1"/>
  <c r="B7665" i="106"/>
  <c r="D7665" i="106" s="1"/>
  <c r="K245" i="29"/>
  <c r="B1486" i="106" s="1"/>
  <c r="D1486" i="106" s="1"/>
  <c r="B1422" i="106"/>
  <c r="D1422" i="106" s="1"/>
  <c r="D257" i="29"/>
  <c r="B1424" i="106" s="1"/>
  <c r="D1424" i="106" s="1"/>
  <c r="B1033" i="106"/>
  <c r="D1033" i="106" s="1"/>
  <c r="B5917" i="106"/>
  <c r="D5917" i="106" s="1"/>
  <c r="L285" i="29"/>
  <c r="B891" i="106"/>
  <c r="D891" i="106" s="1"/>
  <c r="B5858" i="106"/>
  <c r="D5858" i="106" s="1"/>
  <c r="B7077" i="106"/>
  <c r="D7077" i="106" s="1"/>
  <c r="K220" i="29"/>
  <c r="B4796" i="106"/>
  <c r="D4796" i="106" s="1"/>
  <c r="B5516" i="106"/>
  <c r="D5516" i="106" s="1"/>
  <c r="K192" i="29"/>
  <c r="B3011" i="106" s="1"/>
  <c r="D3011" i="106" s="1"/>
  <c r="B2993" i="106"/>
  <c r="D2993" i="106" s="1"/>
  <c r="B6327" i="106"/>
  <c r="D6327" i="106" s="1"/>
  <c r="B6703" i="106"/>
  <c r="D6703" i="106" s="1"/>
  <c r="B5255" i="106"/>
  <c r="D5255" i="106" s="1"/>
  <c r="B7702" i="106"/>
  <c r="D7702" i="106" s="1"/>
  <c r="B2762" i="106"/>
  <c r="D2762" i="106" s="1"/>
  <c r="B6904" i="106"/>
  <c r="D6904" i="106" s="1"/>
  <c r="I42" i="29"/>
  <c r="B5243" i="106"/>
  <c r="D5243" i="106" s="1"/>
  <c r="B3373" i="106"/>
  <c r="D3373" i="106" s="1"/>
  <c r="B6857" i="106"/>
  <c r="D6857" i="106" s="1"/>
  <c r="K322" i="29"/>
  <c r="B7145" i="106"/>
  <c r="D7145" i="106" s="1"/>
  <c r="B5085" i="106"/>
  <c r="D5085" i="106" s="1"/>
  <c r="B783" i="106"/>
  <c r="D783" i="106" s="1"/>
  <c r="B3080" i="106"/>
  <c r="D3080" i="106" s="1"/>
  <c r="B6679" i="106"/>
  <c r="D6679" i="106" s="1"/>
  <c r="B185" i="106"/>
  <c r="D185" i="106" s="1"/>
  <c r="B782" i="106"/>
  <c r="D782" i="106" s="1"/>
  <c r="B4358" i="106"/>
  <c r="D4358" i="106" s="1"/>
  <c r="F169" i="34"/>
  <c r="B7874" i="106" s="1"/>
  <c r="D7874" i="106" s="1"/>
  <c r="B6190" i="106"/>
  <c r="D6190" i="106" s="1"/>
  <c r="B6709" i="106"/>
  <c r="D6709" i="106" s="1"/>
  <c r="B164" i="106"/>
  <c r="D164" i="106" s="1"/>
  <c r="K36" i="29"/>
  <c r="B721" i="106"/>
  <c r="D721" i="106" s="1"/>
  <c r="C42" i="29"/>
  <c r="B5108" i="106"/>
  <c r="D5108" i="106" s="1"/>
  <c r="B6163" i="106"/>
  <c r="D6163" i="106" s="1"/>
  <c r="B7761" i="106"/>
  <c r="D7761" i="106" s="1"/>
  <c r="F159" i="34"/>
  <c r="B6681" i="106"/>
  <c r="D6681" i="106" s="1"/>
  <c r="F92" i="34"/>
  <c r="B5573" i="106"/>
  <c r="D5573" i="106" s="1"/>
  <c r="B11" i="7"/>
  <c r="B6298" i="106"/>
  <c r="D6298" i="106" s="1"/>
  <c r="J12" i="5"/>
  <c r="B7657" i="106"/>
  <c r="D7657" i="106" s="1"/>
  <c r="B6748" i="106"/>
  <c r="D6748" i="106" s="1"/>
  <c r="K189" i="29"/>
  <c r="B3008" i="106" s="1"/>
  <c r="D3008" i="106" s="1"/>
  <c r="B2990" i="106"/>
  <c r="D2990" i="106" s="1"/>
  <c r="K50" i="29"/>
  <c r="B733" i="106"/>
  <c r="D733" i="106" s="1"/>
  <c r="B7133" i="106"/>
  <c r="D7133" i="106" s="1"/>
  <c r="D47" i="29"/>
  <c r="B789" i="106" s="1"/>
  <c r="D789" i="106" s="1"/>
  <c r="B786" i="106"/>
  <c r="D786" i="106" s="1"/>
  <c r="B5590" i="106"/>
  <c r="D5590" i="106" s="1"/>
  <c r="B7156" i="106"/>
  <c r="D7156" i="106" s="1"/>
  <c r="B6677" i="106"/>
  <c r="D6677" i="106" s="1"/>
  <c r="B6179" i="106"/>
  <c r="D6179" i="106" s="1"/>
  <c r="B6245" i="106"/>
  <c r="D6245" i="106" s="1"/>
  <c r="K11" i="29"/>
  <c r="B7257" i="106"/>
  <c r="D7257" i="106" s="1"/>
  <c r="B6791" i="106"/>
  <c r="D6791" i="106" s="1"/>
  <c r="B5109" i="106"/>
  <c r="D5109" i="106" s="1"/>
  <c r="B7228" i="106"/>
  <c r="D7228" i="106" s="1"/>
  <c r="B4918" i="106"/>
  <c r="D4918" i="106" s="1"/>
  <c r="B6785" i="106"/>
  <c r="D6785" i="106" s="1"/>
  <c r="B6106" i="106"/>
  <c r="D6106" i="106" s="1"/>
  <c r="J72" i="29"/>
  <c r="B6974" i="106" s="1"/>
  <c r="D6974" i="106" s="1"/>
  <c r="B6964" i="106"/>
  <c r="D6964" i="106" s="1"/>
  <c r="L350" i="29"/>
  <c r="L352" i="29" s="1"/>
  <c r="B1433" i="106"/>
  <c r="D1433" i="106" s="1"/>
  <c r="K268" i="29"/>
  <c r="B1497" i="106" s="1"/>
  <c r="D1497" i="106" s="1"/>
  <c r="B5743" i="106"/>
  <c r="D5743" i="106" s="1"/>
  <c r="K85" i="29"/>
  <c r="B6982" i="106" s="1"/>
  <c r="D6982" i="106" s="1"/>
  <c r="B6981" i="106"/>
  <c r="D6981" i="106" s="1"/>
  <c r="H92" i="29"/>
  <c r="B2958" i="106"/>
  <c r="D2958" i="106" s="1"/>
  <c r="B821" i="106"/>
  <c r="D821" i="106" s="1"/>
  <c r="E33" i="29"/>
  <c r="B836" i="106" s="1"/>
  <c r="D836" i="106" s="1"/>
  <c r="B5659" i="106"/>
  <c r="D5659" i="106" s="1"/>
  <c r="F188" i="5"/>
  <c r="B6649" i="106"/>
  <c r="D6649" i="106" s="1"/>
  <c r="B6934" i="106"/>
  <c r="D6934" i="106" s="1"/>
  <c r="B822" i="106"/>
  <c r="D822" i="106" s="1"/>
  <c r="B6819" i="106"/>
  <c r="D6819" i="106" s="1"/>
  <c r="B5061" i="106"/>
  <c r="D5061" i="106" s="1"/>
  <c r="C12" i="5"/>
  <c r="B5066" i="106" s="1"/>
  <c r="D5066" i="106" s="1"/>
  <c r="B4" i="7"/>
  <c r="B6084" i="106"/>
  <c r="D6084" i="106" s="1"/>
  <c r="B5875" i="106"/>
  <c r="D5875" i="106" s="1"/>
  <c r="B7683" i="106"/>
  <c r="D7683" i="106" s="1"/>
  <c r="B983" i="106"/>
  <c r="D983" i="106" s="1"/>
  <c r="J122" i="5"/>
  <c r="B6357" i="106" s="1"/>
  <c r="D6357" i="106" s="1"/>
  <c r="B6353" i="106"/>
  <c r="D6353" i="106" s="1"/>
  <c r="B5341" i="106"/>
  <c r="D5341" i="106" s="1"/>
  <c r="B2991" i="106"/>
  <c r="D2991" i="106" s="1"/>
  <c r="K190" i="29"/>
  <c r="B3009" i="106" s="1"/>
  <c r="D3009" i="106" s="1"/>
  <c r="B2802" i="106"/>
  <c r="D2802" i="106" s="1"/>
  <c r="B6405" i="106"/>
  <c r="D6405" i="106" s="1"/>
  <c r="B7247" i="106"/>
  <c r="D7247" i="106" s="1"/>
  <c r="B6790" i="106"/>
  <c r="D6790" i="106" s="1"/>
  <c r="B7130" i="106"/>
  <c r="D7130" i="106" s="1"/>
  <c r="B6868" i="106"/>
  <c r="D6868" i="106" s="1"/>
  <c r="B974" i="106"/>
  <c r="D974" i="106" s="1"/>
  <c r="K291" i="29"/>
  <c r="B2846" i="106" s="1"/>
  <c r="D2846" i="106" s="1"/>
  <c r="B2844" i="106"/>
  <c r="D2844" i="106" s="1"/>
  <c r="B7691" i="106"/>
  <c r="D7691" i="106" s="1"/>
  <c r="K301" i="29"/>
  <c r="B1519" i="106"/>
  <c r="D1519" i="106" s="1"/>
  <c r="C303" i="29"/>
  <c r="F166" i="34"/>
  <c r="B7873" i="106" s="1"/>
  <c r="D7873" i="106" s="1"/>
  <c r="B4189" i="106"/>
  <c r="D4189" i="106" s="1"/>
  <c r="B6684" i="106"/>
  <c r="D6684" i="106" s="1"/>
  <c r="B5076" i="106"/>
  <c r="D5076" i="106" s="1"/>
  <c r="B6746" i="106"/>
  <c r="D6746" i="106" s="1"/>
  <c r="B6736" i="106"/>
  <c r="D6736" i="106" s="1"/>
  <c r="K124" i="29"/>
  <c r="B1276" i="106" s="1"/>
  <c r="D1276" i="106" s="1"/>
  <c r="B1221" i="106"/>
  <c r="D1221" i="106" s="1"/>
  <c r="B7686" i="106"/>
  <c r="D7686" i="106" s="1"/>
  <c r="B4391" i="106"/>
  <c r="D4391" i="106" s="1"/>
  <c r="B7111" i="106"/>
  <c r="D7111" i="106" s="1"/>
  <c r="B7023" i="106"/>
  <c r="D7023" i="106" s="1"/>
  <c r="B2848" i="106"/>
  <c r="D2848" i="106" s="1"/>
  <c r="E34" i="3"/>
  <c r="B139" i="106" s="1"/>
  <c r="D139" i="106" s="1"/>
  <c r="B6127" i="106"/>
  <c r="D6127" i="106" s="1"/>
  <c r="E72" i="29"/>
  <c r="B869" i="106" s="1"/>
  <c r="D869" i="106" s="1"/>
  <c r="B862" i="106"/>
  <c r="D862" i="106" s="1"/>
  <c r="B6625" i="106"/>
  <c r="D6625" i="106" s="1"/>
  <c r="K25" i="29"/>
  <c r="B6886" i="106"/>
  <c r="D6886" i="106" s="1"/>
  <c r="B5627" i="106"/>
  <c r="D5627" i="106" s="1"/>
  <c r="B865" i="106"/>
  <c r="D865" i="106" s="1"/>
  <c r="G303" i="29"/>
  <c r="B1543" i="106"/>
  <c r="D1543" i="106" s="1"/>
  <c r="H181" i="5"/>
  <c r="B5908" i="106" s="1"/>
  <c r="D5908" i="106" s="1"/>
  <c r="B5907" i="106"/>
  <c r="D5907" i="106" s="1"/>
  <c r="B6859" i="106"/>
  <c r="D6859" i="106" s="1"/>
  <c r="B872" i="106"/>
  <c r="D872" i="106" s="1"/>
  <c r="B3624" i="106"/>
  <c r="D3624" i="106" s="1"/>
  <c r="D350" i="29"/>
  <c r="B3626" i="106" s="1"/>
  <c r="D3626" i="106" s="1"/>
  <c r="K292" i="29"/>
  <c r="B1514" i="106" s="1"/>
  <c r="D1514" i="106" s="1"/>
  <c r="B1451" i="106"/>
  <c r="D1451" i="106" s="1"/>
  <c r="L33" i="29"/>
  <c r="L310" i="29"/>
  <c r="L312" i="29" s="1"/>
  <c r="E12" i="5"/>
  <c r="B5509" i="106"/>
  <c r="D5509" i="106" s="1"/>
  <c r="B6" i="7"/>
  <c r="B1746" i="106" s="1"/>
  <c r="D1746" i="106" s="1"/>
  <c r="B938" i="106"/>
  <c r="D938" i="106" s="1"/>
  <c r="F252" i="5"/>
  <c r="B6836" i="106" s="1"/>
  <c r="D6836" i="106" s="1"/>
  <c r="B6617" i="106"/>
  <c r="D6617" i="106" s="1"/>
  <c r="B4343" i="106"/>
  <c r="D4343" i="106" s="1"/>
  <c r="B805" i="106"/>
  <c r="D805" i="106" s="1"/>
  <c r="B4852" i="106"/>
  <c r="D4852" i="106" s="1"/>
  <c r="F171" i="34"/>
  <c r="B7876" i="106" s="1"/>
  <c r="D7876" i="106" s="1"/>
  <c r="B7025" i="106"/>
  <c r="D7025" i="106" s="1"/>
  <c r="J127" i="29"/>
  <c r="B7034" i="106" s="1"/>
  <c r="D7034" i="106" s="1"/>
  <c r="B6751" i="106"/>
  <c r="D6751" i="106" s="1"/>
  <c r="B4948" i="106"/>
  <c r="D4948" i="106" s="1"/>
  <c r="B3056" i="106"/>
  <c r="D3056" i="106" s="1"/>
  <c r="B6818" i="106"/>
  <c r="D6818" i="106" s="1"/>
  <c r="B7044" i="106"/>
  <c r="D7044" i="106" s="1"/>
  <c r="B5606" i="106"/>
  <c r="D5606" i="106" s="1"/>
  <c r="B4227" i="106"/>
  <c r="D4227" i="106" s="1"/>
  <c r="G47" i="29"/>
  <c r="B963" i="106" s="1"/>
  <c r="D963" i="106" s="1"/>
  <c r="B960" i="106"/>
  <c r="D960" i="106" s="1"/>
  <c r="B6755" i="106"/>
  <c r="D6755" i="106" s="1"/>
  <c r="B7804" i="106"/>
  <c r="D7804" i="106" s="1"/>
  <c r="B7687" i="106"/>
  <c r="D7687" i="106" s="1"/>
  <c r="F350" i="29"/>
  <c r="F352" i="29" s="1"/>
  <c r="B3638" i="106"/>
  <c r="D3638" i="106" s="1"/>
  <c r="B6082" i="106"/>
  <c r="D6082" i="106" s="1"/>
  <c r="E310" i="29"/>
  <c r="B7114" i="106" s="1"/>
  <c r="D7114" i="106" s="1"/>
  <c r="B7105" i="106"/>
  <c r="D7105" i="106" s="1"/>
  <c r="K306" i="29"/>
  <c r="B4816" i="106"/>
  <c r="D4816" i="106" s="1"/>
  <c r="K181" i="5"/>
  <c r="B6016" i="106" s="1"/>
  <c r="D6016" i="106" s="1"/>
  <c r="B7151" i="106"/>
  <c r="D7151" i="106" s="1"/>
  <c r="B7087" i="106"/>
  <c r="D7087" i="106" s="1"/>
  <c r="K251" i="29"/>
  <c r="B7088" i="106" s="1"/>
  <c r="D7088" i="106" s="1"/>
  <c r="B2718" i="106"/>
  <c r="D2718" i="106" s="1"/>
  <c r="K51" i="29"/>
  <c r="E13" i="184" s="1"/>
  <c r="H13" i="184" s="1"/>
  <c r="B7678" i="106"/>
  <c r="D7678" i="106" s="1"/>
  <c r="B3551" i="106"/>
  <c r="D3551" i="106" s="1"/>
  <c r="K320" i="29"/>
  <c r="B7127" i="106"/>
  <c r="D7127" i="106" s="1"/>
  <c r="B1036" i="106"/>
  <c r="D1036" i="106" s="1"/>
  <c r="H72" i="29"/>
  <c r="B1043" i="106" s="1"/>
  <c r="D1043" i="106" s="1"/>
  <c r="B7129" i="106"/>
  <c r="D7129" i="106" s="1"/>
  <c r="B4344" i="106"/>
  <c r="D4344" i="106" s="1"/>
  <c r="B5585" i="106"/>
  <c r="D5585" i="106" s="1"/>
  <c r="H330" i="29"/>
  <c r="B7123" i="106"/>
  <c r="D7123" i="106" s="1"/>
  <c r="E252" i="5"/>
  <c r="B6616" i="106"/>
  <c r="D6616" i="106" s="1"/>
  <c r="B7149" i="106"/>
  <c r="D7149" i="106" s="1"/>
  <c r="B6698" i="106"/>
  <c r="D6698" i="106" s="1"/>
  <c r="B928" i="106"/>
  <c r="D928" i="106" s="1"/>
  <c r="F100" i="34"/>
  <c r="B5110" i="106"/>
  <c r="D5110" i="106" s="1"/>
  <c r="B3371" i="106"/>
  <c r="D3371" i="106" s="1"/>
  <c r="B2949" i="106"/>
  <c r="D2949" i="106" s="1"/>
  <c r="E84" i="29"/>
  <c r="K78" i="29"/>
  <c r="B2973" i="106" s="1"/>
  <c r="D2973" i="106" s="1"/>
  <c r="B3376" i="106"/>
  <c r="D3376" i="106" s="1"/>
  <c r="B5576" i="106"/>
  <c r="D5576" i="106" s="1"/>
  <c r="F25" i="34"/>
  <c r="B6699" i="106"/>
  <c r="D6699" i="106" s="1"/>
  <c r="B5921" i="106"/>
  <c r="D5921" i="106" s="1"/>
  <c r="B7134" i="106"/>
  <c r="D7134" i="106" s="1"/>
  <c r="I65" i="29"/>
  <c r="B6961" i="106" s="1"/>
  <c r="D6961" i="106" s="1"/>
  <c r="B6950" i="106"/>
  <c r="D6950" i="106" s="1"/>
  <c r="B6096" i="106"/>
  <c r="D6096" i="106" s="1"/>
  <c r="D175" i="5"/>
  <c r="B5423" i="106" s="1"/>
  <c r="D5423" i="106" s="1"/>
  <c r="B5422" i="106"/>
  <c r="D5422" i="106" s="1"/>
  <c r="K267" i="29"/>
  <c r="B1496" i="106" s="1"/>
  <c r="D1496" i="106" s="1"/>
  <c r="B1432" i="106"/>
  <c r="D1432" i="106" s="1"/>
  <c r="B1251" i="106"/>
  <c r="D1251" i="106" s="1"/>
  <c r="G127" i="29"/>
  <c r="B1256" i="106" s="1"/>
  <c r="D1256" i="106" s="1"/>
  <c r="B1522" i="106"/>
  <c r="D1522" i="106" s="1"/>
  <c r="K302" i="29"/>
  <c r="B1558" i="106" s="1"/>
  <c r="D1558" i="106" s="1"/>
  <c r="G198" i="5"/>
  <c r="B6409" i="106" s="1"/>
  <c r="D6409" i="106" s="1"/>
  <c r="B6402" i="106"/>
  <c r="D6402" i="106" s="1"/>
  <c r="B1269" i="106"/>
  <c r="D1269" i="106" s="1"/>
  <c r="K143" i="29"/>
  <c r="B1284" i="106" s="1"/>
  <c r="D1284" i="106" s="1"/>
  <c r="B1540" i="106"/>
  <c r="D1540" i="106" s="1"/>
  <c r="B6912" i="106"/>
  <c r="D6912" i="106" s="1"/>
  <c r="B4794" i="106"/>
  <c r="D4794" i="106" s="1"/>
  <c r="B6154" i="106"/>
  <c r="D6154" i="106" s="1"/>
  <c r="B5925" i="106"/>
  <c r="D5925" i="106" s="1"/>
  <c r="F156" i="34"/>
  <c r="B6817" i="106"/>
  <c r="D6817" i="106" s="1"/>
  <c r="B7177" i="106"/>
  <c r="D7177" i="106" s="1"/>
  <c r="B5496" i="106"/>
  <c r="D5496" i="106" s="1"/>
  <c r="B6928" i="106"/>
  <c r="D6928" i="106" s="1"/>
  <c r="B6931" i="106"/>
  <c r="D6931" i="106" s="1"/>
  <c r="L261" i="29"/>
  <c r="B6975" i="106"/>
  <c r="D6975" i="106" s="1"/>
  <c r="K252" i="5"/>
  <c r="B6621" i="106"/>
  <c r="D6621" i="106" s="1"/>
  <c r="B7147" i="106"/>
  <c r="D7147" i="106" s="1"/>
  <c r="B5196" i="106"/>
  <c r="D5196" i="106" s="1"/>
  <c r="B7136" i="106"/>
  <c r="D7136" i="106" s="1"/>
  <c r="K321" i="29"/>
  <c r="E59" i="184" s="1"/>
  <c r="N59" i="184" s="1"/>
  <c r="B7175" i="106"/>
  <c r="D7175" i="106" s="1"/>
  <c r="B6311" i="106"/>
  <c r="D6311" i="106" s="1"/>
  <c r="B5346" i="106"/>
  <c r="D5346" i="106" s="1"/>
  <c r="B856" i="106"/>
  <c r="D856" i="106" s="1"/>
  <c r="B4855" i="106"/>
  <c r="D4855" i="106" s="1"/>
  <c r="B6966" i="106"/>
  <c r="D6966" i="106" s="1"/>
  <c r="B7755" i="106"/>
  <c r="D7755" i="106" s="1"/>
  <c r="K44" i="4"/>
  <c r="B3584" i="106" s="1"/>
  <c r="D3584" i="106" s="1"/>
  <c r="B6118" i="106"/>
  <c r="D6118" i="106" s="1"/>
  <c r="B930" i="106"/>
  <c r="D930" i="106" s="1"/>
  <c r="B7061" i="106"/>
  <c r="D7061" i="106" s="1"/>
  <c r="B6680" i="106"/>
  <c r="D6680" i="106" s="1"/>
  <c r="B7651" i="106"/>
  <c r="D7651" i="106" s="1"/>
  <c r="B4813" i="106"/>
  <c r="D4813" i="106" s="1"/>
  <c r="B751" i="106"/>
  <c r="D751" i="106" s="1"/>
  <c r="K71" i="29"/>
  <c r="B5351" i="106"/>
  <c r="D5351" i="106" s="1"/>
  <c r="B4074" i="106"/>
  <c r="D4074" i="106" s="1"/>
  <c r="C129" i="29"/>
  <c r="C151" i="29" s="1"/>
  <c r="B1226" i="106" s="1"/>
  <c r="D1226" i="106" s="1"/>
  <c r="K120" i="29"/>
  <c r="B4080" i="106" s="1"/>
  <c r="D4080" i="106" s="1"/>
  <c r="B5014" i="106"/>
  <c r="D5014" i="106" s="1"/>
  <c r="B7028" i="106"/>
  <c r="D7028" i="106" s="1"/>
  <c r="B5736" i="106"/>
  <c r="D5736" i="106" s="1"/>
  <c r="B6782" i="106"/>
  <c r="D6782" i="106" s="1"/>
  <c r="L194" i="29"/>
  <c r="L196" i="29" s="1"/>
  <c r="B6093" i="106"/>
  <c r="D6093" i="106" s="1"/>
  <c r="B6944" i="106"/>
  <c r="D6944" i="106" s="1"/>
  <c r="I57" i="29"/>
  <c r="B6948" i="106" s="1"/>
  <c r="D6948" i="106" s="1"/>
  <c r="B1025" i="106"/>
  <c r="D1025" i="106" s="1"/>
  <c r="H57" i="29"/>
  <c r="B1027" i="106" s="1"/>
  <c r="D1027" i="106" s="1"/>
  <c r="B6683" i="106"/>
  <c r="D6683" i="106" s="1"/>
  <c r="G57" i="29"/>
  <c r="B969" i="106" s="1"/>
  <c r="D969" i="106" s="1"/>
  <c r="B967" i="106"/>
  <c r="D967" i="106" s="1"/>
  <c r="B6976" i="106"/>
  <c r="D6976" i="106" s="1"/>
  <c r="B4346" i="106"/>
  <c r="D4346" i="106" s="1"/>
  <c r="B6821" i="106"/>
  <c r="D6821" i="106" s="1"/>
  <c r="B7097" i="106"/>
  <c r="D7097" i="106" s="1"/>
  <c r="K256" i="29"/>
  <c r="B7098" i="106" s="1"/>
  <c r="D7098" i="106" s="1"/>
  <c r="E129" i="29"/>
  <c r="B1241" i="106" s="1"/>
  <c r="D1241" i="106" s="1"/>
  <c r="B4076" i="106"/>
  <c r="D4076" i="106" s="1"/>
  <c r="F160" i="34"/>
  <c r="B7867" i="106" s="1"/>
  <c r="D7867" i="106" s="1"/>
  <c r="B7765" i="106"/>
  <c r="D7765" i="106" s="1"/>
  <c r="B855" i="106"/>
  <c r="D855" i="106" s="1"/>
  <c r="L257" i="29"/>
  <c r="B6930" i="106"/>
  <c r="D6930" i="106" s="1"/>
  <c r="K69" i="29"/>
  <c r="B748" i="106"/>
  <c r="D748" i="106" s="1"/>
  <c r="L168" i="29"/>
  <c r="L172" i="29" s="1"/>
  <c r="L174" i="29" s="1"/>
  <c r="B5464" i="106"/>
  <c r="D5464" i="106" s="1"/>
  <c r="B173" i="106"/>
  <c r="D173" i="106" s="1"/>
  <c r="B6377" i="106"/>
  <c r="D6377" i="106" s="1"/>
  <c r="B198" i="106"/>
  <c r="D198" i="106" s="1"/>
  <c r="B3634" i="106"/>
  <c r="D3634" i="106" s="1"/>
  <c r="B6733" i="106"/>
  <c r="D6733" i="106" s="1"/>
  <c r="B7677" i="106"/>
  <c r="D7677" i="106" s="1"/>
  <c r="H127" i="29"/>
  <c r="B1264" i="106" s="1"/>
  <c r="D1264" i="106" s="1"/>
  <c r="B1260" i="106"/>
  <c r="D1260" i="106" s="1"/>
  <c r="B5111" i="106"/>
  <c r="D5111" i="106" s="1"/>
  <c r="F101" i="34"/>
  <c r="B4179" i="106"/>
  <c r="D4179" i="106" s="1"/>
  <c r="L72" i="29"/>
  <c r="B5133" i="106"/>
  <c r="D5133" i="106" s="1"/>
  <c r="C132" i="5"/>
  <c r="B5022" i="106"/>
  <c r="D5022" i="106" s="1"/>
  <c r="C76" i="4"/>
  <c r="B3231" i="106" s="1"/>
  <c r="D3231" i="106" s="1"/>
  <c r="H108" i="5"/>
  <c r="B5886" i="106" s="1"/>
  <c r="D5886" i="106" s="1"/>
  <c r="B5882" i="106"/>
  <c r="D5882" i="106" s="1"/>
  <c r="B797" i="106"/>
  <c r="D797" i="106" s="1"/>
  <c r="B6770" i="106"/>
  <c r="D6770" i="106" s="1"/>
  <c r="B7172" i="106"/>
  <c r="D7172" i="106" s="1"/>
  <c r="K325" i="29"/>
  <c r="B6300" i="106"/>
  <c r="D6300" i="106" s="1"/>
  <c r="B4416" i="106"/>
  <c r="D4416" i="106" s="1"/>
  <c r="B7695" i="106"/>
  <c r="D7695" i="106" s="1"/>
  <c r="B6368" i="106"/>
  <c r="D6368" i="106" s="1"/>
  <c r="E169" i="5"/>
  <c r="B5537" i="106" s="1"/>
  <c r="D5537" i="106" s="1"/>
  <c r="C72" i="29"/>
  <c r="B753" i="106" s="1"/>
  <c r="D753" i="106" s="1"/>
  <c r="B746" i="106"/>
  <c r="D746" i="106" s="1"/>
  <c r="K67" i="29"/>
  <c r="K28" i="29"/>
  <c r="B6892" i="106"/>
  <c r="D6892" i="106" s="1"/>
  <c r="B903" i="106"/>
  <c r="D903" i="106" s="1"/>
  <c r="B6088" i="106"/>
  <c r="D6088" i="106" s="1"/>
  <c r="B5525" i="106"/>
  <c r="D5525" i="106" s="1"/>
  <c r="K202" i="29"/>
  <c r="B2842" i="106" s="1"/>
  <c r="D2842" i="106" s="1"/>
  <c r="B2832" i="106"/>
  <c r="D2832" i="106" s="1"/>
  <c r="B5998" i="106"/>
  <c r="D5998" i="106" s="1"/>
  <c r="B3230" i="106"/>
  <c r="D3230" i="106" s="1"/>
  <c r="B2760" i="106"/>
  <c r="D2760" i="106" s="1"/>
  <c r="J18" i="4"/>
  <c r="B6228" i="106" s="1"/>
  <c r="D6228" i="106" s="1"/>
  <c r="B6224" i="106"/>
  <c r="D6224" i="106" s="1"/>
  <c r="B724" i="106"/>
  <c r="D724" i="106" s="1"/>
  <c r="K39" i="29"/>
  <c r="B1112" i="106" s="1"/>
  <c r="D1112" i="106" s="1"/>
  <c r="B6110" i="106"/>
  <c r="D6110" i="106" s="1"/>
  <c r="J330" i="29"/>
  <c r="B7125" i="106"/>
  <c r="D7125" i="106" s="1"/>
  <c r="B6633" i="106"/>
  <c r="D6633" i="106" s="1"/>
  <c r="B7132" i="106"/>
  <c r="D7132" i="106" s="1"/>
  <c r="B7267" i="106"/>
  <c r="B1240" i="106"/>
  <c r="D1240" i="106" s="1"/>
  <c r="B6706" i="106"/>
  <c r="D6706" i="106" s="1"/>
  <c r="B6824" i="106"/>
  <c r="D6824" i="106" s="1"/>
  <c r="B6185" i="106"/>
  <c r="D6185" i="106" s="1"/>
  <c r="L137" i="29"/>
  <c r="L139" i="29" s="1"/>
  <c r="B6366" i="106"/>
  <c r="D6366" i="106" s="1"/>
  <c r="F42" i="29"/>
  <c r="B895" i="106"/>
  <c r="D895" i="106" s="1"/>
  <c r="G122" i="5"/>
  <c r="B5748" i="106" s="1"/>
  <c r="D5748" i="106" s="1"/>
  <c r="B5742" i="106"/>
  <c r="D5742" i="106" s="1"/>
  <c r="B6787" i="106"/>
  <c r="D6787" i="106" s="1"/>
  <c r="B7192" i="106"/>
  <c r="D7192" i="106" s="1"/>
  <c r="K6" i="29"/>
  <c r="B7763" i="106" s="1"/>
  <c r="D7763" i="106" s="1"/>
  <c r="B7762" i="106"/>
  <c r="D7762" i="106" s="1"/>
  <c r="L334" i="29"/>
  <c r="B6783" i="106"/>
  <c r="D6783" i="106" s="1"/>
  <c r="F312" i="29"/>
  <c r="B1542" i="106" s="1"/>
  <c r="D1542" i="106" s="1"/>
  <c r="B4950" i="106"/>
  <c r="D4950" i="106" s="1"/>
  <c r="F70" i="34"/>
  <c r="B2823" i="106"/>
  <c r="D2823" i="106" s="1"/>
  <c r="I109" i="5"/>
  <c r="I4" i="4" s="1"/>
  <c r="B7104" i="106"/>
  <c r="D7104" i="106" s="1"/>
  <c r="F40" i="34"/>
  <c r="J170" i="5"/>
  <c r="B6397" i="106" s="1"/>
  <c r="D6397" i="106" s="1"/>
  <c r="E66" i="184"/>
  <c r="N66" i="184" s="1"/>
  <c r="B1053" i="106"/>
  <c r="D1053" i="106" s="1"/>
  <c r="K84" i="29"/>
  <c r="B2088" i="106" s="1"/>
  <c r="D2088" i="106" s="1"/>
  <c r="B4087" i="106"/>
  <c r="D4087" i="106" s="1"/>
  <c r="B1324" i="106"/>
  <c r="D1324" i="106" s="1"/>
  <c r="K168" i="29"/>
  <c r="B1511" i="106"/>
  <c r="D1511" i="106" s="1"/>
  <c r="F72" i="34"/>
  <c r="B1107" i="106"/>
  <c r="D1107" i="106" s="1"/>
  <c r="F38" i="34"/>
  <c r="B7830" i="106" s="1"/>
  <c r="D7830" i="106" s="1"/>
  <c r="B4211" i="106"/>
  <c r="D4211" i="106" s="1"/>
  <c r="F64" i="34"/>
  <c r="G29" i="108"/>
  <c r="B5725" i="106"/>
  <c r="D5725" i="106" s="1"/>
  <c r="B7205" i="106"/>
  <c r="D7205" i="106" s="1"/>
  <c r="J129" i="29"/>
  <c r="B1225" i="106"/>
  <c r="D1225" i="106" s="1"/>
  <c r="H44" i="4"/>
  <c r="B6289" i="106"/>
  <c r="D6289" i="106" s="1"/>
  <c r="D129" i="29"/>
  <c r="B1972" i="106"/>
  <c r="D1972" i="106" s="1"/>
  <c r="H12" i="12"/>
  <c r="B1128" i="106"/>
  <c r="D1128" i="106" s="1"/>
  <c r="K12" i="12"/>
  <c r="B7712" i="106"/>
  <c r="D7712" i="106" s="1"/>
  <c r="B3633" i="106"/>
  <c r="D3633" i="106" s="1"/>
  <c r="E352" i="29"/>
  <c r="B1553" i="106"/>
  <c r="D1553" i="106" s="1"/>
  <c r="H312" i="29"/>
  <c r="B1554" i="106" s="1"/>
  <c r="D1554" i="106" s="1"/>
  <c r="B2091" i="106"/>
  <c r="D2091" i="106" s="1"/>
  <c r="H139" i="29"/>
  <c r="B1249" i="106"/>
  <c r="D1249" i="106" s="1"/>
  <c r="B5246" i="106"/>
  <c r="D5246" i="106" s="1"/>
  <c r="B7144" i="106"/>
  <c r="D7144" i="106" s="1"/>
  <c r="E139" i="29"/>
  <c r="B4203" i="106" s="1"/>
  <c r="D4203" i="106" s="1"/>
  <c r="B4202" i="106"/>
  <c r="D4202" i="106" s="1"/>
  <c r="B280" i="106"/>
  <c r="D280" i="106" s="1"/>
  <c r="M41" i="3"/>
  <c r="B2917" i="106"/>
  <c r="D2917" i="106" s="1"/>
  <c r="D53" i="36"/>
  <c r="N41" i="3"/>
  <c r="B287" i="106"/>
  <c r="D287" i="106" s="1"/>
  <c r="B4997" i="106"/>
  <c r="D4997" i="106" s="1"/>
  <c r="H32" i="118"/>
  <c r="K32" i="118" s="1"/>
  <c r="O31" i="118" s="1"/>
  <c r="O33" i="118" s="1"/>
  <c r="A7260" i="106"/>
  <c r="D7259" i="106"/>
  <c r="K137" i="29" l="1"/>
  <c r="K139" i="29" s="1"/>
  <c r="L210" i="29"/>
  <c r="L74" i="29"/>
  <c r="D16" i="7"/>
  <c r="B3447" i="106" s="1"/>
  <c r="D3447" i="106" s="1"/>
  <c r="L367" i="29"/>
  <c r="I210" i="29"/>
  <c r="D352" i="29"/>
  <c r="B3628" i="106" s="1"/>
  <c r="D3628" i="106" s="1"/>
  <c r="L151" i="29"/>
  <c r="E38" i="108"/>
  <c r="G38" i="108"/>
  <c r="B6891" i="106"/>
  <c r="D6891" i="106" s="1"/>
  <c r="D74" i="29"/>
  <c r="B3640" i="106"/>
  <c r="D3640" i="106" s="1"/>
  <c r="G109" i="5"/>
  <c r="C109" i="5"/>
  <c r="B5121" i="106" s="1"/>
  <c r="D5121" i="106" s="1"/>
  <c r="B6026" i="106"/>
  <c r="D6026" i="106" s="1"/>
  <c r="K257" i="29"/>
  <c r="B1488" i="106" s="1"/>
  <c r="D1488" i="106" s="1"/>
  <c r="H76" i="4"/>
  <c r="B3298" i="106" s="1"/>
  <c r="D3298" i="106" s="1"/>
  <c r="F37" i="108"/>
  <c r="B1139" i="106"/>
  <c r="D1139" i="106" s="1"/>
  <c r="D37" i="108"/>
  <c r="B7206" i="106"/>
  <c r="D7206" i="106" s="1"/>
  <c r="J342" i="29"/>
  <c r="B7223" i="106" s="1"/>
  <c r="D7223" i="106" s="1"/>
  <c r="G33" i="108"/>
  <c r="K72" i="29"/>
  <c r="B1141" i="106" s="1"/>
  <c r="D1141" i="106" s="1"/>
  <c r="E17" i="184"/>
  <c r="H17" i="184" s="1"/>
  <c r="E33" i="108"/>
  <c r="B1134" i="106"/>
  <c r="D1134" i="106" s="1"/>
  <c r="B7180" i="106"/>
  <c r="D7180" i="106" s="1"/>
  <c r="E63" i="184"/>
  <c r="N63" i="184" s="1"/>
  <c r="B5147" i="106"/>
  <c r="D5147" i="106" s="1"/>
  <c r="C169" i="5"/>
  <c r="F106" i="34"/>
  <c r="B7842" i="106" s="1"/>
  <c r="D7842" i="106" s="1"/>
  <c r="E102" i="29"/>
  <c r="B2790" i="106" s="1"/>
  <c r="D2790" i="106" s="1"/>
  <c r="B2789" i="106"/>
  <c r="D2789" i="106" s="1"/>
  <c r="B1752" i="106"/>
  <c r="D1752" i="106" s="1"/>
  <c r="D11" i="7"/>
  <c r="B1768" i="106" s="1"/>
  <c r="D1768" i="106" s="1"/>
  <c r="B727" i="106"/>
  <c r="D727" i="106" s="1"/>
  <c r="C74" i="29"/>
  <c r="J352" i="29"/>
  <c r="B7231" i="106"/>
  <c r="D7231" i="106" s="1"/>
  <c r="G169" i="5"/>
  <c r="B5752" i="106"/>
  <c r="D5752" i="106" s="1"/>
  <c r="K243" i="29"/>
  <c r="B1485" i="106" s="1"/>
  <c r="D1485" i="106" s="1"/>
  <c r="B1482" i="106"/>
  <c r="D1482" i="106" s="1"/>
  <c r="B1417" i="106"/>
  <c r="D1417" i="106" s="1"/>
  <c r="D279" i="29"/>
  <c r="B4395" i="106"/>
  <c r="D4395" i="106" s="1"/>
  <c r="F125" i="34"/>
  <c r="B7857" i="106" s="1"/>
  <c r="D7857" i="106" s="1"/>
  <c r="C266" i="5"/>
  <c r="I312" i="29"/>
  <c r="B7116" i="106" s="1"/>
  <c r="D7116" i="106" s="1"/>
  <c r="B7103" i="106"/>
  <c r="D7103" i="106" s="1"/>
  <c r="B7189" i="106"/>
  <c r="D7189" i="106" s="1"/>
  <c r="E64" i="184"/>
  <c r="N64" i="184" s="1"/>
  <c r="B4103" i="106"/>
  <c r="D4103" i="106" s="1"/>
  <c r="D18" i="7"/>
  <c r="B4105" i="106" s="1"/>
  <c r="D4105" i="106" s="1"/>
  <c r="J210" i="29"/>
  <c r="B7072" i="106" s="1"/>
  <c r="D7072" i="106" s="1"/>
  <c r="B7064" i="106"/>
  <c r="D7064" i="106" s="1"/>
  <c r="B2828" i="106"/>
  <c r="D2828" i="106" s="1"/>
  <c r="H196" i="29"/>
  <c r="B3252" i="106"/>
  <c r="D3252" i="106" s="1"/>
  <c r="F77" i="4"/>
  <c r="B3255" i="106" s="1"/>
  <c r="D3255" i="106" s="1"/>
  <c r="B6877" i="106"/>
  <c r="D6877" i="106" s="1"/>
  <c r="F39" i="34"/>
  <c r="B3229" i="106"/>
  <c r="D3229" i="106" s="1"/>
  <c r="C77" i="4"/>
  <c r="B3232" i="106" s="1"/>
  <c r="D3232" i="106" s="1"/>
  <c r="C210" i="29"/>
  <c r="B1340" i="106" s="1"/>
  <c r="D1340" i="106" s="1"/>
  <c r="B1339" i="106"/>
  <c r="D1339" i="106" s="1"/>
  <c r="B1364" i="106"/>
  <c r="D1364" i="106" s="1"/>
  <c r="G210" i="29"/>
  <c r="F133" i="34"/>
  <c r="B7865" i="106" s="1"/>
  <c r="D7865" i="106" s="1"/>
  <c r="B5304" i="106"/>
  <c r="D5304" i="106" s="1"/>
  <c r="B4396" i="106"/>
  <c r="D4396" i="106" s="1"/>
  <c r="D266" i="5"/>
  <c r="B5501" i="106" s="1"/>
  <c r="D5501" i="106" s="1"/>
  <c r="G342" i="29"/>
  <c r="B7203" i="106"/>
  <c r="D7203" i="106" s="1"/>
  <c r="B4102" i="106"/>
  <c r="D4102" i="106" s="1"/>
  <c r="D17" i="7"/>
  <c r="B4104" i="106" s="1"/>
  <c r="D4104" i="106" s="1"/>
  <c r="B1104" i="106"/>
  <c r="D1104" i="106" s="1"/>
  <c r="F37" i="34"/>
  <c r="B7829" i="106" s="1"/>
  <c r="D7829" i="106" s="1"/>
  <c r="H365" i="29"/>
  <c r="B7242" i="106" s="1"/>
  <c r="D7242" i="106" s="1"/>
  <c r="B3658" i="106"/>
  <c r="D3658" i="106" s="1"/>
  <c r="B1756" i="106"/>
  <c r="D1756" i="106" s="1"/>
  <c r="D15" i="7"/>
  <c r="B1772" i="106" s="1"/>
  <c r="D1772" i="106" s="1"/>
  <c r="B6848" i="106"/>
  <c r="D6848" i="106" s="1"/>
  <c r="F34" i="34"/>
  <c r="B7826" i="106" s="1"/>
  <c r="D7826" i="106" s="1"/>
  <c r="B6893" i="106"/>
  <c r="D6893" i="106" s="1"/>
  <c r="F47" i="34"/>
  <c r="J6" i="4"/>
  <c r="B6221" i="106" s="1"/>
  <c r="D6221" i="106" s="1"/>
  <c r="B2093" i="106"/>
  <c r="D2093" i="106" s="1"/>
  <c r="B2724" i="106"/>
  <c r="D2724" i="106" s="1"/>
  <c r="D6" i="7"/>
  <c r="B1762" i="106" s="1"/>
  <c r="D1762" i="106" s="1"/>
  <c r="E35" i="108"/>
  <c r="B1136" i="106"/>
  <c r="D1136" i="106" s="1"/>
  <c r="G35" i="108"/>
  <c r="E266" i="5"/>
  <c r="B6835" i="106"/>
  <c r="D6835" i="106" s="1"/>
  <c r="E109" i="5"/>
  <c r="B5513" i="106"/>
  <c r="D5513" i="106" s="1"/>
  <c r="B6887" i="106"/>
  <c r="D6887" i="106" s="1"/>
  <c r="F44" i="34"/>
  <c r="E12" i="184"/>
  <c r="B1121" i="106"/>
  <c r="D1121" i="106" s="1"/>
  <c r="B1475" i="106"/>
  <c r="D1475" i="106" s="1"/>
  <c r="K238" i="29"/>
  <c r="L102" i="29"/>
  <c r="L114" i="29" s="1"/>
  <c r="B2105" i="106"/>
  <c r="D2105" i="106" s="1"/>
  <c r="I76" i="4"/>
  <c r="B3235" i="106"/>
  <c r="D3235" i="106" s="1"/>
  <c r="D77" i="4"/>
  <c r="B3238" i="106" s="1"/>
  <c r="D3238" i="106" s="1"/>
  <c r="B6853" i="106"/>
  <c r="D6853" i="106" s="1"/>
  <c r="F35" i="34"/>
  <c r="B7827" i="106" s="1"/>
  <c r="D7827" i="106" s="1"/>
  <c r="B6997" i="106"/>
  <c r="D6997" i="106" s="1"/>
  <c r="K100" i="29"/>
  <c r="B7013" i="106" s="1"/>
  <c r="D7013" i="106" s="1"/>
  <c r="B6895" i="106"/>
  <c r="D6895" i="106" s="1"/>
  <c r="F48" i="34"/>
  <c r="B5614" i="106"/>
  <c r="D5614" i="106" s="1"/>
  <c r="F169" i="5"/>
  <c r="C352" i="29"/>
  <c r="B3619" i="106"/>
  <c r="D3619" i="106" s="1"/>
  <c r="E174" i="29"/>
  <c r="B1309" i="106" s="1"/>
  <c r="D1309" i="106" s="1"/>
  <c r="B1308" i="106"/>
  <c r="D1308" i="106" s="1"/>
  <c r="B7230" i="106"/>
  <c r="D7230" i="106" s="1"/>
  <c r="I352" i="29"/>
  <c r="B7135" i="106"/>
  <c r="D7135" i="106" s="1"/>
  <c r="E58" i="184"/>
  <c r="N58" i="184" s="1"/>
  <c r="F266" i="5"/>
  <c r="B4397" i="106"/>
  <c r="D4397" i="106" s="1"/>
  <c r="K42" i="29"/>
  <c r="B1109" i="106"/>
  <c r="D1109" i="106" s="1"/>
  <c r="B1116" i="106"/>
  <c r="D1116" i="106" s="1"/>
  <c r="K47" i="29"/>
  <c r="F42" i="34"/>
  <c r="B6883" i="106"/>
  <c r="D6883" i="106" s="1"/>
  <c r="K110" i="29"/>
  <c r="B1146" i="106"/>
  <c r="D1146" i="106" s="1"/>
  <c r="D10" i="7"/>
  <c r="B1765" i="106" s="1"/>
  <c r="D1765" i="106" s="1"/>
  <c r="B1749" i="106"/>
  <c r="D1749" i="106" s="1"/>
  <c r="E28" i="108"/>
  <c r="H129" i="29"/>
  <c r="B1266" i="106" s="1"/>
  <c r="D1266" i="106" s="1"/>
  <c r="K170" i="5"/>
  <c r="B6006" i="106"/>
  <c r="D6006" i="106" s="1"/>
  <c r="B7705" i="106"/>
  <c r="D7705" i="106" s="1"/>
  <c r="E67" i="184"/>
  <c r="N67" i="184" s="1"/>
  <c r="B5893" i="106"/>
  <c r="D5893" i="106" s="1"/>
  <c r="H170" i="5"/>
  <c r="K330" i="29"/>
  <c r="B7126" i="106"/>
  <c r="D7126" i="106" s="1"/>
  <c r="E57" i="184"/>
  <c r="B4398" i="106"/>
  <c r="D4398" i="106" s="1"/>
  <c r="G266" i="5"/>
  <c r="E30" i="108"/>
  <c r="G30" i="108"/>
  <c r="B1130" i="106"/>
  <c r="D1130" i="106" s="1"/>
  <c r="F126" i="34"/>
  <c r="B7858" i="106" s="1"/>
  <c r="D7858" i="106" s="1"/>
  <c r="E151" i="29"/>
  <c r="B1242" i="106" s="1"/>
  <c r="D1242" i="106" s="1"/>
  <c r="H342" i="29"/>
  <c r="B7221" i="106" s="1"/>
  <c r="D7221" i="106" s="1"/>
  <c r="B7204" i="106"/>
  <c r="D7204" i="106" s="1"/>
  <c r="B1744" i="106"/>
  <c r="D1744" i="106" s="1"/>
  <c r="D4" i="7"/>
  <c r="B19" i="7"/>
  <c r="B1759" i="106" s="1"/>
  <c r="D1759" i="106" s="1"/>
  <c r="I74" i="29"/>
  <c r="B6916" i="106"/>
  <c r="D6916" i="106" s="1"/>
  <c r="B3702" i="106"/>
  <c r="D3702" i="106" s="1"/>
  <c r="K76" i="4"/>
  <c r="B3586" i="106" s="1"/>
  <c r="D3586" i="106" s="1"/>
  <c r="B5102" i="106"/>
  <c r="D5102" i="106" s="1"/>
  <c r="F96" i="34"/>
  <c r="B7838" i="106" s="1"/>
  <c r="D7838" i="106" s="1"/>
  <c r="B1535" i="106"/>
  <c r="D1535" i="106" s="1"/>
  <c r="E312" i="29"/>
  <c r="B1536" i="106" s="1"/>
  <c r="D1536" i="106" s="1"/>
  <c r="B3390" i="106"/>
  <c r="D3390" i="106" s="1"/>
  <c r="K229" i="29"/>
  <c r="L342" i="29"/>
  <c r="B843" i="106"/>
  <c r="D843" i="106" s="1"/>
  <c r="E74" i="29"/>
  <c r="B5161" i="106"/>
  <c r="D5161" i="106" s="1"/>
  <c r="F107" i="34"/>
  <c r="B7843" i="106" s="1"/>
  <c r="D7843" i="106" s="1"/>
  <c r="B1123" i="106"/>
  <c r="D1123" i="106" s="1"/>
  <c r="K57" i="29"/>
  <c r="K147" i="29"/>
  <c r="B1283" i="106"/>
  <c r="D1283" i="106" s="1"/>
  <c r="H267" i="5"/>
  <c r="B6838" i="106"/>
  <c r="D6838" i="106" s="1"/>
  <c r="H266" i="5"/>
  <c r="B4441" i="106" s="1"/>
  <c r="D4441" i="106" s="1"/>
  <c r="B3258" i="106"/>
  <c r="D3258" i="106" s="1"/>
  <c r="G77" i="4"/>
  <c r="B3261" i="106" s="1"/>
  <c r="D3261" i="106" s="1"/>
  <c r="E44" i="4"/>
  <c r="B1314" i="106"/>
  <c r="D1314" i="106" s="1"/>
  <c r="H172" i="29"/>
  <c r="B7778" i="106"/>
  <c r="D7778" i="106" s="1"/>
  <c r="K160" i="29"/>
  <c r="B5534" i="106"/>
  <c r="D5534" i="106" s="1"/>
  <c r="E170" i="5"/>
  <c r="D13" i="7"/>
  <c r="B3726" i="106" s="1"/>
  <c r="D3726" i="106" s="1"/>
  <c r="B3725" i="106"/>
  <c r="D3725" i="106" s="1"/>
  <c r="F52" i="34"/>
  <c r="B7831" i="106" s="1"/>
  <c r="D7831" i="106" s="1"/>
  <c r="E39" i="108"/>
  <c r="B1144" i="106"/>
  <c r="D1144" i="106" s="1"/>
  <c r="C14" i="4"/>
  <c r="B2558" i="106" s="1"/>
  <c r="D2558" i="106" s="1"/>
  <c r="G39" i="108"/>
  <c r="K277" i="29"/>
  <c r="B1508" i="106" s="1"/>
  <c r="D1508" i="106" s="1"/>
  <c r="B1501" i="106"/>
  <c r="D1501" i="106" s="1"/>
  <c r="E14" i="184"/>
  <c r="H14" i="184" s="1"/>
  <c r="B1124" i="106"/>
  <c r="D1124" i="106" s="1"/>
  <c r="B3668" i="106"/>
  <c r="D3668" i="106" s="1"/>
  <c r="K350" i="29"/>
  <c r="B1452" i="106"/>
  <c r="D1452" i="106" s="1"/>
  <c r="H295" i="29"/>
  <c r="B1454" i="106" s="1"/>
  <c r="D1454" i="106" s="1"/>
  <c r="B1329" i="106"/>
  <c r="D1329" i="106" s="1"/>
  <c r="F61" i="34"/>
  <c r="B6881" i="106"/>
  <c r="D6881" i="106" s="1"/>
  <c r="F41" i="34"/>
  <c r="F28" i="108"/>
  <c r="K266" i="5"/>
  <c r="B4442" i="106" s="1"/>
  <c r="D4442" i="106" s="1"/>
  <c r="B6840" i="106"/>
  <c r="D6840" i="106" s="1"/>
  <c r="B7107" i="106"/>
  <c r="D7107" i="106" s="1"/>
  <c r="K310" i="29"/>
  <c r="B1137" i="106"/>
  <c r="D1137" i="106" s="1"/>
  <c r="D36" i="108"/>
  <c r="F36" i="108"/>
  <c r="B1351" i="106"/>
  <c r="D1351" i="106" s="1"/>
  <c r="E210" i="29"/>
  <c r="B1353" i="106" s="1"/>
  <c r="D1353" i="106" s="1"/>
  <c r="H149" i="29"/>
  <c r="B1272" i="106" s="1"/>
  <c r="D1272" i="106" s="1"/>
  <c r="B7047" i="106"/>
  <c r="D7047" i="106" s="1"/>
  <c r="B5369" i="106"/>
  <c r="D5369" i="106" s="1"/>
  <c r="D169" i="5"/>
  <c r="B1120" i="106"/>
  <c r="D1120" i="106" s="1"/>
  <c r="K53" i="29"/>
  <c r="B1751" i="106"/>
  <c r="D1751" i="106" s="1"/>
  <c r="D9" i="7"/>
  <c r="B1767" i="106" s="1"/>
  <c r="D1767" i="106" s="1"/>
  <c r="B1492" i="106"/>
  <c r="D1492" i="106" s="1"/>
  <c r="K270" i="29"/>
  <c r="B1500" i="106" s="1"/>
  <c r="D1500" i="106" s="1"/>
  <c r="F128" i="34"/>
  <c r="B7860" i="106" s="1"/>
  <c r="D7860" i="106" s="1"/>
  <c r="B4411" i="106"/>
  <c r="D4411" i="106" s="1"/>
  <c r="B7209" i="106"/>
  <c r="D7209" i="106" s="1"/>
  <c r="K340" i="29"/>
  <c r="F51" i="34"/>
  <c r="B6901" i="106"/>
  <c r="D6901" i="106" s="1"/>
  <c r="B4951" i="106"/>
  <c r="D4951" i="106" s="1"/>
  <c r="C342" i="29"/>
  <c r="B7216" i="106" s="1"/>
  <c r="D7216" i="106" s="1"/>
  <c r="B7199" i="106"/>
  <c r="D7199" i="106" s="1"/>
  <c r="B3654" i="106"/>
  <c r="D3654" i="106" s="1"/>
  <c r="H352" i="29"/>
  <c r="B1512" i="106"/>
  <c r="D1512" i="106" s="1"/>
  <c r="K293" i="29"/>
  <c r="B1753" i="106"/>
  <c r="D1753" i="106" s="1"/>
  <c r="D12" i="7"/>
  <c r="B1769" i="106" s="1"/>
  <c r="D1769" i="106" s="1"/>
  <c r="B1745" i="106"/>
  <c r="D1745" i="106" s="1"/>
  <c r="D5" i="7"/>
  <c r="B1761" i="106" s="1"/>
  <c r="D1761" i="106" s="1"/>
  <c r="B901" i="106"/>
  <c r="D901" i="106" s="1"/>
  <c r="F74" i="29"/>
  <c r="B1547" i="106"/>
  <c r="D1547" i="106" s="1"/>
  <c r="G312" i="29"/>
  <c r="B1548" i="106" s="1"/>
  <c r="D1548" i="106" s="1"/>
  <c r="B1523" i="106"/>
  <c r="D1523" i="106" s="1"/>
  <c r="C312" i="29"/>
  <c r="B1524" i="106" s="1"/>
  <c r="D1524" i="106" s="1"/>
  <c r="B7786" i="106"/>
  <c r="D7786" i="106" s="1"/>
  <c r="K334" i="29"/>
  <c r="F108" i="34"/>
  <c r="B7844" i="106" s="1"/>
  <c r="D7844" i="106" s="1"/>
  <c r="B5165" i="106"/>
  <c r="D5165" i="106" s="1"/>
  <c r="G34" i="108"/>
  <c r="B1135" i="106"/>
  <c r="D1135" i="106" s="1"/>
  <c r="E34" i="108"/>
  <c r="B4363" i="106"/>
  <c r="D4363" i="106" s="1"/>
  <c r="I170" i="5"/>
  <c r="I268" i="5" s="1"/>
  <c r="B5946" i="106" s="1"/>
  <c r="D5946" i="106" s="1"/>
  <c r="B5260" i="106"/>
  <c r="D5260" i="106" s="1"/>
  <c r="F127" i="34"/>
  <c r="B7859" i="106" s="1"/>
  <c r="D7859" i="106" s="1"/>
  <c r="K204" i="29"/>
  <c r="B1383" i="106"/>
  <c r="D1383" i="106" s="1"/>
  <c r="B5557" i="106"/>
  <c r="D5557" i="106" s="1"/>
  <c r="F109" i="5"/>
  <c r="B5178" i="106"/>
  <c r="D5178" i="106" s="1"/>
  <c r="F112" i="34"/>
  <c r="B7847" i="106" s="1"/>
  <c r="D7847" i="106" s="1"/>
  <c r="D27" i="108"/>
  <c r="F27" i="108"/>
  <c r="B1127" i="106"/>
  <c r="D1127" i="106" s="1"/>
  <c r="J77" i="4"/>
  <c r="B6262" i="106" s="1"/>
  <c r="D6262" i="106" s="1"/>
  <c r="B6238" i="106"/>
  <c r="D6238" i="106" s="1"/>
  <c r="F68" i="34"/>
  <c r="B7076" i="106"/>
  <c r="D7076" i="106" s="1"/>
  <c r="L279" i="29"/>
  <c r="L295" i="29" s="1"/>
  <c r="B959" i="106"/>
  <c r="D959" i="106" s="1"/>
  <c r="G74" i="29"/>
  <c r="B3007" i="106"/>
  <c r="D3007" i="106" s="1"/>
  <c r="K194" i="29"/>
  <c r="B5360" i="106"/>
  <c r="D5360" i="106" s="1"/>
  <c r="D5" i="4"/>
  <c r="B3406" i="106" s="1"/>
  <c r="D3406" i="106" s="1"/>
  <c r="B1131" i="106"/>
  <c r="D1131" i="106" s="1"/>
  <c r="F31" i="108"/>
  <c r="D31" i="108"/>
  <c r="E16" i="184"/>
  <c r="H16" i="184" s="1"/>
  <c r="B1129" i="106"/>
  <c r="D1129" i="106" s="1"/>
  <c r="E29" i="108"/>
  <c r="F342" i="29"/>
  <c r="B7219" i="106" s="1"/>
  <c r="D7219" i="106" s="1"/>
  <c r="B7202" i="106"/>
  <c r="D7202" i="106" s="1"/>
  <c r="B1093" i="106"/>
  <c r="D1093" i="106" s="1"/>
  <c r="K33" i="29"/>
  <c r="E342" i="29"/>
  <c r="B7218" i="106" s="1"/>
  <c r="D7218" i="106" s="1"/>
  <c r="B7201" i="106"/>
  <c r="D7201" i="106" s="1"/>
  <c r="F95" i="34"/>
  <c r="B5096" i="106"/>
  <c r="D5096" i="106" s="1"/>
  <c r="B1473" i="106"/>
  <c r="D1473" i="106" s="1"/>
  <c r="F71" i="34"/>
  <c r="B7074" i="106"/>
  <c r="D7074" i="106" s="1"/>
  <c r="F67" i="34"/>
  <c r="K127" i="29"/>
  <c r="G26" i="108"/>
  <c r="F15" i="184"/>
  <c r="F19" i="184" s="1"/>
  <c r="B1274" i="106"/>
  <c r="D1274" i="106" s="1"/>
  <c r="E26" i="108"/>
  <c r="B5987" i="106"/>
  <c r="D5987" i="106" s="1"/>
  <c r="K109" i="5"/>
  <c r="F210" i="29"/>
  <c r="B1359" i="106" s="1"/>
  <c r="D1359" i="106" s="1"/>
  <c r="B1358" i="106"/>
  <c r="D1358" i="106" s="1"/>
  <c r="B5232" i="106"/>
  <c r="D5232" i="106" s="1"/>
  <c r="F124" i="34"/>
  <c r="B7856" i="106" s="1"/>
  <c r="D7856" i="106" s="1"/>
  <c r="B6301" i="106"/>
  <c r="D6301" i="106" s="1"/>
  <c r="J109" i="5"/>
  <c r="F69" i="34"/>
  <c r="B7078" i="106"/>
  <c r="D7078" i="106" s="1"/>
  <c r="B7198" i="106"/>
  <c r="D7198" i="106" s="1"/>
  <c r="E65" i="184"/>
  <c r="N65" i="184" s="1"/>
  <c r="B7784" i="106"/>
  <c r="D7784" i="106" s="1"/>
  <c r="K285" i="29"/>
  <c r="B1017" i="106"/>
  <c r="D1017" i="106" s="1"/>
  <c r="H74" i="29"/>
  <c r="B1045" i="106" s="1"/>
  <c r="D1045" i="106" s="1"/>
  <c r="B4373" i="106"/>
  <c r="D4373" i="106" s="1"/>
  <c r="I267" i="5"/>
  <c r="J266" i="5"/>
  <c r="B6839" i="106"/>
  <c r="D6839" i="106" s="1"/>
  <c r="E62" i="184"/>
  <c r="N62" i="184" s="1"/>
  <c r="B7171" i="106"/>
  <c r="D7171" i="106" s="1"/>
  <c r="B4156" i="106"/>
  <c r="D4156" i="106" s="1"/>
  <c r="H208" i="29"/>
  <c r="B1375" i="106" s="1"/>
  <c r="D1375" i="106" s="1"/>
  <c r="I129" i="29"/>
  <c r="B1747" i="106"/>
  <c r="D1747" i="106" s="1"/>
  <c r="D7" i="7"/>
  <c r="B1763" i="106" s="1"/>
  <c r="D1763" i="106" s="1"/>
  <c r="B5741" i="106"/>
  <c r="D5741" i="106" s="1"/>
  <c r="G5" i="4"/>
  <c r="B3409" i="106" s="1"/>
  <c r="D3409" i="106" s="1"/>
  <c r="K357" i="29"/>
  <c r="B7792" i="106"/>
  <c r="D7792" i="106" s="1"/>
  <c r="B5873" i="106"/>
  <c r="D5873" i="106" s="1"/>
  <c r="H109" i="5"/>
  <c r="G352" i="29"/>
  <c r="B3647" i="106"/>
  <c r="D3647" i="106" s="1"/>
  <c r="B5592" i="106"/>
  <c r="D5592" i="106" s="1"/>
  <c r="F5" i="4"/>
  <c r="B3408" i="106" s="1"/>
  <c r="D3408" i="106" s="1"/>
  <c r="J74" i="29"/>
  <c r="B6917" i="106"/>
  <c r="D6917" i="106" s="1"/>
  <c r="K65" i="29"/>
  <c r="B1133" i="106" s="1"/>
  <c r="D1133" i="106" s="1"/>
  <c r="F26" i="108"/>
  <c r="E15" i="184"/>
  <c r="H15" i="184" s="1"/>
  <c r="B1126" i="106"/>
  <c r="D1126" i="106" s="1"/>
  <c r="D26" i="108"/>
  <c r="F45" i="34"/>
  <c r="B6889" i="106"/>
  <c r="D6889" i="106" s="1"/>
  <c r="B5334" i="106"/>
  <c r="D5334" i="106" s="1"/>
  <c r="D109" i="5"/>
  <c r="B1555" i="106"/>
  <c r="D1555" i="106" s="1"/>
  <c r="K303" i="29"/>
  <c r="K92" i="29"/>
  <c r="B2089" i="106" s="1"/>
  <c r="D2089" i="106" s="1"/>
  <c r="B6995" i="106"/>
  <c r="D6995" i="106" s="1"/>
  <c r="F36" i="34"/>
  <c r="B7828" i="106" s="1"/>
  <c r="D7828" i="106" s="1"/>
  <c r="B6858" i="106"/>
  <c r="D6858" i="106" s="1"/>
  <c r="B7153" i="106"/>
  <c r="D7153" i="106" s="1"/>
  <c r="E60" i="184"/>
  <c r="N60" i="184" s="1"/>
  <c r="F49" i="34"/>
  <c r="B6897" i="106"/>
  <c r="D6897" i="106" s="1"/>
  <c r="B7200" i="106"/>
  <c r="D7200" i="106" s="1"/>
  <c r="D342" i="29"/>
  <c r="B7217" i="106" s="1"/>
  <c r="D7217" i="106" s="1"/>
  <c r="B1529" i="106"/>
  <c r="D1529" i="106" s="1"/>
  <c r="D312" i="29"/>
  <c r="B1530" i="106" s="1"/>
  <c r="D1530" i="106" s="1"/>
  <c r="B2081" i="106"/>
  <c r="D2081" i="106" s="1"/>
  <c r="H102" i="29"/>
  <c r="B1047" i="106" s="1"/>
  <c r="D1047" i="106" s="1"/>
  <c r="B1754" i="106"/>
  <c r="D1754" i="106" s="1"/>
  <c r="D14" i="7"/>
  <c r="B1770" i="106" s="1"/>
  <c r="D1770" i="106" s="1"/>
  <c r="B5125" i="106"/>
  <c r="D5125" i="106" s="1"/>
  <c r="C5" i="4"/>
  <c r="B3405" i="106" s="1"/>
  <c r="D3405" i="106" s="1"/>
  <c r="B1489" i="106"/>
  <c r="D1489" i="106" s="1"/>
  <c r="K261" i="29"/>
  <c r="B1491" i="106" s="1"/>
  <c r="D1491" i="106" s="1"/>
  <c r="B7162" i="106"/>
  <c r="D7162" i="106" s="1"/>
  <c r="E61" i="184"/>
  <c r="N61" i="184" s="1"/>
  <c r="B6885" i="106"/>
  <c r="D6885" i="106" s="1"/>
  <c r="F43" i="34"/>
  <c r="D14" i="4"/>
  <c r="B2570" i="106" s="1"/>
  <c r="D2570" i="106" s="1"/>
  <c r="B2805" i="106"/>
  <c r="D2805" i="106" s="1"/>
  <c r="F56" i="34"/>
  <c r="B7832" i="106" s="1"/>
  <c r="D7832" i="106" s="1"/>
  <c r="B6899" i="106"/>
  <c r="D6899" i="106" s="1"/>
  <c r="F50" i="34"/>
  <c r="G129" i="29"/>
  <c r="B3675" i="106"/>
  <c r="D3675" i="106" s="1"/>
  <c r="K362" i="29"/>
  <c r="F158" i="34"/>
  <c r="B7866" i="106" s="1"/>
  <c r="D7866" i="106" s="1"/>
  <c r="B1345" i="106"/>
  <c r="D1345" i="106" s="1"/>
  <c r="D210" i="29"/>
  <c r="B1346" i="106" s="1"/>
  <c r="D1346" i="106" s="1"/>
  <c r="B7071" i="106"/>
  <c r="D7071" i="106" s="1"/>
  <c r="F66" i="34"/>
  <c r="H14" i="12"/>
  <c r="B1977" i="106"/>
  <c r="D1977" i="106" s="1"/>
  <c r="B7222" i="106"/>
  <c r="D7222" i="106" s="1"/>
  <c r="F76" i="34"/>
  <c r="B7887" i="106" s="1"/>
  <c r="D7887" i="106" s="1"/>
  <c r="B1267" i="106"/>
  <c r="D1267" i="106" s="1"/>
  <c r="D151" i="29"/>
  <c r="B1234" i="106" s="1"/>
  <c r="D1234" i="106" s="1"/>
  <c r="B1233" i="106"/>
  <c r="D1233" i="106" s="1"/>
  <c r="B3635" i="106"/>
  <c r="D3635" i="106" s="1"/>
  <c r="E367" i="29"/>
  <c r="B3636" i="106" s="1"/>
  <c r="D3636" i="106" s="1"/>
  <c r="B7038" i="106"/>
  <c r="D7038" i="106" s="1"/>
  <c r="J151" i="29"/>
  <c r="B7052" i="106" s="1"/>
  <c r="D7052" i="106" s="1"/>
  <c r="B6024" i="106"/>
  <c r="D6024" i="106" s="1"/>
  <c r="G4" i="4"/>
  <c r="B2603" i="106" s="1"/>
  <c r="D2603" i="106" s="1"/>
  <c r="F13" i="4"/>
  <c r="B2596" i="106" s="1"/>
  <c r="D2596" i="106" s="1"/>
  <c r="B1381" i="106"/>
  <c r="D1381" i="106" s="1"/>
  <c r="B7719" i="106"/>
  <c r="D7719" i="106" s="1"/>
  <c r="K24" i="12"/>
  <c r="B3296" i="106"/>
  <c r="D3296" i="106" s="1"/>
  <c r="H77" i="4"/>
  <c r="B3299" i="106" s="1"/>
  <c r="D3299" i="106" s="1"/>
  <c r="K172" i="29"/>
  <c r="B1328" i="106"/>
  <c r="D1328" i="106" s="1"/>
  <c r="F367" i="29"/>
  <c r="B3643" i="106" s="1"/>
  <c r="D3643" i="106" s="1"/>
  <c r="B3642" i="106"/>
  <c r="D3642" i="106" s="1"/>
  <c r="B3225" i="106"/>
  <c r="D3225" i="106" s="1"/>
  <c r="F57" i="34"/>
  <c r="B1282" i="106"/>
  <c r="D1282" i="106" s="1"/>
  <c r="D15" i="4"/>
  <c r="B2571" i="106" s="1"/>
  <c r="D2571" i="106" s="1"/>
  <c r="B281" i="106"/>
  <c r="D281" i="106" s="1"/>
  <c r="D54" i="36"/>
  <c r="A7261" i="106"/>
  <c r="D7260" i="106"/>
  <c r="B288" i="106"/>
  <c r="D288" i="106" s="1"/>
  <c r="D367" i="29" l="1"/>
  <c r="B3629" i="106" s="1"/>
  <c r="D3629" i="106" s="1"/>
  <c r="D41" i="108"/>
  <c r="E43" i="108" s="1"/>
  <c r="D114" i="29"/>
  <c r="B815" i="106" s="1"/>
  <c r="D815" i="106" s="1"/>
  <c r="B813" i="106"/>
  <c r="D813" i="106" s="1"/>
  <c r="D267" i="5"/>
  <c r="D7" i="4" s="1"/>
  <c r="B2567" i="106" s="1"/>
  <c r="D2567" i="106" s="1"/>
  <c r="C4" i="4"/>
  <c r="B2551" i="106" s="1"/>
  <c r="D2551" i="106" s="1"/>
  <c r="K77" i="4"/>
  <c r="B3587" i="106" s="1"/>
  <c r="D3587" i="106" s="1"/>
  <c r="K312" i="29"/>
  <c r="B1560" i="106" s="1"/>
  <c r="D1560" i="106" s="1"/>
  <c r="B1559" i="106"/>
  <c r="D1559" i="106" s="1"/>
  <c r="H13" i="4"/>
  <c r="K196" i="29"/>
  <c r="B2837" i="106"/>
  <c r="D2837" i="106" s="1"/>
  <c r="B5544" i="106"/>
  <c r="D5544" i="106" s="1"/>
  <c r="E6" i="4"/>
  <c r="B2631" i="106" s="1"/>
  <c r="D2631" i="106" s="1"/>
  <c r="B1760" i="106"/>
  <c r="D1760" i="106" s="1"/>
  <c r="D19" i="7"/>
  <c r="B1775" i="106" s="1"/>
  <c r="D1775" i="106" s="1"/>
  <c r="E267" i="5"/>
  <c r="B7747" i="106"/>
  <c r="D7747" i="106" s="1"/>
  <c r="I6" i="4"/>
  <c r="B4216" i="106"/>
  <c r="D4216" i="106" s="1"/>
  <c r="B6978" i="106"/>
  <c r="D6978" i="106" s="1"/>
  <c r="J114" i="29"/>
  <c r="B7021" i="106" s="1"/>
  <c r="D7021" i="106" s="1"/>
  <c r="B3674" i="106"/>
  <c r="D3674" i="106" s="1"/>
  <c r="K15" i="4"/>
  <c r="B3573" i="106" s="1"/>
  <c r="D3573" i="106" s="1"/>
  <c r="B3724" i="106"/>
  <c r="D3724" i="106" s="1"/>
  <c r="F73" i="34"/>
  <c r="G15" i="4"/>
  <c r="B6032" i="106" s="1"/>
  <c r="D6032" i="106" s="1"/>
  <c r="K208" i="29"/>
  <c r="B4157" i="106"/>
  <c r="D4157" i="106" s="1"/>
  <c r="F114" i="29"/>
  <c r="B931" i="106" s="1"/>
  <c r="D931" i="106" s="1"/>
  <c r="B929" i="106"/>
  <c r="D929" i="106" s="1"/>
  <c r="B3656" i="106"/>
  <c r="D3656" i="106" s="1"/>
  <c r="H367" i="29"/>
  <c r="B3660" i="106" s="1"/>
  <c r="D3660" i="106" s="1"/>
  <c r="J16" i="4"/>
  <c r="B6226" i="106" s="1"/>
  <c r="D6226" i="106" s="1"/>
  <c r="B7215" i="106"/>
  <c r="D7215" i="106" s="1"/>
  <c r="E23" i="108"/>
  <c r="B1122" i="106"/>
  <c r="D1122" i="106" s="1"/>
  <c r="G23" i="108"/>
  <c r="G267" i="5"/>
  <c r="B5863" i="106"/>
  <c r="D5863" i="106" s="1"/>
  <c r="B1151" i="106"/>
  <c r="D1151" i="106" s="1"/>
  <c r="K112" i="29"/>
  <c r="B5713" i="106"/>
  <c r="D5713" i="106" s="1"/>
  <c r="F267" i="5"/>
  <c r="B3621" i="106"/>
  <c r="D3621" i="106" s="1"/>
  <c r="C367" i="29"/>
  <c r="B3622" i="106" s="1"/>
  <c r="D3622" i="106" s="1"/>
  <c r="J367" i="29"/>
  <c r="B7245" i="106" s="1"/>
  <c r="D7245" i="106" s="1"/>
  <c r="B7235" i="106"/>
  <c r="D7235" i="106" s="1"/>
  <c r="C170" i="5"/>
  <c r="B5214" i="106"/>
  <c r="D5214" i="106" s="1"/>
  <c r="K4" i="4"/>
  <c r="B6028" i="106"/>
  <c r="D6028" i="106" s="1"/>
  <c r="H151" i="29"/>
  <c r="B1273" i="106" s="1"/>
  <c r="D1273" i="106" s="1"/>
  <c r="G114" i="29"/>
  <c r="B987" i="106"/>
  <c r="D987" i="106" s="1"/>
  <c r="B1323" i="106"/>
  <c r="D1323" i="106" s="1"/>
  <c r="E15" i="4"/>
  <c r="B2633" i="106" s="1"/>
  <c r="D2633" i="106" s="1"/>
  <c r="F60" i="34"/>
  <c r="B871" i="106"/>
  <c r="D871" i="106" s="1"/>
  <c r="E114" i="29"/>
  <c r="B873" i="106" s="1"/>
  <c r="D873" i="106" s="1"/>
  <c r="B5644" i="106"/>
  <c r="D5644" i="106" s="1"/>
  <c r="F170" i="5"/>
  <c r="H12" i="184"/>
  <c r="H19" i="184" s="1"/>
  <c r="L20" i="184" s="1"/>
  <c r="E19" i="184"/>
  <c r="D295" i="29"/>
  <c r="B1448" i="106" s="1"/>
  <c r="D1448" i="106" s="1"/>
  <c r="B1446" i="106"/>
  <c r="D1446" i="106" s="1"/>
  <c r="B755" i="106"/>
  <c r="D755" i="106" s="1"/>
  <c r="C114" i="29"/>
  <c r="B757" i="106" s="1"/>
  <c r="D757" i="106" s="1"/>
  <c r="B7041" i="106"/>
  <c r="D7041" i="106" s="1"/>
  <c r="J267" i="5"/>
  <c r="B3649" i="106"/>
  <c r="D3649" i="106" s="1"/>
  <c r="G367" i="29"/>
  <c r="B3650" i="106" s="1"/>
  <c r="D3650" i="106" s="1"/>
  <c r="H114" i="29"/>
  <c r="B1054" i="106" s="1"/>
  <c r="D1054" i="106" s="1"/>
  <c r="B1279" i="106"/>
  <c r="D1279" i="106" s="1"/>
  <c r="K129" i="29"/>
  <c r="F74" i="34"/>
  <c r="B7790" i="106"/>
  <c r="D7790" i="106" s="1"/>
  <c r="J15" i="4"/>
  <c r="B7796" i="106" s="1"/>
  <c r="D7796" i="106" s="1"/>
  <c r="B5412" i="106"/>
  <c r="D5412" i="106" s="1"/>
  <c r="D170" i="5"/>
  <c r="B3670" i="106"/>
  <c r="D3670" i="106" s="1"/>
  <c r="K352" i="29"/>
  <c r="H7" i="4"/>
  <c r="B2657" i="106" s="1"/>
  <c r="D2657" i="106" s="1"/>
  <c r="B5914" i="106"/>
  <c r="D5914" i="106" s="1"/>
  <c r="N57" i="184"/>
  <c r="N68" i="184" s="1"/>
  <c r="E68" i="184"/>
  <c r="K6" i="4"/>
  <c r="B3570" i="106" s="1"/>
  <c r="D3570" i="106" s="1"/>
  <c r="B6014" i="106"/>
  <c r="D6014" i="106" s="1"/>
  <c r="F65" i="34"/>
  <c r="B1365" i="106"/>
  <c r="D1365" i="106" s="1"/>
  <c r="G19" i="108"/>
  <c r="B1108" i="106"/>
  <c r="D1108" i="106" s="1"/>
  <c r="E19" i="108"/>
  <c r="C12" i="4"/>
  <c r="B2556" i="106" s="1"/>
  <c r="D2556" i="106" s="1"/>
  <c r="B2102" i="106"/>
  <c r="D2102" i="106" s="1"/>
  <c r="H15" i="4"/>
  <c r="B2660" i="106" s="1"/>
  <c r="D2660" i="106" s="1"/>
  <c r="K102" i="29"/>
  <c r="H174" i="29"/>
  <c r="B1318" i="106" s="1"/>
  <c r="D1318" i="106" s="1"/>
  <c r="B1317" i="106"/>
  <c r="D1317" i="106" s="1"/>
  <c r="E22" i="108"/>
  <c r="G22" i="108"/>
  <c r="B1119" i="106"/>
  <c r="D1119" i="106" s="1"/>
  <c r="I367" i="29"/>
  <c r="B7244" i="106" s="1"/>
  <c r="D7244" i="106" s="1"/>
  <c r="B7234" i="106"/>
  <c r="D7234" i="106" s="1"/>
  <c r="B3318" i="106"/>
  <c r="D3318" i="106" s="1"/>
  <c r="I77" i="4"/>
  <c r="B3319" i="106" s="1"/>
  <c r="D3319" i="106" s="1"/>
  <c r="B7048" i="106"/>
  <c r="D7048" i="106" s="1"/>
  <c r="K149" i="29"/>
  <c r="H210" i="29"/>
  <c r="B1376" i="106" s="1"/>
  <c r="D1376" i="106" s="1"/>
  <c r="B2830" i="106"/>
  <c r="D2830" i="106" s="1"/>
  <c r="B4435" i="106"/>
  <c r="D4435" i="106" s="1"/>
  <c r="I7" i="4"/>
  <c r="B4444" i="106" s="1"/>
  <c r="D4444" i="106" s="1"/>
  <c r="B1474" i="106"/>
  <c r="D1474" i="106" s="1"/>
  <c r="G12" i="4"/>
  <c r="B2607" i="106" s="1"/>
  <c r="D2607" i="106" s="1"/>
  <c r="K342" i="29"/>
  <c r="J13" i="4"/>
  <c r="B7207" i="106"/>
  <c r="D7207" i="106" s="1"/>
  <c r="F175" i="34"/>
  <c r="B7877" i="106" s="1"/>
  <c r="D7877" i="106" s="1"/>
  <c r="F41" i="108"/>
  <c r="G43" i="108" s="1"/>
  <c r="B6025" i="106"/>
  <c r="D6025" i="106" s="1"/>
  <c r="H4" i="4"/>
  <c r="H268" i="5"/>
  <c r="B7037" i="106"/>
  <c r="D7037" i="106" s="1"/>
  <c r="I151" i="29"/>
  <c r="B5588" i="106"/>
  <c r="D5588" i="106" s="1"/>
  <c r="F4" i="4"/>
  <c r="B2591" i="106" s="1"/>
  <c r="D2591" i="106" s="1"/>
  <c r="K267" i="5"/>
  <c r="E77" i="4"/>
  <c r="B3277" i="106" s="1"/>
  <c r="D3277" i="106" s="1"/>
  <c r="B3274" i="106"/>
  <c r="D3274" i="106" s="1"/>
  <c r="E24" i="108"/>
  <c r="B1125" i="106"/>
  <c r="D1125" i="106" s="1"/>
  <c r="G24" i="108"/>
  <c r="B6977" i="106"/>
  <c r="D6977" i="106" s="1"/>
  <c r="I114" i="29"/>
  <c r="H6" i="4"/>
  <c r="B2656" i="106" s="1"/>
  <c r="D2656" i="106" s="1"/>
  <c r="B5906" i="106"/>
  <c r="D5906" i="106" s="1"/>
  <c r="E4" i="4"/>
  <c r="B2630" i="106" s="1"/>
  <c r="D2630" i="106" s="1"/>
  <c r="B5527" i="106"/>
  <c r="D5527" i="106" s="1"/>
  <c r="B7220" i="106"/>
  <c r="D7220" i="106" s="1"/>
  <c r="F75" i="34"/>
  <c r="B7886" i="106" s="1"/>
  <c r="D7886" i="106" s="1"/>
  <c r="B3676" i="106"/>
  <c r="D3676" i="106" s="1"/>
  <c r="K365" i="29"/>
  <c r="G151" i="29"/>
  <c r="B1258" i="106"/>
  <c r="D1258" i="106" s="1"/>
  <c r="D4" i="4"/>
  <c r="B2564" i="106" s="1"/>
  <c r="D2564" i="106" s="1"/>
  <c r="B5356" i="106"/>
  <c r="D5356" i="106" s="1"/>
  <c r="J4" i="4"/>
  <c r="B6220" i="106" s="1"/>
  <c r="D6220" i="106" s="1"/>
  <c r="B6352" i="106"/>
  <c r="D6352" i="106" s="1"/>
  <c r="G16" i="4"/>
  <c r="B2611" i="106" s="1"/>
  <c r="D2611" i="106" s="1"/>
  <c r="B1515" i="106"/>
  <c r="D1515" i="106" s="1"/>
  <c r="E21" i="108"/>
  <c r="B1115" i="106"/>
  <c r="D1115" i="106" s="1"/>
  <c r="G21" i="108"/>
  <c r="K74" i="29"/>
  <c r="K279" i="29"/>
  <c r="B1481" i="106"/>
  <c r="D1481" i="106" s="1"/>
  <c r="B5320" i="106"/>
  <c r="D5320" i="106" s="1"/>
  <c r="C267" i="5"/>
  <c r="G170" i="5"/>
  <c r="B5770" i="106"/>
  <c r="D5770" i="106" s="1"/>
  <c r="K26" i="12"/>
  <c r="B7743" i="106" s="1"/>
  <c r="D7743" i="106" s="1"/>
  <c r="B7733" i="106"/>
  <c r="D7733" i="106" s="1"/>
  <c r="B1331" i="106"/>
  <c r="D1331" i="106" s="1"/>
  <c r="E16" i="4"/>
  <c r="K174" i="29"/>
  <c r="H23" i="12"/>
  <c r="B7720" i="106"/>
  <c r="D7720" i="106" s="1"/>
  <c r="A7262" i="106"/>
  <c r="D7261" i="106"/>
  <c r="B5507" i="106" l="1"/>
  <c r="D5507" i="106" s="1"/>
  <c r="B1510" i="106"/>
  <c r="D1510" i="106" s="1"/>
  <c r="G13" i="4"/>
  <c r="F13" i="34"/>
  <c r="B7224" i="106"/>
  <c r="D7224" i="106" s="1"/>
  <c r="G41" i="108"/>
  <c r="G44" i="108" s="1"/>
  <c r="G45" i="108" s="1"/>
  <c r="K151" i="29"/>
  <c r="D13" i="4"/>
  <c r="B1281" i="106"/>
  <c r="D1281" i="106" s="1"/>
  <c r="F7" i="4"/>
  <c r="B2594" i="106" s="1"/>
  <c r="D2594" i="106" s="1"/>
  <c r="B5719" i="106"/>
  <c r="D5719" i="106" s="1"/>
  <c r="F16" i="4"/>
  <c r="B2599" i="106" s="1"/>
  <c r="D2599" i="106" s="1"/>
  <c r="B1387" i="106"/>
  <c r="D1387" i="106" s="1"/>
  <c r="B6022" i="106"/>
  <c r="D6022" i="106" s="1"/>
  <c r="K7" i="4"/>
  <c r="B3718" i="106" s="1"/>
  <c r="D3718" i="106" s="1"/>
  <c r="C13" i="4"/>
  <c r="B1143" i="106"/>
  <c r="D1143" i="106" s="1"/>
  <c r="B5915" i="106"/>
  <c r="D5915" i="106" s="1"/>
  <c r="K313" i="29"/>
  <c r="B1561" i="106" s="1"/>
  <c r="D1561" i="106" s="1"/>
  <c r="K367" i="29"/>
  <c r="B3678" i="106" s="1"/>
  <c r="D3678" i="106" s="1"/>
  <c r="K13" i="4"/>
  <c r="B3672" i="106"/>
  <c r="D3672" i="106" s="1"/>
  <c r="B3569" i="106"/>
  <c r="D3569" i="106" s="1"/>
  <c r="B5011" i="106"/>
  <c r="D5011" i="106" s="1"/>
  <c r="I8" i="4"/>
  <c r="K210" i="29"/>
  <c r="B1382" i="106"/>
  <c r="D1382" i="106" s="1"/>
  <c r="F63" i="34"/>
  <c r="F15" i="4"/>
  <c r="H8" i="4"/>
  <c r="B2655" i="106"/>
  <c r="D2655" i="106" s="1"/>
  <c r="F53" i="34"/>
  <c r="C15" i="4"/>
  <c r="B2559" i="106" s="1"/>
  <c r="D2559" i="106" s="1"/>
  <c r="B1145" i="106"/>
  <c r="D1145" i="106" s="1"/>
  <c r="B7019" i="106"/>
  <c r="D7019" i="106" s="1"/>
  <c r="C16" i="4"/>
  <c r="B2560" i="106" s="1"/>
  <c r="D2560" i="106" s="1"/>
  <c r="H17" i="4"/>
  <c r="B2659" i="106"/>
  <c r="D2659" i="106" s="1"/>
  <c r="D6" i="4"/>
  <c r="B5421" i="106"/>
  <c r="D5421" i="106" s="1"/>
  <c r="B5223" i="106"/>
  <c r="D5223" i="106" s="1"/>
  <c r="C268" i="5"/>
  <c r="C6" i="4"/>
  <c r="B4434" i="106"/>
  <c r="D4434" i="106" s="1"/>
  <c r="E7" i="4"/>
  <c r="E268" i="5"/>
  <c r="B5326" i="106"/>
  <c r="D5326" i="106" s="1"/>
  <c r="C7" i="4"/>
  <c r="B7243" i="106"/>
  <c r="D7243" i="106" s="1"/>
  <c r="K16" i="4"/>
  <c r="B3574" i="106" s="1"/>
  <c r="D3574" i="106" s="1"/>
  <c r="B7020" i="106"/>
  <c r="D7020" i="106" s="1"/>
  <c r="F17" i="11"/>
  <c r="F55" i="34"/>
  <c r="B7054" i="106"/>
  <c r="D7054" i="106" s="1"/>
  <c r="J7" i="4"/>
  <c r="J268" i="5"/>
  <c r="F268" i="5"/>
  <c r="B5653" i="106"/>
  <c r="D5653" i="106" s="1"/>
  <c r="F6" i="4"/>
  <c r="B989" i="106"/>
  <c r="D989" i="106" s="1"/>
  <c r="F54" i="34"/>
  <c r="G7" i="4"/>
  <c r="B2605" i="106" s="1"/>
  <c r="D2605" i="106" s="1"/>
  <c r="B5869" i="106"/>
  <c r="D5869" i="106" s="1"/>
  <c r="D268" i="5"/>
  <c r="F58" i="34"/>
  <c r="B1259" i="106"/>
  <c r="D1259" i="106" s="1"/>
  <c r="E41" i="108"/>
  <c r="E44" i="108" s="1"/>
  <c r="E45" i="108" s="1"/>
  <c r="K114" i="29"/>
  <c r="G6" i="4"/>
  <c r="G268" i="5"/>
  <c r="B5778" i="106"/>
  <c r="D5778" i="106" s="1"/>
  <c r="B7051" i="106"/>
  <c r="D7051" i="106" s="1"/>
  <c r="F59" i="34"/>
  <c r="B7042" i="106"/>
  <c r="D7042" i="106" s="1"/>
  <c r="J17" i="4"/>
  <c r="D16" i="4"/>
  <c r="B2572" i="106" s="1"/>
  <c r="D2572" i="106" s="1"/>
  <c r="B1287" i="106"/>
  <c r="D1287" i="106" s="1"/>
  <c r="K268" i="5"/>
  <c r="K295" i="29"/>
  <c r="B1982" i="106"/>
  <c r="D1982" i="106" s="1"/>
  <c r="H24" i="12"/>
  <c r="F10" i="34"/>
  <c r="B1332" i="106"/>
  <c r="D1332" i="106" s="1"/>
  <c r="B2634" i="106"/>
  <c r="D2634" i="106" s="1"/>
  <c r="E17" i="4"/>
  <c r="A7263" i="106"/>
  <c r="D7262" i="106"/>
  <c r="B5327" i="106" l="1"/>
  <c r="D5327" i="106" s="1"/>
  <c r="K115" i="29"/>
  <c r="B1153" i="106" s="1"/>
  <c r="D1153" i="106" s="1"/>
  <c r="F11" i="34"/>
  <c r="B1388" i="106"/>
  <c r="D1388" i="106" s="1"/>
  <c r="B5508" i="106"/>
  <c r="D5508" i="106" s="1"/>
  <c r="K152" i="29"/>
  <c r="B1289" i="106" s="1"/>
  <c r="D1289" i="106" s="1"/>
  <c r="K343" i="29"/>
  <c r="B7225" i="106" s="1"/>
  <c r="D7225" i="106" s="1"/>
  <c r="B7055" i="106"/>
  <c r="D7055" i="106" s="1"/>
  <c r="B2554" i="106"/>
  <c r="D2554" i="106" s="1"/>
  <c r="D10" i="171"/>
  <c r="D19" i="171" s="1"/>
  <c r="D32" i="171" s="1"/>
  <c r="D49" i="171" s="1"/>
  <c r="F77" i="34"/>
  <c r="B7834" i="106" s="1"/>
  <c r="D7834" i="106" s="1"/>
  <c r="G17" i="4"/>
  <c r="B2608" i="106"/>
  <c r="D2608" i="106" s="1"/>
  <c r="B5720" i="106"/>
  <c r="D5720" i="106" s="1"/>
  <c r="K211" i="29"/>
  <c r="B1389" i="106" s="1"/>
  <c r="D1389" i="106" s="1"/>
  <c r="E8" i="146"/>
  <c r="E10" i="146" s="1"/>
  <c r="I20" i="4"/>
  <c r="I10" i="4"/>
  <c r="B4128" i="106" s="1"/>
  <c r="D4128" i="106" s="1"/>
  <c r="B3226" i="106"/>
  <c r="D3226" i="106" s="1"/>
  <c r="F12" i="34"/>
  <c r="B1517" i="106"/>
  <c r="D1517" i="106" s="1"/>
  <c r="B6222" i="106"/>
  <c r="D6222" i="106" s="1"/>
  <c r="J8" i="4"/>
  <c r="B2566" i="106"/>
  <c r="D2566" i="106" s="1"/>
  <c r="D8" i="4"/>
  <c r="K8" i="4"/>
  <c r="B2557" i="106"/>
  <c r="D2557" i="106" s="1"/>
  <c r="C17" i="4"/>
  <c r="D17" i="4"/>
  <c r="B2569" i="106"/>
  <c r="D2569" i="106" s="1"/>
  <c r="B4443" i="106"/>
  <c r="D4443" i="106" s="1"/>
  <c r="E8" i="4"/>
  <c r="E20" i="4" s="1"/>
  <c r="E78" i="4" s="1"/>
  <c r="K296" i="29"/>
  <c r="B1518" i="106" s="1"/>
  <c r="D1518" i="106" s="1"/>
  <c r="B5870" i="106"/>
  <c r="D5870" i="106" s="1"/>
  <c r="B5552" i="106"/>
  <c r="D5552" i="106" s="1"/>
  <c r="K175" i="29"/>
  <c r="B1333" i="106" s="1"/>
  <c r="D1333" i="106" s="1"/>
  <c r="H19" i="4"/>
  <c r="B4141" i="106" s="1"/>
  <c r="D4141" i="106" s="1"/>
  <c r="B2661" i="106"/>
  <c r="D2661" i="106" s="1"/>
  <c r="F17" i="4"/>
  <c r="B2598" i="106"/>
  <c r="D2598" i="106" s="1"/>
  <c r="F8" i="34"/>
  <c r="B1152" i="106"/>
  <c r="D1152" i="106" s="1"/>
  <c r="B7624" i="106"/>
  <c r="I17" i="11"/>
  <c r="K17" i="4"/>
  <c r="B3572" i="106"/>
  <c r="D3572" i="106" s="1"/>
  <c r="B6023" i="106"/>
  <c r="D6023" i="106" s="1"/>
  <c r="K368" i="29"/>
  <c r="B3681" i="106" s="1"/>
  <c r="D3681" i="106" s="1"/>
  <c r="H20" i="4"/>
  <c r="B2658" i="106"/>
  <c r="D2658" i="106" s="1"/>
  <c r="H10" i="4"/>
  <c r="B4127" i="106" s="1"/>
  <c r="D4127" i="106" s="1"/>
  <c r="F9" i="34"/>
  <c r="B1288" i="106"/>
  <c r="D1288" i="106" s="1"/>
  <c r="B2604" i="106"/>
  <c r="D2604" i="106" s="1"/>
  <c r="G8" i="4"/>
  <c r="B6227" i="106"/>
  <c r="D6227" i="106" s="1"/>
  <c r="J19" i="4"/>
  <c r="B6229" i="106" s="1"/>
  <c r="D6229" i="106" s="1"/>
  <c r="B2593" i="106"/>
  <c r="D2593" i="106" s="1"/>
  <c r="F8" i="4"/>
  <c r="B2553" i="106"/>
  <c r="D2553" i="106" s="1"/>
  <c r="C8" i="4"/>
  <c r="B2635" i="106"/>
  <c r="D2635" i="106" s="1"/>
  <c r="E19" i="4"/>
  <c r="B4138" i="106" s="1"/>
  <c r="D4138" i="106" s="1"/>
  <c r="B1983" i="106"/>
  <c r="D1983" i="106" s="1"/>
  <c r="H26" i="12"/>
  <c r="B7740" i="106" s="1"/>
  <c r="D7740" i="106" s="1"/>
  <c r="A7264" i="106"/>
  <c r="D7263" i="106"/>
  <c r="F14" i="34" l="1"/>
  <c r="B7822" i="106" s="1"/>
  <c r="B3227" i="106"/>
  <c r="D3227" i="106" s="1"/>
  <c r="I78" i="4"/>
  <c r="E10" i="4"/>
  <c r="B4124" i="106" s="1"/>
  <c r="D4124" i="106" s="1"/>
  <c r="B2632" i="106"/>
  <c r="D2632" i="106" s="1"/>
  <c r="B2662" i="106"/>
  <c r="D2662" i="106" s="1"/>
  <c r="H78" i="4"/>
  <c r="D20" i="4"/>
  <c r="B2568" i="106"/>
  <c r="D2568" i="106" s="1"/>
  <c r="D10" i="4"/>
  <c r="B4123" i="106" s="1"/>
  <c r="D4123" i="106" s="1"/>
  <c r="C8" i="146"/>
  <c r="B2606" i="106"/>
  <c r="D2606" i="106" s="1"/>
  <c r="G10" i="4"/>
  <c r="B4126" i="106" s="1"/>
  <c r="D4126" i="106" s="1"/>
  <c r="G20" i="4"/>
  <c r="F19" i="4"/>
  <c r="B4139" i="106" s="1"/>
  <c r="D4139" i="106" s="1"/>
  <c r="B2600" i="106"/>
  <c r="D2600" i="106" s="1"/>
  <c r="D9" i="146"/>
  <c r="J10" i="4"/>
  <c r="B6225" i="106" s="1"/>
  <c r="D6225" i="106" s="1"/>
  <c r="B6223" i="106"/>
  <c r="D6223" i="106" s="1"/>
  <c r="J20" i="4"/>
  <c r="K10" i="4"/>
  <c r="B4130" i="106" s="1"/>
  <c r="D4130" i="106" s="1"/>
  <c r="B3571" i="106"/>
  <c r="D3571" i="106" s="1"/>
  <c r="K20" i="4"/>
  <c r="C10" i="4"/>
  <c r="B4122" i="106" s="1"/>
  <c r="D4122" i="106" s="1"/>
  <c r="H18" i="118"/>
  <c r="D16" i="37"/>
  <c r="B8" i="146"/>
  <c r="B2555" i="106"/>
  <c r="D2555" i="106" s="1"/>
  <c r="C20" i="4"/>
  <c r="H13" i="118"/>
  <c r="D19" i="4"/>
  <c r="B4137" i="106" s="1"/>
  <c r="D4137" i="106" s="1"/>
  <c r="C9" i="146"/>
  <c r="B2573" i="106"/>
  <c r="D2573" i="106" s="1"/>
  <c r="I18" i="11"/>
  <c r="B7625" i="106"/>
  <c r="C19" i="4"/>
  <c r="B4136" i="106" s="1"/>
  <c r="D4136" i="106" s="1"/>
  <c r="B2561" i="106"/>
  <c r="D2561" i="106" s="1"/>
  <c r="F16" i="37"/>
  <c r="B9" i="146"/>
  <c r="H17" i="118"/>
  <c r="B2612" i="106"/>
  <c r="D2612" i="106" s="1"/>
  <c r="G19" i="4"/>
  <c r="B4140" i="106" s="1"/>
  <c r="D4140" i="106" s="1"/>
  <c r="K19" i="4"/>
  <c r="B4144" i="106" s="1"/>
  <c r="D4144" i="106" s="1"/>
  <c r="B3575" i="106"/>
  <c r="D3575" i="106" s="1"/>
  <c r="F10" i="4"/>
  <c r="B4125" i="106" s="1"/>
  <c r="D4125" i="106" s="1"/>
  <c r="B2595" i="106"/>
  <c r="D2595" i="106" s="1"/>
  <c r="F20" i="4"/>
  <c r="D8" i="146"/>
  <c r="B2636" i="106"/>
  <c r="D2636" i="106" s="1"/>
  <c r="B3278" i="106"/>
  <c r="D3278" i="106" s="1"/>
  <c r="E81" i="4"/>
  <c r="A7265" i="106"/>
  <c r="D7264" i="106"/>
  <c r="F78" i="34" l="1"/>
  <c r="B7835" i="106" s="1"/>
  <c r="D7835" i="106" s="1"/>
  <c r="C10" i="146"/>
  <c r="D10" i="146"/>
  <c r="H16" i="37"/>
  <c r="K17" i="118"/>
  <c r="O16" i="118" s="1"/>
  <c r="H25" i="118"/>
  <c r="K24" i="118" s="1"/>
  <c r="O23" i="118" s="1"/>
  <c r="O25" i="118" s="1"/>
  <c r="B2574" i="106"/>
  <c r="D2574" i="106" s="1"/>
  <c r="D78" i="4"/>
  <c r="B2601" i="106"/>
  <c r="D2601" i="106" s="1"/>
  <c r="F78" i="4"/>
  <c r="F9" i="146"/>
  <c r="K78" i="4"/>
  <c r="B3576" i="106"/>
  <c r="D3576" i="106" s="1"/>
  <c r="B3300" i="106"/>
  <c r="D3300" i="106" s="1"/>
  <c r="H81" i="4"/>
  <c r="B2562" i="106"/>
  <c r="D2562" i="106" s="1"/>
  <c r="C78" i="4"/>
  <c r="B2613" i="106"/>
  <c r="D2613" i="106" s="1"/>
  <c r="G78" i="4"/>
  <c r="J78" i="4"/>
  <c r="B6230" i="106"/>
  <c r="D6230" i="106" s="1"/>
  <c r="F8" i="146"/>
  <c r="B10" i="146"/>
  <c r="B3320" i="106"/>
  <c r="D3320" i="106" s="1"/>
  <c r="I81" i="4"/>
  <c r="B7631" i="106"/>
  <c r="F177" i="34"/>
  <c r="E82" i="4"/>
  <c r="B1658" i="106"/>
  <c r="D1658" i="106" s="1"/>
  <c r="A7266" i="106"/>
  <c r="D7265" i="106"/>
  <c r="F10" i="146" l="1"/>
  <c r="F80" i="34"/>
  <c r="B7837" i="106" s="1"/>
  <c r="D7837" i="106" s="1"/>
  <c r="F176" i="34"/>
  <c r="B7878" i="106" s="1"/>
  <c r="D7878" i="106" s="1"/>
  <c r="B6263" i="106"/>
  <c r="D6263" i="106" s="1"/>
  <c r="J81" i="4"/>
  <c r="K81" i="4"/>
  <c r="B3588" i="106"/>
  <c r="D3588" i="106" s="1"/>
  <c r="G81" i="4"/>
  <c r="B3262" i="106"/>
  <c r="D3262" i="106" s="1"/>
  <c r="F81" i="4"/>
  <c r="B3256" i="106"/>
  <c r="D3256" i="106" s="1"/>
  <c r="D81" i="4"/>
  <c r="B3239" i="106"/>
  <c r="D3239" i="106" s="1"/>
  <c r="I82" i="4"/>
  <c r="B3323" i="106"/>
  <c r="D3323" i="106" s="1"/>
  <c r="E11" i="146"/>
  <c r="C81" i="4"/>
  <c r="B3233" i="106"/>
  <c r="D3233" i="106" s="1"/>
  <c r="H82" i="4"/>
  <c r="B1700" i="106"/>
  <c r="D1700" i="106" s="1"/>
  <c r="B6269" i="106"/>
  <c r="D6269" i="106" s="1"/>
  <c r="E83" i="4"/>
  <c r="B6278" i="106" s="1"/>
  <c r="D6278" i="106" s="1"/>
  <c r="E41" i="3"/>
  <c r="B140" i="106"/>
  <c r="D140" i="106" s="1"/>
  <c r="D59" i="36"/>
  <c r="A7267" i="106"/>
  <c r="D7266" i="106"/>
  <c r="F178" i="34" l="1"/>
  <c r="B7879" i="106" s="1"/>
  <c r="D7879" i="106" s="1"/>
  <c r="B11" i="146"/>
  <c r="H12" i="118"/>
  <c r="K12" i="118" s="1"/>
  <c r="B1630" i="106"/>
  <c r="D1630" i="106" s="1"/>
  <c r="J16" i="37"/>
  <c r="B4269" i="106" s="1"/>
  <c r="D4269" i="106" s="1"/>
  <c r="C82" i="4"/>
  <c r="F82" i="4"/>
  <c r="B1672" i="106"/>
  <c r="D1672" i="106" s="1"/>
  <c r="D11" i="146"/>
  <c r="B212" i="106"/>
  <c r="D212" i="106" s="1"/>
  <c r="H41" i="3"/>
  <c r="D62" i="36"/>
  <c r="B1644" i="106"/>
  <c r="D1644" i="106" s="1"/>
  <c r="D82" i="4"/>
  <c r="C11" i="146"/>
  <c r="B6273" i="106"/>
  <c r="D6273" i="106" s="1"/>
  <c r="I83" i="4"/>
  <c r="B6282" i="106" s="1"/>
  <c r="D6282" i="106" s="1"/>
  <c r="B1686" i="106"/>
  <c r="D1686" i="106" s="1"/>
  <c r="G82" i="4"/>
  <c r="D63" i="36"/>
  <c r="I41" i="3"/>
  <c r="B2912" i="106"/>
  <c r="D2912" i="106" s="1"/>
  <c r="K82" i="4"/>
  <c r="B3591" i="106"/>
  <c r="D3591" i="106" s="1"/>
  <c r="B6272" i="106"/>
  <c r="D6272" i="106" s="1"/>
  <c r="H83" i="4"/>
  <c r="B6281" i="106" s="1"/>
  <c r="D6281" i="106" s="1"/>
  <c r="B6266" i="106"/>
  <c r="D6266" i="106" s="1"/>
  <c r="J82" i="4"/>
  <c r="B141" i="106"/>
  <c r="D141" i="106" s="1"/>
  <c r="D46" i="36"/>
  <c r="N23" i="3"/>
  <c r="B282" i="106"/>
  <c r="D282" i="106" s="1"/>
  <c r="A7268" i="106"/>
  <c r="D7267" i="106"/>
  <c r="F180" i="34" l="1"/>
  <c r="B7880" i="106" s="1"/>
  <c r="D7880" i="106" s="1"/>
  <c r="D50" i="36"/>
  <c r="B2913" i="106"/>
  <c r="D2913" i="106" s="1"/>
  <c r="D58" i="36"/>
  <c r="D41" i="3"/>
  <c r="B123" i="106"/>
  <c r="D123" i="106" s="1"/>
  <c r="D83" i="4"/>
  <c r="B6277" i="106" s="1"/>
  <c r="D6277" i="106" s="1"/>
  <c r="B6268" i="106"/>
  <c r="D6268" i="106" s="1"/>
  <c r="F83" i="4"/>
  <c r="B6279" i="106" s="1"/>
  <c r="D6279" i="106" s="1"/>
  <c r="B6270" i="106"/>
  <c r="D6270" i="106" s="1"/>
  <c r="J83" i="4"/>
  <c r="B6283" i="106" s="1"/>
  <c r="D6283" i="106" s="1"/>
  <c r="B6274" i="106"/>
  <c r="D6274" i="106" s="1"/>
  <c r="B170" i="106"/>
  <c r="D170" i="106" s="1"/>
  <c r="F41" i="3"/>
  <c r="D60" i="36"/>
  <c r="J41" i="3"/>
  <c r="D64" i="36"/>
  <c r="B6215" i="106"/>
  <c r="D6215" i="106" s="1"/>
  <c r="B6271" i="106"/>
  <c r="D6271" i="106" s="1"/>
  <c r="G83" i="4"/>
  <c r="B6280" i="106" s="1"/>
  <c r="D6280" i="106" s="1"/>
  <c r="B6267" i="106"/>
  <c r="D6267" i="106" s="1"/>
  <c r="C83" i="4"/>
  <c r="B6276" i="106" s="1"/>
  <c r="D6276" i="106" s="1"/>
  <c r="D49" i="36"/>
  <c r="B213" i="106"/>
  <c r="D213" i="106" s="1"/>
  <c r="J20" i="118"/>
  <c r="O11" i="118"/>
  <c r="O13" i="118" s="1"/>
  <c r="G41" i="3"/>
  <c r="D61" i="36"/>
  <c r="B189" i="106"/>
  <c r="D189" i="106" s="1"/>
  <c r="B6275" i="106"/>
  <c r="D6275" i="106" s="1"/>
  <c r="K83" i="4"/>
  <c r="B6284" i="106" s="1"/>
  <c r="D6284" i="106" s="1"/>
  <c r="K41" i="3"/>
  <c r="B3567" i="106"/>
  <c r="D3567" i="106" s="1"/>
  <c r="D65" i="36"/>
  <c r="F11" i="146"/>
  <c r="C41" i="3"/>
  <c r="B92" i="106"/>
  <c r="D92" i="106" s="1"/>
  <c r="D57" i="36"/>
  <c r="D76" i="36"/>
  <c r="B284" i="106"/>
  <c r="D284" i="106" s="1"/>
  <c r="D55" i="36"/>
  <c r="A7269" i="106"/>
  <c r="D7268" i="106"/>
  <c r="D51" i="36" l="1"/>
  <c r="B6216" i="106"/>
  <c r="D6216" i="106" s="1"/>
  <c r="D47" i="36"/>
  <c r="B171" i="106"/>
  <c r="D171" i="106" s="1"/>
  <c r="D52" i="36"/>
  <c r="B3568" i="106"/>
  <c r="D3568" i="106" s="1"/>
  <c r="B124" i="106"/>
  <c r="D124" i="106" s="1"/>
  <c r="D45" i="36"/>
  <c r="K20" i="118"/>
  <c r="O17" i="118"/>
  <c r="O20" i="118" s="1"/>
  <c r="O35" i="118" s="1"/>
  <c r="O37" i="118" s="1"/>
  <c r="B93" i="106"/>
  <c r="D93" i="106" s="1"/>
  <c r="D44" i="36"/>
  <c r="C12" i="146"/>
  <c r="D29" i="36"/>
  <c r="J24" i="24" s="1"/>
  <c r="B190" i="106"/>
  <c r="D190" i="106" s="1"/>
  <c r="D48" i="36"/>
  <c r="A7270" i="106"/>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<sst xmlns="http://schemas.openxmlformats.org/spreadsheetml/2006/main" count="5249" uniqueCount="2140">
  <si>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</si>
  <si>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</si>
  <si>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</si>
  <si>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</si>
  <si>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</si>
  <si>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</si>
  <si>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</si>
  <si>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</si>
  <si>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</si>
  <si>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</si>
  <si>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</si>
  <si>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</si>
  <si>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</si>
  <si>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</si>
  <si>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</si>
  <si>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</si>
  <si>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</si>
  <si>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</si>
  <si>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</si>
  <si>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</si>
  <si>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</si>
  <si>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</si>
  <si>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</si>
  <si>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</si>
  <si>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</si>
  <si>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</si>
  <si>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</si>
  <si>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</si>
  <si>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</si>
  <si>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</si>
  <si>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</si>
  <si>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</si>
  <si>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</si>
  <si>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</si>
  <si>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</si>
  <si>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</si>
  <si>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</si>
  <si>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</si>
  <si>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</si>
  <si>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</si>
  <si>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</si>
  <si>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</si>
  <si>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</si>
  <si>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</si>
  <si>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</si>
  <si>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</si>
  <si>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</si>
  <si>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</si>
  <si>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</si>
  <si>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</si>
  <si>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</si>
  <si>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</si>
  <si>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</si>
  <si>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</si>
  <si>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</si>
  <si>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</si>
  <si>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</si>
  <si>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</si>
  <si>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</si>
  <si>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</si>
  <si>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</si>
  <si>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</si>
  <si>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</si>
  <si>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</si>
  <si>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</si>
  <si>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</si>
  <si>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</si>
  <si>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</si>
  <si>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</si>
  <si>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</si>
  <si>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</si>
  <si>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</si>
  <si>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</si>
  <si>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</si>
  <si>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</si>
  <si>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</si>
  <si>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</si>
  <si>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</si>
  <si>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</si>
  <si>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</si>
  <si>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</si>
  <si>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</si>
  <si>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</si>
  <si>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</si>
  <si>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</si>
  <si>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</si>
  <si>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</si>
  <si>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</si>
  <si>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</si>
  <si>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</si>
  <si>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</si>
  <si>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</si>
  <si>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</si>
  <si>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</si>
  <si>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</si>
  <si>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</si>
  <si>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</si>
  <si>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</si>
  <si>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</si>
  <si>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</si>
  <si>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</si>
  <si>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</si>
  <si>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</si>
  <si>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</si>
  <si>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</si>
  <si>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</si>
  <si>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</si>
  <si>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</si>
  <si>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</si>
  <si>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</si>
  <si>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</si>
  <si>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</si>
  <si>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</si>
  <si>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</si>
  <si>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</si>
  <si>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</si>
  <si>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</si>
  <si>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</si>
  <si>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</si>
  <si>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</si>
  <si>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</si>
  <si>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</si>
  <si>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</si>
  <si>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</si>
  <si>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</si>
  <si>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</si>
  <si>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</si>
  <si>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</si>
  <si>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</si>
  <si>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</si>
  <si>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</si>
  <si>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</si>
  <si>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</si>
  <si>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</si>
  <si>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</si>
  <si>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</si>
  <si>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</si>
  <si>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</si>
  <si>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</si>
  <si>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</si>
  <si>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</si>
  <si>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</si>
  <si>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</si>
  <si>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</si>
  <si>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</si>
  <si>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</si>
  <si>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</si>
  <si>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</si>
  <si>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</si>
  <si>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</si>
  <si>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</si>
  <si>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</si>
  <si>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</si>
  <si>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</si>
  <si>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</si>
  <si>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</si>
  <si>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</si>
  <si>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</si>
  <si>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</si>
  <si>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</si>
  <si>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</si>
  <si>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</si>
  <si>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</si>
  <si>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</si>
  <si>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</si>
  <si>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</si>
  <si>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</si>
  <si>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</si>
  <si>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</si>
  <si>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</si>
  <si>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</si>
  <si>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</si>
  <si>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</si>
  <si>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</si>
  <si>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</si>
  <si>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</si>
  <si>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</si>
  <si>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</si>
  <si>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</si>
  <si>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</si>
  <si>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</si>
  <si>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</si>
  <si>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</si>
  <si>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</si>
  <si>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</si>
  <si>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</si>
  <si>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</si>
  <si>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</si>
  <si>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</si>
  <si>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</si>
  <si>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</si>
  <si>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</si>
  <si>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</si>
  <si>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</si>
  <si>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</si>
  <si>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</si>
  <si>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</si>
  <si>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</si>
  <si>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</si>
  <si>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</si>
  <si>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</si>
  <si>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</si>
  <si>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</si>
  <si>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</si>
  <si>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</si>
  <si>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</si>
  <si>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</si>
  <si>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</si>
  <si>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</si>
  <si>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</si>
  <si>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</si>
  <si>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</si>
  <si>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</si>
  <si>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</si>
  <si>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</si>
  <si>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</si>
  <si>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</si>
  <si>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</si>
  <si>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</si>
  <si>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</si>
  <si>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</si>
  <si>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</si>
  <si>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</si>
  <si>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</si>
  <si>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</si>
  <si>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</si>
  <si>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</si>
  <si>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</si>
  <si>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</si>
  <si>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</si>
  <si>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</si>
  <si>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</si>
  <si>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</si>
  <si>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</si>
  <si>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</si>
  <si>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</si>
  <si>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</si>
  <si>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</si>
  <si>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</si>
  <si>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</si>
  <si>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</si>
  <si>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</si>
  <si>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</si>
  <si>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</si>
  <si>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</si>
  <si>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</si>
  <si>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</si>
  <si>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</si>
  <si>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</si>
  <si>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</si>
  <si>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</si>
  <si>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</si>
  <si>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</si>
  <si>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</si>
  <si>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</si>
  <si>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</si>
  <si>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</si>
  <si>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</si>
  <si>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</si>
  <si>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</si>
  <si>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</si>
  <si>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</si>
  <si>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</si>
  <si>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</si>
  <si>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</si>
  <si>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</si>
  <si>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</si>
  <si>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</si>
  <si>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</si>
  <si>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</si>
  <si>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</si>
  <si>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</si>
  <si>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</si>
  <si>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</si>
  <si>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</si>
  <si>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</si>
  <si>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</si>
  <si>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</si>
  <si>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</si>
  <si>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</si>
  <si>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</si>
  <si>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</si>
  <si>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</si>
  <si>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</si>
  <si>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</si>
  <si>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</si>
  <si>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</si>
  <si>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</si>
  <si>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</si>
  <si>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</si>
  <si>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</si>
  <si>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</si>
  <si>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</si>
  <si>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</si>
  <si>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</si>
  <si>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</si>
  <si>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</si>
  <si>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</si>
  <si>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</si>
  <si>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</si>
  <si>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</si>
  <si>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</si>
  <si>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</si>
  <si>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</si>
  <si>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</si>
  <si>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</si>
  <si>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</si>
  <si>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</si>
  <si>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</si>
  <si>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</si>
  <si>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</si>
  <si>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</si>
  <si>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</si>
  <si>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</si>
  <si>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</si>
  <si>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</si>
  <si>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</si>
  <si>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</si>
  <si>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</si>
  <si>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</si>
  <si>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</si>
  <si>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</si>
  <si>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</si>
  <si>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</si>
  <si>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</si>
  <si>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</si>
  <si>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</si>
  <si>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</si>
  <si>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</si>
  <si>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</si>
  <si>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</si>
  <si>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</si>
  <si>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</si>
  <si>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</si>
  <si>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</si>
  <si>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</si>
  <si>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</si>
  <si>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</si>
  <si>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</si>
  <si>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</si>
  <si>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</si>
  <si>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</si>
  <si>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</si>
  <si>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</si>
  <si>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</si>
  <si>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</si>
  <si>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</si>
  <si>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</si>
  <si>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</si>
  <si>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</si>
  <si>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</si>
  <si>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</si>
  <si>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</si>
  <si>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</si>
  <si>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</si>
  <si>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</si>
  <si>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</si>
  <si>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</si>
  <si>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</si>
  <si>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</si>
  <si>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</si>
  <si>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</si>
  <si>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</si>
  <si>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</si>
  <si>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</si>
  <si>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</si>
  <si>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</si>
  <si>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</si>
  <si>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</si>
  <si>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</si>
  <si>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</si>
  <si>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</si>
  <si>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</si>
  <si>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</si>
  <si>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</si>
  <si>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</si>
  <si>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</si>
  <si>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</si>
  <si>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</si>
  <si>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</si>
  <si>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</si>
  <si>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</si>
  <si>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</si>
  <si>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</si>
  <si>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</si>
  <si>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</si>
  <si>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</si>
  <si>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</si>
  <si>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</si>
  <si>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</si>
  <si>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</si>
  <si>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</si>
  <si>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</si>
  <si>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</si>
  <si>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</si>
  <si>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</si>
  <si>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</si>
  <si>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</si>
  <si>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</si>
  <si>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</si>
  <si>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</si>
  <si>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</si>
  <si>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</si>
  <si>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</si>
  <si>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</si>
  <si>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</si>
  <si>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</si>
  <si>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</si>
  <si>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</si>
  <si>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</si>
  <si>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</si>
  <si>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</si>
  <si>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</si>
  <si>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</si>
  <si>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</si>
  <si>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</si>
  <si>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</si>
  <si>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</si>
  <si>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</si>
  <si>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</si>
  <si>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</si>
  <si>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</si>
  <si>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</si>
  <si>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</si>
  <si>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</si>
  <si>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</si>
  <si>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</si>
  <si>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</si>
  <si>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</si>
  <si>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</si>
  <si>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</si>
  <si>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</si>
  <si>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</si>
  <si>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</si>
  <si>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</si>
  <si>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</si>
  <si>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</si>
  <si>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</si>
  <si>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</si>
  <si>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</si>
  <si>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</si>
  <si>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</si>
  <si>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</si>
  <si>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</si>
  <si>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</si>
  <si>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</si>
  <si>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</si>
  <si>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</si>
  <si>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</si>
  <si>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</si>
  <si>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</si>
  <si>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</si>
  <si>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</si>
  <si>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</si>
  <si>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</si>
  <si>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</si>
  <si>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</si>
  <si>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</si>
  <si>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</si>
  <si>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</si>
  <si>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</si>
  <si>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</si>
  <si>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</si>
  <si>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</si>
  <si>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</si>
  <si>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</si>
  <si>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</si>
  <si>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</si>
  <si>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</si>
  <si>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</si>
  <si>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</si>
  <si>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</si>
  <si>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</si>
  <si>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</si>
  <si>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</si>
  <si>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</si>
  <si>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</si>
  <si>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</si>
  <si>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</si>
  <si>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</si>
  <si>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</si>
  <si>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</si>
  <si>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</si>
  <si>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</si>
  <si>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</si>
  <si>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</si>
  <si>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</si>
  <si>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</si>
  <si>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</si>
  <si>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</si>
  <si>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</si>
  <si>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</si>
  <si>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</si>
  <si>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</si>
  <si>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</si>
  <si>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</si>
  <si>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</si>
  <si>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</si>
  <si>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</si>
  <si>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</si>
  <si>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</si>
  <si>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</si>
  <si>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</si>
  <si>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</si>
  <si>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</si>
  <si>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</si>
  <si>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</si>
  <si>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</si>
  <si>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</si>
  <si>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</si>
  <si>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</si>
  <si>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</si>
  <si>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</si>
  <si>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</si>
  <si>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</si>
  <si>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</si>
  <si>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</si>
  <si>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</si>
  <si>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</si>
  <si>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</si>
  <si>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</si>
  <si>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</si>
  <si>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</si>
  <si>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</si>
  <si>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</si>
  <si>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</si>
  <si>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</si>
  <si>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</si>
  <si>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</si>
  <si>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</si>
  <si>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</si>
  <si>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</si>
  <si>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</si>
  <si>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</si>
  <si>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</si>
  <si>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</si>
  <si>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</si>
  <si>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</si>
  <si>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</si>
  <si>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</si>
  <si>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</si>
  <si>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</si>
  <si>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</si>
  <si>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</si>
  <si>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</si>
  <si>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</si>
  <si>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</si>
  <si>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</si>
  <si>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</si>
  <si>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</si>
  <si>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</si>
  <si>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</si>
  <si>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</si>
  <si>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</si>
  <si>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</si>
  <si>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</si>
  <si>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</si>
  <si>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</si>
  <si>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</si>
  <si>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</si>
  <si>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</si>
  <si>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</si>
  <si>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</si>
  <si>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</si>
  <si>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</si>
  <si>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</si>
  <si>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</si>
  <si>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</si>
  <si>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</si>
  <si>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</si>
  <si>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</si>
  <si>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</si>
  <si>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</si>
  <si>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</si>
  <si>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</si>
  <si>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</si>
  <si>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</si>
  <si>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</si>
  <si>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</si>
  <si>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</si>
  <si>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</si>
  <si>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</si>
  <si>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</si>
  <si>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</si>
  <si>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</si>
  <si>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</si>
  <si>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</si>
  <si>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</si>
  <si>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</si>
  <si>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</si>
  <si>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</si>
  <si>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</si>
  <si>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</si>
  <si>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</si>
  <si>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</si>
  <si>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</si>
  <si>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</si>
  <si>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</si>
  <si>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</si>
  <si>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</si>
  <si>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</si>
  <si>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</si>
  <si>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</si>
  <si>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</si>
  <si>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</si>
  <si>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</si>
  <si>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</si>
  <si>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</si>
  <si>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</si>
  <si>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</si>
  <si>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</si>
  <si>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</si>
  <si>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</si>
  <si>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</si>
  <si>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</si>
  <si>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</si>
  <si>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</si>
  <si>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</si>
  <si>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</si>
  <si>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</si>
  <si>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</si>
  <si>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</si>
  <si>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</si>
  <si>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</si>
  <si>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</si>
  <si>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</si>
  <si>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</si>
  <si>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</si>
  <si>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</si>
  <si>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</si>
  <si>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</si>
  <si>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</si>
  <si>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</si>
  <si>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</si>
  <si>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</si>
  <si>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</si>
  <si>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</si>
  <si>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</si>
  <si>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</si>
  <si>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</si>
  <si>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</si>
  <si>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</si>
  <si>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</si>
  <si>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</si>
  <si>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</si>
  <si>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</si>
  <si>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</si>
  <si>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</si>
  <si>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</si>
  <si>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</si>
  <si>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</si>
  <si>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</si>
  <si>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</si>
  <si>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</si>
  <si>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</si>
  <si>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</si>
  <si>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</si>
  <si>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</si>
  <si>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</si>
  <si>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</si>
  <si>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</si>
  <si>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</si>
  <si>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</si>
  <si>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</si>
  <si>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</si>
  <si>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</si>
  <si>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</si>
  <si>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</si>
  <si>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</si>
  <si>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</si>
  <si>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</si>
  <si>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</si>
  <si>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</si>
  <si>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</si>
  <si>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</si>
  <si>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</si>
  <si>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</si>
  <si>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</si>
  <si>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</si>
  <si>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</si>
  <si>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</si>
  <si>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</si>
  <si>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</si>
  <si>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</si>
  <si>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</si>
  <si>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</si>
  <si>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</si>
  <si>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</si>
  <si>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</si>
  <si>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</si>
  <si>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</si>
  <si>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</si>
  <si>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</si>
  <si>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</si>
  <si>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</si>
  <si>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</si>
  <si>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</si>
  <si>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</si>
  <si>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</si>
  <si>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</si>
  <si>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</si>
  <si>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</si>
  <si>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</si>
  <si>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</si>
  <si>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</si>
  <si>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</si>
  <si>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</si>
  <si>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</si>
  <si>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</si>
  <si>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</si>
  <si>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</si>
  <si>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</si>
  <si>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</si>
  <si>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</si>
  <si>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</si>
  <si>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</si>
  <si>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</si>
  <si>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</si>
  <si>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</si>
  <si>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</si>
  <si>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</si>
  <si>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</si>
  <si>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</si>
  <si>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</si>
  <si>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</si>
  <si>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</si>
  <si>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</si>
  <si>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</si>
  <si>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</si>
  <si>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</si>
  <si>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</si>
  <si>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</si>
  <si>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</si>
  <si>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</si>
  <si>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</si>
  <si>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</si>
  <si>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</si>
  <si>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</si>
  <si>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</si>
  <si>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</si>
  <si>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</si>
  <si>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</si>
  <si>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</si>
  <si>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</si>
  <si>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</si>
  <si>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</si>
  <si>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</si>
  <si>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</si>
  <si>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</si>
  <si>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</si>
  <si>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</si>
  <si>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</si>
  <si>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</si>
  <si>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</si>
  <si>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</si>
  <si>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</si>
  <si>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</si>
  <si>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</si>
  <si>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</si>
  <si>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</si>
  <si>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</si>
  <si>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</si>
  <si>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</si>
  <si>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</si>
  <si>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</si>
  <si>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</si>
  <si>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</si>
  <si>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</si>
  <si>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</si>
  <si>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</si>
  <si>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</si>
  <si>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</si>
  <si>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</si>
  <si>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</si>
  <si>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</si>
  <si>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</si>
  <si>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</si>
  <si>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</si>
  <si>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</si>
  <si>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</si>
  <si>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</si>
  <si>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</si>
  <si>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</si>
  <si>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</si>
  <si>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</si>
  <si>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</si>
  <si>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</si>
  <si>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</si>
  <si>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</si>
  <si>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</si>
  <si>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</si>
  <si>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</si>
  <si>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</si>
  <si>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</si>
  <si>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</si>
  <si>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</si>
  <si>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</si>
  <si>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</si>
  <si>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</si>
  <si>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</si>
  <si>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</si>
  <si>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</si>
  <si>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</si>
  <si>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</si>
  <si>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</si>
  <si>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</si>
  <si>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</si>
  <si>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</si>
  <si>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</si>
  <si>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</si>
  <si>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</si>
  <si>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</si>
  <si>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</si>
  <si>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</si>
  <si>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</si>
  <si>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</si>
  <si>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</si>
  <si>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</si>
  <si>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</si>
  <si>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</si>
  <si>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</si>
  <si>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</si>
  <si>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</si>
  <si>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</si>
  <si>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</si>
  <si>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</si>
  <si>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</si>
  <si>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</si>
  <si>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</si>
  <si>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</si>
  <si>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</si>
  <si>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</si>
  <si>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</si>
  <si>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</si>
  <si>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</si>
  <si>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</si>
  <si>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</si>
  <si>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</si>
  <si>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</si>
  <si>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</si>
  <si>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</si>
  <si>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</si>
  <si>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</si>
  <si>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</si>
  <si>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</si>
  <si>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</si>
  <si>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</si>
  <si>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</si>
  <si>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</si>
  <si>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</si>
  <si>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</si>
  <si>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</si>
  <si>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</si>
  <si>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</si>
  <si>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</si>
  <si>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</si>
  <si>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</si>
  <si>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</si>
  <si>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</si>
  <si>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</si>
  <si>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</si>
  <si>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</si>
  <si>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</si>
  <si>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</si>
  <si>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</si>
  <si>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</si>
  <si>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</si>
  <si>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</si>
  <si>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</si>
  <si>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</si>
  <si>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</si>
  <si>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</si>
  <si>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</si>
  <si>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</si>
  <si>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</si>
  <si>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</si>
  <si>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</si>
  <si>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</si>
  <si>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</si>
  <si>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</si>
  <si>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</si>
  <si>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</si>
  <si>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</si>
  <si>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</si>
  <si>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</si>
  <si>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</si>
  <si>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</si>
  <si>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</si>
  <si>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</si>
  <si>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</si>
  <si>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</si>
  <si>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</si>
  <si>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</si>
  <si>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</si>
  <si>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</si>
  <si>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</si>
  <si>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</si>
  <si>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</si>
  <si>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</si>
  <si>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</si>
  <si>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</si>
  <si>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</si>
  <si>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</si>
  <si>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</si>
  <si>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</si>
  <si>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</si>
  <si>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</si>
  <si>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</si>
  <si>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</si>
  <si>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</si>
  <si>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</si>
  <si>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</si>
  <si>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</si>
  <si>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</si>
  <si>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</si>
  <si>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</si>
  <si>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</si>
  <si>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</si>
  <si>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</si>
  <si>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</si>
  <si>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</si>
  <si>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</si>
  <si>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</si>
  <si>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</si>
  <si>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</si>
  <si>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</si>
  <si>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</si>
  <si>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</si>
  <si>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</si>
  <si>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</si>
  <si>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</si>
  <si>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</si>
  <si>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</si>
  <si>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</si>
  <si>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</si>
  <si>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</si>
  <si>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</si>
  <si>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</si>
  <si>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</si>
  <si>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</si>
  <si>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</si>
  <si>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</si>
  <si>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</si>
  <si>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</si>
  <si>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</si>
  <si>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</si>
  <si>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</si>
  <si>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</si>
  <si>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</si>
  <si>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</si>
  <si>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</si>
  <si>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</si>
  <si>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</si>
  <si>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</si>
  <si>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</si>
  <si>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</si>
  <si>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</si>
  <si>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</si>
  <si>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</si>
  <si>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</si>
  <si>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</si>
  <si>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</si>
  <si>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</si>
  <si>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</si>
  <si>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</si>
  <si>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</si>
  <si>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</si>
  <si>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</si>
  <si>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</si>
  <si>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</si>
  <si>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</si>
  <si>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</si>
  <si>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</si>
  <si>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</si>
  <si>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</si>
  <si>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</si>
  <si>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</si>
  <si>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</si>
  <si>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</si>
  <si>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</si>
  <si>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</si>
  <si>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</si>
  <si>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</si>
  <si>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</si>
  <si>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</si>
  <si>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</si>
  <si>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</si>
  <si>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</si>
  <si>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</si>
  <si>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</si>
  <si>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</si>
  <si>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</si>
  <si>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</si>
  <si>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</si>
  <si>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</si>
  <si>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</si>
  <si>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</si>
  <si>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</si>
  <si>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</si>
  <si>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</si>
  <si>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</si>
  <si>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</si>
  <si>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</si>
  <si>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</si>
  <si>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</si>
  <si>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</si>
  <si>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</si>
  <si>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</si>
  <si>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</si>
  <si>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</si>
  <si>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</si>
  <si>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</si>
  <si>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</si>
  <si>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</si>
  <si>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</si>
  <si>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</si>
  <si>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</si>
  <si>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</si>
  <si>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</si>
  <si>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</si>
  <si>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</si>
  <si>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</si>
  <si>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</si>
  <si>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</si>
  <si>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</si>
  <si>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</si>
  <si>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</si>
  <si>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</si>
  <si>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</si>
  <si>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</si>
  <si>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</si>
  <si>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</si>
  <si>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</si>
  <si>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</si>
  <si>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</si>
  <si>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</si>
  <si>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</si>
  <si>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</si>
  <si>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</si>
  <si>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</si>
  <si>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</si>
  <si>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</si>
  <si>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</si>
  <si>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</si>
  <si>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</si>
  <si>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</si>
  <si>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</si>
  <si>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</si>
  <si>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</si>
  <si>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</si>
  <si>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</si>
  <si>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</si>
  <si>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</si>
  <si>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</si>
  <si>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</si>
  <si>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</si>
  <si>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</si>
  <si>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</si>
  <si>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</si>
  <si>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</si>
  <si>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</si>
  <si>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</si>
  <si>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</si>
  <si>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</si>
  <si>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</si>
  <si>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</si>
  <si>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</si>
  <si>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</si>
  <si>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</si>
  <si>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</si>
  <si>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</si>
  <si>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</si>
  <si>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</si>
  <si>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</si>
  <si>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</si>
  <si>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</si>
  <si>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</si>
  <si>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</si>
  <si>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</si>
  <si>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</si>
  <si>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</si>
  <si>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</si>
  <si>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</si>
  <si>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</si>
  <si>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</si>
  <si>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</si>
  <si>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</si>
  <si>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</si>
  <si>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</si>
  <si>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</si>
  <si>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</si>
  <si>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</si>
  <si>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</si>
  <si>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</si>
  <si>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</si>
  <si>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</si>
  <si>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</si>
  <si>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</si>
  <si>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</si>
  <si>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</si>
  <si>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</si>
  <si>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</si>
  <si>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</si>
  <si>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</si>
  <si>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</si>
  <si>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</si>
  <si>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</si>
  <si>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</si>
  <si>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</si>
  <si>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</si>
  <si>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</si>
  <si>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</si>
  <si>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</si>
  <si>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</si>
  <si>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</si>
  <si>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</si>
  <si>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</si>
  <si>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</si>
  <si>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</si>
  <si>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</si>
  <si>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</si>
  <si>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</si>
  <si>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</si>
  <si>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</si>
  <si>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</si>
  <si>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</si>
  <si>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</si>
  <si>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</si>
  <si>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</si>
  <si>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</si>
  <si>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</si>
  <si>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</si>
  <si>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</si>
  <si>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</si>
  <si>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</si>
  <si>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</si>
  <si>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</si>
  <si>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</si>
  <si>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</si>
  <si>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</si>
  <si>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</si>
  <si>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</si>
  <si>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</si>
  <si>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</si>
  <si>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</si>
  <si>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</si>
  <si>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</si>
  <si>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</si>
  <si>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</si>
  <si>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</si>
  <si>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</si>
  <si>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</si>
  <si>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</si>
  <si>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</si>
  <si>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</si>
  <si>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</si>
  <si>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</si>
  <si>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</si>
  <si>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</si>
  <si>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</si>
  <si>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</si>
  <si>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</si>
  <si>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</si>
  <si>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</si>
  <si>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</si>
  <si>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</si>
  <si>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</si>
  <si>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</si>
  <si>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</si>
  <si>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</si>
  <si>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</si>
  <si>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</si>
  <si>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</si>
  <si>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</si>
  <si>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</si>
  <si>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</si>
  <si>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</si>
  <si>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</si>
  <si>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</si>
  <si>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</si>
  <si>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</si>
  <si>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</si>
  <si>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</si>
  <si>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</si>
  <si>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</si>
  <si>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</si>
  <si>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</si>
  <si>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</si>
  <si>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</si>
  <si>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</si>
  <si>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</si>
  <si>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</si>
  <si>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</si>
  <si>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</si>
  <si>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</si>
  <si>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</si>
  <si>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</si>
  <si>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</si>
  <si>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</si>
  <si>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</si>
  <si>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</si>
  <si>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</si>
  <si>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</si>
  <si>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</si>
  <si>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</si>
  <si>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</si>
  <si>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</si>
  <si>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</si>
  <si>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</si>
  <si>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</si>
  <si>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</si>
  <si>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</si>
  <si>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</si>
  <si>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</si>
  <si>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</si>
  <si>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</si>
  <si>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</si>
  <si>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</si>
  <si>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</si>
  <si>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</si>
  <si>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</si>
  <si>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</si>
  <si>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</si>
  <si>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</si>
  <si>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</si>
  <si>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</si>
  <si>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</si>
  <si>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</si>
  <si>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</si>
  <si>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</si>
  <si>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</si>
  <si>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</si>
  <si>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</si>
  <si>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</si>
  <si>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</si>
  <si>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</si>
  <si>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</si>
  <si>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</si>
  <si>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</si>
  <si>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</si>
  <si>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</si>
  <si>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</si>
  <si>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</si>
  <si>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</si>
  <si>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</si>
  <si>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</si>
  <si>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</si>
  <si>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</si>
  <si>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</si>
  <si>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</si>
  <si>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</si>
  <si>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</si>
  <si>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</si>
  <si>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</si>
  <si>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</si>
  <si>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</si>
  <si>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</si>
  <si>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</si>
  <si>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</si>
  <si>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</si>
  <si>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</si>
  <si>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</si>
  <si>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</si>
  <si>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</si>
  <si>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</si>
  <si>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</si>
  <si>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</si>
  <si>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</si>
  <si>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</si>
  <si>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</si>
  <si>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</si>
  <si>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</si>
  <si>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</si>
  <si>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</si>
  <si>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</si>
  <si>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</si>
  <si>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</si>
  <si>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</si>
  <si>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</si>
  <si>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</si>
  <si>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</si>
  <si>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</si>
  <si>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</si>
  <si>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</si>
  <si>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</si>
  <si>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</si>
  <si>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</si>
  <si>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</si>
  <si>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</si>
  <si>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</si>
  <si>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</si>
  <si>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</si>
  <si>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</si>
  <si>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</si>
  <si>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</si>
  <si>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</si>
  <si>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</si>
  <si>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</si>
  <si>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</si>
  <si>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</si>
  <si>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</si>
  <si>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</si>
  <si>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</si>
  <si>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</si>
  <si>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</si>
  <si>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</si>
  <si>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</si>
  <si>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</si>
  <si>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</si>
  <si>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</si>
  <si>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</si>
  <si>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</si>
  <si>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</si>
  <si>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</si>
  <si>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</si>
  <si>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</si>
  <si>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</si>
  <si>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</si>
  <si>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</si>
  <si>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</si>
  <si>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</si>
  <si>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</si>
  <si>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</si>
  <si>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</si>
  <si>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</si>
  <si>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</si>
  <si>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</si>
  <si>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</si>
  <si>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</si>
  <si>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</si>
  <si>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</si>
  <si>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</si>
  <si>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</si>
  <si>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</si>
  <si>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</si>
  <si>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</si>
  <si>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</si>
  <si>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</si>
  <si>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</si>
  <si>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</si>
  <si>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</si>
  <si>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</si>
  <si>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</si>
  <si>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</si>
  <si>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</si>
  <si>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</si>
  <si>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</si>
  <si>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</si>
  <si>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</si>
  <si>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</si>
  <si>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</si>
  <si>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</si>
  <si>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</si>
  <si>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</si>
  <si>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</si>
  <si>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</si>
  <si>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</si>
  <si>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</si>
  <si>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</si>
  <si>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</si>
  <si>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</si>
  <si>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</si>
  <si>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</si>
  <si>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</si>
  <si>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</si>
  <si>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</si>
  <si>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</si>
  <si>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</si>
  <si>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</si>
  <si>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</si>
  <si>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</si>
  <si>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</si>
  <si>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</si>
  <si>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</si>
  <si>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</si>
  <si>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</si>
  <si>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</si>
  <si>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</si>
  <si>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</si>
  <si>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</si>
  <si>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</si>
  <si>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</si>
  <si>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</si>
  <si>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</si>
  <si>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</si>
  <si>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</si>
  <si>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</si>
  <si>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</si>
  <si>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</si>
  <si>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</si>
  <si>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</si>
  <si>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</si>
  <si>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</si>
  <si>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</si>
  <si>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</si>
  <si>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</si>
  <si>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</si>
  <si>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</si>
  <si>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</si>
  <si>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</si>
  <si>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</si>
  <si>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</si>
  <si>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</si>
  <si>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</si>
  <si>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</si>
  <si>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</si>
  <si>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</si>
  <si>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</si>
  <si>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</si>
  <si>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</si>
  <si>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</si>
  <si>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</si>
  <si>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</si>
  <si>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</si>
  <si>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</si>
  <si>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</si>
  <si>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</si>
  <si>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</si>
  <si>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</si>
  <si>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</si>
  <si>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</si>
  <si>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</si>
  <si>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</si>
  <si>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</si>
  <si>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</si>
  <si>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</si>
  <si>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</si>
  <si>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</si>
  <si>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</si>
  <si>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</si>
  <si>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</si>
  <si>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</si>
  <si>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</si>
  <si>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</si>
  <si>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</si>
  <si>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</si>
  <si>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</si>
  <si>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</si>
  <si>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</si>
  <si>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</si>
  <si>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</si>
  <si>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</si>
  <si>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</si>
  <si>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</si>
  <si>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</si>
  <si>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</si>
  <si>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</si>
  <si>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</si>
  <si>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</si>
  <si>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</si>
  <si>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</si>
  <si>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</si>
  <si>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</si>
  <si>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</si>
  <si>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</si>
  <si>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</si>
  <si>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</si>
  <si>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</si>
  <si>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</si>
  <si>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</si>
  <si>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</si>
  <si>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</si>
  <si>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</si>
  <si>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</si>
  <si>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</si>
  <si>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</si>
  <si>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</si>
  <si>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</si>
  <si>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</si>
  <si>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</si>
  <si>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</si>
  <si>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</si>
  <si>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</si>
  <si>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</si>
  <si>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</si>
  <si>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</si>
  <si>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</si>
  <si>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</si>
  <si>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</si>
  <si>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</si>
  <si>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</si>
  <si>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</si>
  <si>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</si>
  <si>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</si>
  <si>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</si>
  <si>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</si>
  <si>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</si>
  <si>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</si>
  <si>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</si>
  <si>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</si>
  <si>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</si>
  <si>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</si>
  <si>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</si>
  <si>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</si>
  <si>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</si>
  <si>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</si>
  <si>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</si>
  <si>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</si>
  <si>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</si>
  <si>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</si>
  <si>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</si>
  <si>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</si>
  <si>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</si>
  <si>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</si>
  <si>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</si>
  <si>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</si>
  <si>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</si>
  <si>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</si>
  <si>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</si>
  <si>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</si>
  <si>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</si>
  <si>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</si>
  <si>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</si>
  <si>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</si>
  <si>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</si>
  <si>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</si>
  <si>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</si>
  <si>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</si>
  <si>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</si>
  <si>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</si>
  <si>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</si>
  <si>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</si>
  <si>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</si>
  <si>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</si>
  <si>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</si>
  <si>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</si>
  <si>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</si>
  <si>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</si>
  <si>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</si>
  <si>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</si>
  <si>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</si>
  <si>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</si>
  <si>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</si>
  <si>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</si>
  <si>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</si>
  <si>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</si>
  <si>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</si>
  <si>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</si>
  <si>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</si>
  <si>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</si>
  <si>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</si>
  <si>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</si>
  <si>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</si>
  <si>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</si>
  <si>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</si>
  <si>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</si>
  <si>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</si>
  <si>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</si>
  <si>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</si>
  <si>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</si>
  <si>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</si>
  <si>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</si>
  <si>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</si>
  <si>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</si>
  <si>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</si>
  <si>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</si>
  <si>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</si>
  <si>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</si>
  <si>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</si>
  <si>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</si>
  <si>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</si>
  <si>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</si>
  <si>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</si>
  <si>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</si>
  <si>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</si>
  <si>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</si>
  <si>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</si>
  <si>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</si>
  <si>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</si>
  <si>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</si>
  <si>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</si>
  <si>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</si>
  <si>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</si>
  <si>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</si>
  <si>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</si>
  <si>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</si>
  <si>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</si>
  <si>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</si>
  <si>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</si>
  <si>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</si>
  <si>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</si>
  <si>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</si>
  <si>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</si>
  <si>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</si>
  <si>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</si>
  <si>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</si>
  <si>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</si>
  <si>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</si>
  <si>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</si>
  <si>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</si>
  <si>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</si>
  <si>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</si>
  <si>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</si>
  <si>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</si>
  <si>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</si>
  <si>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</si>
  <si>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</si>
  <si>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</si>
  <si>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</si>
  <si>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</si>
  <si>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</si>
  <si>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</si>
  <si>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</si>
  <si>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</si>
  <si>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</si>
  <si>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</si>
  <si>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</si>
  <si>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</si>
  <si>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</si>
  <si>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</si>
  <si>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</si>
  <si>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</si>
  <si>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</si>
  <si>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</si>
  <si>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</si>
  <si>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</si>
  <si>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</si>
  <si>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</si>
  <si>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</si>
  <si>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</si>
  <si>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</si>
  <si>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</si>
  <si>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</si>
  <si>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</si>
  <si>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</si>
  <si>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</si>
  <si>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</si>
  <si>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</si>
  <si>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</si>
  <si>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</si>
  <si>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</si>
  <si>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</si>
  <si>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</si>
  <si>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</si>
  <si>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</si>
  <si>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</si>
  <si>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</si>
  <si>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</si>
  <si>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</si>
  <si>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</si>
  <si>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</si>
  <si>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</si>
  <si>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</si>
  <si>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</si>
  <si>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</si>
  <si>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</si>
  <si>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</si>
  <si>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</si>
  <si>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</si>
  <si>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</si>
  <si>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</si>
  <si>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</si>
  <si>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</si>
  <si>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</si>
  <si>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</si>
  <si>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</si>
  <si>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</si>
  <si>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</si>
  <si>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</si>
  <si>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</si>
  <si>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</si>
  <si>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</si>
  <si>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</si>
  <si>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</si>
  <si>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</si>
  <si>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</si>
  <si>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</si>
  <si>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</si>
  <si>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</si>
  <si>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</si>
  <si>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</si>
  <si>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</si>
  <si>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</si>
  <si>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</si>
  <si>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</si>
  <si>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</si>
  <si>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</si>
  <si>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</si>
  <si>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</si>
  <si>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</si>
  <si>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</si>
  <si>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</si>
  <si>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</si>
  <si>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</si>
  <si>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</si>
  <si>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</si>
  <si>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</si>
  <si>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</si>
  <si>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</si>
  <si>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</si>
  <si>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</si>
  <si>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</si>
  <si>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</si>
  <si>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</si>
  <si>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</si>
  <si>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</si>
  <si>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</si>
  <si>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</si>
  <si>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</si>
  <si>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</si>
  <si>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</si>
  <si>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</si>
  <si>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</si>
  <si>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</si>
  <si>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</si>
  <si>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</si>
  <si>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</si>
  <si>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</si>
  <si>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</si>
  <si>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</si>
  <si>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</si>
  <si>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</si>
  <si>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</si>
  <si>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</si>
  <si>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</si>
  <si>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</si>
  <si>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</si>
  <si>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</si>
  <si>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</si>
  <si>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</si>
  <si>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</si>
  <si>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</si>
  <si>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</si>
  <si>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</si>
  <si>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</si>
  <si>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</si>
  <si>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</si>
  <si>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</si>
  <si>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</si>
  <si>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</si>
  <si>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</si>
  <si>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</si>
  <si>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</si>
  <si>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</si>
  <si>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</si>
  <si>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</si>
  <si>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</si>
  <si>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</si>
  <si>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</si>
  <si>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</si>
  <si>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</si>
  <si>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</si>
  <si>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</si>
  <si>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</si>
  <si>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</si>
  <si>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</si>
  <si>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</si>
  <si>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</si>
  <si>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</si>
  <si>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</si>
  <si>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</si>
  <si>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</si>
  <si>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</si>
  <si>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</si>
  <si>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</si>
  <si>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</si>
  <si>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</si>
  <si>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</si>
  <si>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</si>
  <si>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</si>
  <si>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</si>
  <si>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</si>
  <si>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</si>
  <si>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</si>
  <si>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</si>
  <si>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</si>
  <si>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</si>
  <si>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</si>
  <si>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</si>
  <si>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</si>
  <si>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</si>
  <si>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</si>
  <si>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</si>
  <si>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</si>
  <si>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</si>
  <si>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</si>
  <si>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</si>
  <si>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</si>
  <si>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</si>
  <si>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</si>
  <si>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</si>
  <si>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</si>
  <si>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</si>
  <si>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</si>
  <si>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</si>
  <si>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</si>
  <si>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</si>
  <si>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</si>
  <si>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</si>
  <si>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</si>
  <si>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</si>
  <si>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</si>
  <si>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</si>
  <si>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</si>
  <si>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</si>
  <si>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</si>
  <si>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</si>
  <si>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</si>
  <si>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</si>
  <si>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</si>
  <si>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</si>
  <si>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</si>
  <si>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</si>
  <si>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</si>
  <si>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</si>
  <si>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</si>
  <si>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</si>
  <si>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</si>
  <si>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</si>
  <si>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</si>
  <si>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</si>
  <si>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</si>
  <si>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</si>
  <si>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</si>
  <si>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</si>
  <si>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</si>
  <si>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</si>
  <si>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</si>
  <si>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</si>
  <si>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</si>
  <si>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</si>
  <si>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</si>
  <si>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</si>
  <si>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</si>
  <si>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</si>
  <si>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</si>
  <si>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</si>
  <si>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</si>
  <si>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</si>
  <si>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</si>
  <si>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</si>
  <si>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</si>
  <si>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</si>
  <si>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</si>
  <si>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</si>
  <si>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</si>
  <si>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</si>
  <si>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</si>
  <si>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</si>
  <si>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</si>
  <si>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</si>
  <si>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</si>
  <si>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</si>
  <si>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</si>
  <si>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</si>
  <si>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</si>
  <si>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</si>
  <si>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</si>
  <si>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</si>
  <si>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</si>
  <si>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</si>
  <si>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</si>
  <si>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</si>
  <si>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</si>
  <si>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</si>
  <si>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</si>
  <si>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</si>
  <si>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</si>
  <si>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</si>
  <si>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</si>
  <si>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</si>
  <si>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</si>
  <si>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</si>
  <si>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</si>
  <si>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</si>
  <si>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</si>
  <si>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</si>
  <si>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</si>
  <si>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</si>
  <si>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</si>
  <si>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</si>
  <si>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</si>
  <si>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</si>
  <si>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</si>
  <si>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</si>
  <si>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</si>
  <si>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</si>
  <si>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</si>
  <si>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</si>
  <si>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</si>
  <si>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</si>
  <si>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</si>
  <si>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</si>
  <si>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</si>
  <si>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</si>
  <si>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</si>
  <si>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</si>
  <si>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</si>
  <si>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</si>
  <si>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</si>
  <si>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</si>
  <si>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</si>
  <si>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</si>
  <si>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</si>
  <si>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</si>
  <si>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</si>
  <si>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</si>
  <si>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</si>
  <si>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</si>
  <si>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</si>
  <si>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</si>
  <si>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</si>
  <si>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</si>
  <si>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</si>
  <si>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</si>
  <si>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</si>
  <si>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</si>
  <si>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</si>
  <si>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</si>
  <si>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</si>
  <si>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</si>
  <si>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</si>
  <si>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</si>
  <si>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</si>
  <si>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</si>
  <si>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</si>
  <si>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</si>
  <si>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</si>
  <si>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</si>
  <si>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</si>
  <si>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</si>
  <si>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</si>
  <si>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</si>
  <si>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</si>
  <si>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</si>
  <si>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</si>
  <si>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</si>
  <si>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</si>
  <si>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</si>
  <si>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</si>
  <si>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</si>
  <si>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</si>
  <si>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</si>
  <si>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</si>
  <si>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</si>
  <si>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</si>
  <si>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</si>
  <si>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</si>
  <si>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</si>
  <si>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</si>
  <si>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</si>
  <si>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</si>
  <si>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</si>
  <si>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</si>
  <si>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</si>
  <si>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</si>
  <si>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</si>
  <si>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</si>
  <si>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</si>
  <si>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</si>
  <si>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</si>
  <si>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</si>
  <si>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</si>
  <si>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</si>
  <si>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</si>
  <si>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</si>
  <si>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</si>
  <si>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</si>
  <si>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</si>
  <si>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</si>
  <si>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</si>
  <si>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</si>
  <si>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</si>
  <si>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</si>
  <si>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</si>
  <si>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</si>
  <si>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</si>
  <si>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</si>
  <si>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</si>
  <si>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</si>
  <si>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</si>
  <si>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</si>
  <si>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</si>
  <si>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</si>
  <si>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</si>
  <si>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</si>
  <si>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</si>
  <si>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</si>
  <si>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</si>
  <si>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</si>
  <si>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</si>
  <si>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</si>
  <si>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</si>
  <si>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</si>
  <si>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</si>
  <si>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</si>
  <si>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</si>
  <si>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</si>
  <si>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</si>
  <si>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</si>
  <si>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</si>
  <si>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</si>
  <si>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</si>
  <si>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</si>
  <si>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</si>
  <si>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</si>
  <si>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</si>
  <si>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</si>
  <si>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</si>
  <si>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</si>
  <si>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</si>
  <si>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</si>
  <si>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</si>
  <si>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</si>
  <si>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</si>
  <si>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</si>
  <si>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</si>
  <si>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</si>
  <si>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</si>
  <si>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</si>
  <si>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</si>
  <si>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</si>
  <si>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</si>
  <si>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</si>
  <si>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</si>
  <si>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</si>
  <si>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</si>
  <si>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</si>
  <si>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</si>
  <si>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</si>
  <si>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</si>
  <si>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</si>
  <si>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</si>
  <si>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</si>
  <si>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</si>
  <si>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</si>
  <si>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</si>
  <si>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</si>
  <si>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</si>
  <si>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</si>
  <si>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</si>
  <si>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</si>
  <si>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</si>
  <si>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</si>
  <si>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</si>
  <si>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</si>
  <si>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</si>
  <si>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</si>
  <si>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</si>
  <si>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</si>
  <si>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</si>
  <si>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</si>
  <si>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</si>
  <si>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</si>
  <si>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</si>
  <si>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</si>
  <si>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</si>
  <si>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</si>
  <si>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</si>
  <si>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</si>
  <si>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</si>
  <si>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</si>
  <si>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</si>
  <si>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</si>
  <si>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</si>
  <si>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</si>
  <si>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</si>
  <si>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</si>
  <si>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</si>
  <si>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</si>
  <si>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</si>
  <si>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</si>
  <si>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LAKE</t>
  </si>
  <si>
    <t>1370 RIVERWOODS RD</t>
  </si>
  <si>
    <t>LINCOLNSHIRE</t>
  </si>
  <si>
    <t>PPALBICKE@D103.ORG</t>
  </si>
  <si>
    <t>KEVIN SMITH</t>
  </si>
  <si>
    <t>General Obligation Bonds - 2013</t>
  </si>
  <si>
    <t>General Obligation Bonds - 2015</t>
  </si>
  <si>
    <t>General Obligation Bonds - 2015C</t>
  </si>
  <si>
    <t>General Obligation 2015 Debt Certificates</t>
  </si>
  <si>
    <t>General Obligation 2017 Debt Certificates</t>
  </si>
  <si>
    <t>Capital Lease - Apple</t>
  </si>
  <si>
    <t>Page 5, Line 12 - Other Assets (190)</t>
  </si>
  <si>
    <t>Page 10, Line 81 - Other District/School Activity Revenue (1790)</t>
  </si>
  <si>
    <t>Page 10, Line 106 - Other Local Fees (1993)</t>
  </si>
  <si>
    <t>Page 10, Line 107 - Other Local Revenues (1999)</t>
  </si>
  <si>
    <t>Page 12, Line 168 - Other Restricted Revenue from State Sources (3999)</t>
  </si>
  <si>
    <t>Page 15, Line 41 - Other Support Services - Pupils (2190)</t>
  </si>
  <si>
    <t>Page 18, Line 171 - Debt Services - Other (5400)</t>
  </si>
  <si>
    <t>Page 19, Line 237 - Other Support Services - Pupils (2190)</t>
  </si>
  <si>
    <t>Education Fund: Club Fees, Band/Choir/Orchestra Fees, Athletic Fees, Student ID Fees</t>
  </si>
  <si>
    <t>Education Fund: Loredo Taft Revenue</t>
  </si>
  <si>
    <t>Education Fund: Extra Duty Stipends for After School Activities and Outdoor Education</t>
  </si>
  <si>
    <t>Debt Services Fund: Sevice Charges - Bond Fees</t>
  </si>
  <si>
    <t>IMRF/SS Fund: After School Activities and Outdoor Activities</t>
  </si>
  <si>
    <t>HEINEMANN</t>
  </si>
  <si>
    <t>MCGRAW-HILL COMPANIES</t>
  </si>
  <si>
    <t>THE MATH LEARNING CENTER</t>
  </si>
  <si>
    <t>CUSTOM SOLUTIONS</t>
  </si>
  <si>
    <t>SPEECH PATH SPECIALISTS</t>
  </si>
  <si>
    <t>111 BARCLAY ASSOCIATES</t>
  </si>
  <si>
    <t>GENESIS TECHNOLOGIES</t>
  </si>
  <si>
    <t>NORTHERN ILLINOIS UNIVERSITY</t>
  </si>
  <si>
    <t xml:space="preserve">REV TRAC </t>
  </si>
  <si>
    <t>10-2660-392</t>
  </si>
  <si>
    <t>CDW GOVERNMENT</t>
  </si>
  <si>
    <t>POWERSCHOOL GROUP LLC</t>
  </si>
  <si>
    <t>APPLE</t>
  </si>
  <si>
    <t>NORTH AMERICAN</t>
  </si>
  <si>
    <t>GENERAL MECHANICAL SERVICES</t>
  </si>
  <si>
    <t>KELLEY LANDSCAPE &amp; PATIO</t>
  </si>
  <si>
    <t>SANTANDER LEASING</t>
  </si>
  <si>
    <t>CITICARE TRANSPORTATION</t>
  </si>
  <si>
    <t>OLSON TRANSPORTATION</t>
  </si>
  <si>
    <t>TOP LINE TRANSPORTATION</t>
  </si>
  <si>
    <t>SHELL</t>
  </si>
  <si>
    <t>ED-Instruction-Supplies &amp; Materials</t>
  </si>
  <si>
    <t>ED-Instruction-Purchased Services</t>
  </si>
  <si>
    <t>ED-Support Services-Pupils-Purchased Services</t>
  </si>
  <si>
    <t>ED-Support Services-Business-Purchased Services</t>
  </si>
  <si>
    <t>ED-Support Services-Central-Purchased Services</t>
  </si>
  <si>
    <t>ED-Support Services-Central-Supplies &amp; Materials</t>
  </si>
  <si>
    <t>O&amp;M-Support Services-Business-Supplies &amp; Materials</t>
  </si>
  <si>
    <t>O&amp;M-Support Services-Business-Purchased Services</t>
  </si>
  <si>
    <t>TRANS-Support Services-Business-Purchased Services</t>
  </si>
  <si>
    <t>TRANS-Support Services-Business-Supplies &amp; Materials</t>
  </si>
  <si>
    <t>X</t>
  </si>
  <si>
    <t>D102, D96, D125</t>
  </si>
  <si>
    <t>D125 Math and Guided</t>
  </si>
  <si>
    <t>NIHIP</t>
  </si>
  <si>
    <t>IUPC</t>
  </si>
  <si>
    <t>Village of Lincolnshire</t>
  </si>
  <si>
    <t>CLIC</t>
  </si>
  <si>
    <t>ISDLAF</t>
  </si>
  <si>
    <t>D125 and ELC</t>
  </si>
  <si>
    <t>D102, D96,D125</t>
  </si>
  <si>
    <t>D102, D96, and ELC</t>
  </si>
  <si>
    <t>D102 and ELC</t>
  </si>
  <si>
    <t>State of Illinois purcahsing Cooperatives and State contracts</t>
  </si>
  <si>
    <t>D23</t>
  </si>
  <si>
    <t>Education &amp; Operations &amp; Maintenance Funds: Overpayment Refund Receivable</t>
  </si>
  <si>
    <t>Education Fund: Orphanage Tuition. Operations &amp; Maintenance Fund: Maintenance Grant</t>
  </si>
  <si>
    <t>Education Fund: Ipad Resales, T-shirt sales. Operations &amp; Maintenance Fund: ComEd Energy Energy Efficient Credit. Transportation Fund: Night Shuttle Services</t>
  </si>
  <si>
    <t>General Obligation Debt Certificates</t>
  </si>
  <si>
    <t>Capital Lease</t>
  </si>
  <si>
    <t xml:space="preserve">Audit Check - Total Long-Term Debt Issued (P24, Cell F49) must = Principal on Long-Term Debt Sold (P8, Cells C33:K33). </t>
  </si>
  <si>
    <t>Proceeds from capital lease not recorded in cash basis financial statements</t>
  </si>
  <si>
    <t>PDF in Opinion Page with Signature</t>
  </si>
  <si>
    <t xml:space="preserve">   Lincolnshire-Prairieview SD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</si>
</sst>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s>
  <cellStyleXfs count="4020">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5"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29" borderId="0" applyNumberFormat="0" applyBorder="0" applyAlignment="0" applyProtection="0"/>
    <xf numFmtId="0" fontId="145" fillId="30"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9" borderId="0" applyNumberFormat="0" applyBorder="0" applyAlignment="0" applyProtection="0"/>
    <xf numFmtId="0" fontId="145" fillId="33"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6" borderId="0" applyNumberFormat="0" applyBorder="0" applyAlignment="0" applyProtection="0"/>
    <xf numFmtId="0" fontId="145" fillId="30" borderId="0" applyNumberFormat="0" applyBorder="0" applyAlignment="0" applyProtection="0"/>
    <xf numFmtId="0" fontId="157" fillId="30"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34"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45" fillId="29" borderId="0" applyNumberFormat="0" applyBorder="0" applyAlignment="0" applyProtection="0"/>
    <xf numFmtId="0" fontId="145" fillId="36"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3" fillId="0" borderId="163" applyNumberFormat="0" applyFill="0" applyAlignment="0" applyProtection="0"/>
    <xf numFmtId="195" fontId="164" fillId="0" borderId="163" applyNumberFormat="0" applyFill="0" applyAlignment="0" applyProtection="0">
      <alignment horizontal="center"/>
    </xf>
    <xf numFmtId="195" fontId="164" fillId="0" borderId="78" applyFill="0" applyAlignment="0" applyProtection="0">
      <alignment horizontal="center"/>
    </xf>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4" fillId="31" borderId="164" applyNumberFormat="0" applyAlignment="0" applyProtection="0"/>
    <xf numFmtId="0" fontId="154" fillId="31" borderId="164" applyNumberFormat="0" applyAlignment="0" applyProtection="0"/>
    <xf numFmtId="0" fontId="154" fillId="31" borderId="164" applyNumberFormat="0" applyAlignment="0" applyProtection="0"/>
    <xf numFmtId="0" fontId="154" fillId="31" borderId="164" applyNumberFormat="0" applyAlignment="0" applyProtection="0"/>
    <xf numFmtId="0" fontId="154" fillId="31" borderId="164" applyNumberFormat="0" applyAlignment="0" applyProtection="0"/>
    <xf numFmtId="0" fontId="154" fillId="31" borderId="164"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5" applyNumberFormat="0" applyFill="0" applyAlignment="0" applyProtection="0"/>
    <xf numFmtId="0" fontId="163" fillId="0" borderId="165" applyNumberFormat="0" applyFill="0" applyAlignment="0" applyProtection="0"/>
    <xf numFmtId="0" fontId="156" fillId="40"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47" fillId="0" borderId="166" applyNumberFormat="0" applyFill="0" applyAlignment="0" applyProtection="0"/>
    <xf numFmtId="0" fontId="147" fillId="0" borderId="166" applyNumberFormat="0" applyFill="0" applyAlignment="0" applyProtection="0"/>
    <xf numFmtId="0" fontId="147" fillId="0" borderId="166" applyNumberFormat="0" applyFill="0" applyAlignment="0" applyProtection="0"/>
    <xf numFmtId="0" fontId="147" fillId="0" borderId="166" applyNumberFormat="0" applyFill="0" applyAlignment="0" applyProtection="0"/>
    <xf numFmtId="0" fontId="147" fillId="0" borderId="166" applyNumberFormat="0" applyFill="0" applyAlignment="0" applyProtection="0"/>
    <xf numFmtId="0" fontId="147" fillId="0" borderId="166"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1" fillId="0" borderId="169" applyNumberFormat="0" applyFill="0" applyAlignment="0" applyProtection="0"/>
    <xf numFmtId="0" fontId="161" fillId="0" borderId="169" applyNumberFormat="0" applyFill="0" applyAlignment="0" applyProtection="0"/>
    <xf numFmtId="0" fontId="161" fillId="0" borderId="169" applyNumberFormat="0" applyFill="0" applyAlignment="0" applyProtection="0"/>
    <xf numFmtId="0" fontId="161" fillId="0" borderId="169" applyNumberFormat="0" applyFill="0" applyAlignment="0" applyProtection="0"/>
    <xf numFmtId="0" fontId="161" fillId="0" borderId="169" applyNumberFormat="0" applyFill="0" applyAlignment="0" applyProtection="0"/>
    <xf numFmtId="0" fontId="161" fillId="0" borderId="169" applyNumberFormat="0" applyFill="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5" fillId="0" borderId="0"/>
    <xf numFmtId="0" fontId="143" fillId="0" borderId="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198" fontId="164" fillId="0" borderId="0" applyFill="0" applyBorder="0" applyProtection="0">
      <alignment horizontal="right"/>
    </xf>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1" applyNumberFormat="0" applyFont="0" applyFill="0" applyAlignment="0" applyProtection="0"/>
    <xf numFmtId="0" fontId="163" fillId="0" borderId="172" applyNumberFormat="0" applyFont="0" applyFill="0" applyAlignment="0" applyProtection="0"/>
    <xf numFmtId="0" fontId="163" fillId="0" borderId="138" applyNumberFormat="0" applyFon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31"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31"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31"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0" fontId="154" fillId="63" borderId="164"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47" fillId="0" borderId="166"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47" fillId="0" borderId="166"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47" fillId="0" borderId="166"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8" fillId="0" borderId="174"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48"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48"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48"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79" fillId="0" borderId="167"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49" fillId="0" borderId="168"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49" fillId="0" borderId="168"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49" fillId="0" borderId="168"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175"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6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6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6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43" fillId="0" borderId="0"/>
    <xf numFmtId="0" fontId="12" fillId="0" borderId="0"/>
    <xf numFmtId="0" fontId="12" fillId="0" borderId="0"/>
    <xf numFmtId="0" fontId="12" fillId="0" borderId="0"/>
    <xf numFmtId="0" fontId="12" fillId="0" borderId="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 fillId="0" borderId="0"/>
    <xf numFmtId="0" fontId="12" fillId="0" borderId="0"/>
    <xf numFmtId="43" fontId="5"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0" borderId="0"/>
    <xf numFmtId="0" fontId="53" fillId="0" borderId="0"/>
    <xf numFmtId="0" fontId="5" fillId="0" borderId="0"/>
    <xf numFmtId="43" fontId="5" fillId="0" borderId="0" applyFont="0" applyFill="0" applyBorder="0" applyAlignment="0" applyProtection="0"/>
    <xf numFmtId="0" fontId="5" fillId="0" borderId="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63" fillId="0" borderId="138" applyNumberFormat="0" applyFont="0" applyFill="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8" fillId="0" borderId="0" applyNumberFormat="0" applyFill="0" applyBorder="0" applyAlignment="0" applyProtection="0">
      <alignment vertical="top"/>
      <protection locked="0"/>
    </xf>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5" fillId="0" borderId="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6" fillId="0" borderId="176" applyNumberFormat="0" applyFill="0" applyAlignment="0" applyProtection="0"/>
    <xf numFmtId="0" fontId="153" fillId="62" borderId="170" applyNumberFormat="0" applyAlignment="0" applyProtection="0"/>
    <xf numFmtId="0" fontId="156" fillId="0" borderId="176" applyNumberFormat="0" applyFill="0" applyAlignment="0" applyProtection="0"/>
    <xf numFmtId="43" fontId="5" fillId="0" borderId="0" applyFont="0" applyFill="0" applyBorder="0" applyAlignment="0" applyProtection="0"/>
    <xf numFmtId="0" fontId="5" fillId="0" borderId="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63" fillId="0" borderId="138" applyNumberFormat="0" applyFon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63" fillId="0" borderId="138" applyNumberFormat="0" applyFon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56" fillId="0" borderId="173" applyNumberFormat="0" applyFill="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3"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39"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0" fontId="153" fillId="62" borderId="170" applyNumberFormat="0" applyAlignment="0" applyProtection="0"/>
    <xf numFmtId="43" fontId="5" fillId="0" borderId="0" applyFont="0" applyFill="0" applyBorder="0" applyAlignment="0" applyProtection="0"/>
    <xf numFmtId="0" fontId="5" fillId="0" borderId="0"/>
    <xf numFmtId="0" fontId="5" fillId="0" borderId="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153" fillId="39" borderId="170" applyNumberForma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56" fillId="0" borderId="173"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Alignment="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5" fillId="0" borderId="0"/>
    <xf numFmtId="43" fontId="12" fillId="0" borderId="0" applyAlignment="0"/>
    <xf numFmtId="43" fontId="12" fillId="0" borderId="0" applyAlignment="0"/>
    <xf numFmtId="43" fontId="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cellStyleXfs>
  <cellXfs count="2651">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2" xfId="12" applyNumberFormat="1" applyFont="1" applyBorder="1" applyAlignment="1" applyProtection="1">
      <alignment horizontal="right" vertical="center"/>
    </xf>
    <xf numFmtId="0" fontId="16" fillId="0" borderId="125" xfId="12" applyFont="1" applyBorder="1" applyAlignment="1" applyProtection="1">
      <alignment vertical="center"/>
    </xf>
    <xf numFmtId="0" fontId="16" fillId="0" borderId="123" xfId="12" applyFont="1" applyBorder="1" applyAlignment="1" applyProtection="1">
      <alignment vertical="center"/>
    </xf>
    <xf numFmtId="1" fontId="12" fillId="0" borderId="0" xfId="0" applyNumberFormat="1" applyFont="1" applyAlignment="1">
      <alignment horizontal="center" vertical="center"/>
    </xf>
    <xf numFmtId="0" fontId="13" fillId="0" borderId="132"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09" xfId="0" applyNumberFormat="1" applyFont="1" applyFill="1" applyBorder="1" applyAlignment="1">
      <alignment horizontal="right"/>
    </xf>
    <xf numFmtId="0" fontId="56" fillId="17" borderId="109" xfId="0" applyFont="1" applyFill="1" applyBorder="1" applyAlignment="1" applyProtection="1">
      <alignment horizontal="center" vertical="center"/>
    </xf>
    <xf numFmtId="164" fontId="56" fillId="17" borderId="109" xfId="0" applyNumberFormat="1" applyFont="1" applyFill="1" applyBorder="1" applyAlignment="1" applyProtection="1">
      <alignment horizontal="center" vertical="center"/>
    </xf>
    <xf numFmtId="164" fontId="66" fillId="17" borderId="109"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4"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7"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2"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4"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2"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3" xfId="0" applyNumberFormat="1" applyFont="1" applyFill="1" applyBorder="1" applyAlignment="1">
      <alignment horizontal="center" vertical="center"/>
    </xf>
    <xf numFmtId="49" fontId="64" fillId="0" borderId="124"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2"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9" xfId="0" applyFont="1" applyBorder="1"/>
    <xf numFmtId="0" fontId="57" fillId="0" borderId="13" xfId="0" applyFont="1" applyBorder="1"/>
    <xf numFmtId="0" fontId="57" fillId="0" borderId="122" xfId="0" applyFont="1" applyBorder="1" applyAlignment="1">
      <alignment horizontal="left" vertical="top"/>
    </xf>
    <xf numFmtId="164" fontId="115" fillId="0" borderId="125" xfId="0" applyNumberFormat="1" applyFont="1" applyBorder="1" applyAlignment="1">
      <alignment horizontal="right" vertical="top"/>
    </xf>
    <xf numFmtId="0" fontId="57" fillId="0" borderId="125" xfId="0" applyNumberFormat="1" applyFont="1" applyBorder="1" applyAlignment="1">
      <alignment horizontal="left" vertical="center" wrapText="1" indent="1"/>
    </xf>
    <xf numFmtId="0" fontId="87" fillId="0" borderId="124" xfId="0" applyFont="1" applyBorder="1" applyAlignment="1">
      <alignment horizontal="left" vertical="center" wrapText="1"/>
    </xf>
    <xf numFmtId="0" fontId="57" fillId="0" borderId="125" xfId="0" applyFont="1" applyBorder="1" applyAlignment="1">
      <alignment horizontal="left" vertical="top"/>
    </xf>
    <xf numFmtId="0" fontId="57" fillId="0" borderId="0" xfId="0" applyFont="1" applyBorder="1" applyAlignment="1">
      <alignment vertical="top"/>
    </xf>
    <xf numFmtId="0" fontId="117" fillId="0" borderId="125" xfId="0" applyNumberFormat="1" applyFont="1" applyBorder="1" applyAlignment="1">
      <alignment horizontal="left" vertical="center"/>
    </xf>
    <xf numFmtId="0" fontId="115" fillId="0" borderId="125" xfId="0" applyFont="1" applyBorder="1" applyAlignment="1">
      <alignment vertical="top"/>
    </xf>
    <xf numFmtId="0" fontId="115" fillId="0" borderId="125" xfId="0" applyFont="1" applyBorder="1" applyAlignment="1">
      <alignment horizontal="left" vertical="top"/>
    </xf>
    <xf numFmtId="0" fontId="57" fillId="0" borderId="122" xfId="0" applyFont="1" applyBorder="1" applyAlignment="1"/>
    <xf numFmtId="164" fontId="115" fillId="0" borderId="125" xfId="0" applyNumberFormat="1" applyFont="1" applyBorder="1" applyAlignment="1"/>
    <xf numFmtId="0" fontId="57" fillId="0" borderId="125" xfId="0" applyFont="1" applyBorder="1" applyAlignment="1"/>
    <xf numFmtId="0" fontId="64" fillId="0" borderId="123"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1"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2" xfId="0" applyFont="1" applyFill="1" applyBorder="1" applyAlignment="1"/>
    <xf numFmtId="0" fontId="56" fillId="0" borderId="125" xfId="0" applyFont="1" applyFill="1" applyBorder="1" applyAlignment="1">
      <alignment horizontal="left" vertical="top"/>
    </xf>
    <xf numFmtId="0" fontId="56" fillId="0" borderId="123"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3"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0" xfId="3" quotePrefix="1" applyNumberFormat="1" applyFont="1" applyBorder="1" applyAlignment="1" applyProtection="1">
      <alignment horizontal="left"/>
    </xf>
    <xf numFmtId="0" fontId="64" fillId="0" borderId="141" xfId="3" applyNumberFormat="1" applyFont="1" applyBorder="1" applyAlignment="1" applyProtection="1">
      <alignment horizontal="center"/>
    </xf>
    <xf numFmtId="0" fontId="64" fillId="0" borderId="141" xfId="3" applyNumberFormat="1" applyFont="1" applyBorder="1" applyProtection="1"/>
    <xf numFmtId="0" fontId="57" fillId="0" borderId="140" xfId="3" applyNumberFormat="1" applyFont="1" applyBorder="1" applyAlignment="1" applyProtection="1"/>
    <xf numFmtId="0" fontId="64" fillId="0" borderId="142" xfId="3" applyNumberFormat="1" applyFont="1" applyBorder="1" applyAlignment="1" applyProtection="1">
      <alignment horizontal="centerContinuous"/>
    </xf>
    <xf numFmtId="0" fontId="57" fillId="0" borderId="140" xfId="3" applyNumberFormat="1" applyFont="1" applyBorder="1" applyAlignment="1" applyProtection="1">
      <alignment horizontal="left"/>
    </xf>
    <xf numFmtId="0" fontId="64" fillId="0" borderId="142" xfId="3" applyNumberFormat="1" applyFont="1" applyBorder="1" applyProtection="1"/>
    <xf numFmtId="0" fontId="64" fillId="0" borderId="141"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0"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4"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1"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5"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3" xfId="3" applyFont="1" applyBorder="1" applyProtection="1"/>
    <xf numFmtId="0" fontId="57" fillId="0" borderId="144" xfId="3" applyFont="1" applyBorder="1" applyProtection="1">
      <protection locked="0"/>
    </xf>
    <xf numFmtId="0" fontId="57" fillId="0" borderId="143"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2" xfId="3" applyNumberFormat="1" applyFont="1" applyBorder="1" applyAlignment="1" applyProtection="1">
      <alignment horizontal="center"/>
    </xf>
    <xf numFmtId="0" fontId="66" fillId="0" borderId="141" xfId="3" applyFont="1" applyBorder="1" applyAlignment="1" applyProtection="1">
      <alignment horizontal="centerContinuous"/>
    </xf>
    <xf numFmtId="0" fontId="66" fillId="0" borderId="142"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2"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1" xfId="3" applyFont="1" applyBorder="1" applyProtection="1"/>
    <xf numFmtId="0" fontId="59" fillId="0" borderId="141" xfId="3" applyFont="1" applyBorder="1" applyProtection="1"/>
    <xf numFmtId="0" fontId="59" fillId="0" borderId="141"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1" xfId="3" quotePrefix="1" applyFont="1" applyBorder="1" applyAlignment="1" applyProtection="1">
      <alignment horizontal="left"/>
    </xf>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1" xfId="3" applyFont="1" applyBorder="1" applyProtection="1"/>
    <xf numFmtId="0" fontId="59" fillId="0" borderId="0" xfId="3" applyFont="1" applyBorder="1" applyAlignment="1" applyProtection="1">
      <alignment horizontal="left"/>
    </xf>
    <xf numFmtId="0" fontId="66" fillId="0" borderId="141"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1"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6"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8" xfId="3" applyFont="1" applyBorder="1" applyAlignment="1" applyProtection="1">
      <alignment horizontal="left"/>
    </xf>
    <xf numFmtId="0" fontId="59" fillId="0" borderId="148" xfId="3" applyFont="1" applyBorder="1" applyProtection="1"/>
    <xf numFmtId="0" fontId="59" fillId="0" borderId="148"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5"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6"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4" xfId="0" applyNumberFormat="1" applyFont="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4"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2" xfId="0" applyNumberFormat="1" applyFont="1" applyFill="1" applyBorder="1" applyAlignment="1">
      <alignment horizontal="center" vertical="center" wrapText="1"/>
    </xf>
    <xf numFmtId="38" fontId="56" fillId="6" borderId="152" xfId="0" applyNumberFormat="1" applyFont="1" applyFill="1" applyBorder="1" applyAlignment="1">
      <alignment horizontal="center" vertical="top" wrapText="1"/>
    </xf>
    <xf numFmtId="38" fontId="66" fillId="6" borderId="152"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8" xfId="0" applyNumberFormat="1" applyFont="1" applyFill="1" applyBorder="1" applyAlignment="1">
      <alignment horizontal="center"/>
    </xf>
    <xf numFmtId="3" fontId="57" fillId="22" borderId="128" xfId="0" applyNumberFormat="1" applyFont="1" applyFill="1" applyBorder="1" applyAlignment="1">
      <alignment horizontal="right"/>
    </xf>
    <xf numFmtId="3" fontId="57" fillId="22" borderId="129" xfId="0" applyNumberFormat="1" applyFont="1" applyFill="1" applyBorder="1" applyAlignment="1">
      <alignment horizontal="center"/>
    </xf>
    <xf numFmtId="3" fontId="67" fillId="22" borderId="122"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4"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2" xfId="0" applyNumberFormat="1" applyFont="1" applyFill="1" applyBorder="1" applyAlignment="1">
      <alignment horizontal="left" vertical="center" wrapText="1"/>
    </xf>
    <xf numFmtId="49" fontId="66" fillId="17" borderId="124"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2"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4" xfId="0" applyFont="1" applyFill="1" applyBorder="1" applyAlignment="1">
      <alignment horizontal="left" vertical="center" wrapText="1"/>
    </xf>
    <xf numFmtId="3" fontId="66" fillId="17" borderId="124"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6" xfId="0" applyFont="1" applyBorder="1" applyAlignment="1">
      <alignment horizontal="centerContinuous" vertical="center"/>
    </xf>
    <xf numFmtId="0" fontId="57" fillId="0" borderId="157" xfId="0" applyFont="1" applyBorder="1" applyAlignment="1">
      <alignment horizontal="centerContinuous" vertical="center"/>
    </xf>
    <xf numFmtId="0" fontId="59" fillId="0" borderId="157"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8"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4"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9"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1"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6" xfId="18" applyFont="1" applyBorder="1" applyAlignment="1">
      <alignment horizontal="left" vertical="center" wrapText="1"/>
    </xf>
    <xf numFmtId="0" fontId="106" fillId="0" borderId="157"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9" xfId="18" applyFont="1" applyFill="1" applyBorder="1" applyAlignment="1">
      <alignment horizontal="left" vertical="center" wrapText="1"/>
    </xf>
    <xf numFmtId="0" fontId="8" fillId="0" borderId="0" xfId="18" applyFont="1"/>
    <xf numFmtId="0" fontId="50" fillId="0" borderId="137" xfId="18" applyFont="1" applyBorder="1" applyAlignment="1">
      <alignment vertical="top"/>
    </xf>
    <xf numFmtId="0" fontId="50" fillId="0" borderId="138" xfId="18" applyFont="1" applyBorder="1" applyAlignment="1">
      <alignment vertical="top"/>
    </xf>
    <xf numFmtId="0" fontId="51" fillId="15" borderId="76" xfId="18" applyFont="1" applyFill="1" applyBorder="1" applyAlignment="1">
      <alignment vertical="top"/>
    </xf>
    <xf numFmtId="0" fontId="50" fillId="0" borderId="137" xfId="18" applyFont="1" applyBorder="1" applyAlignment="1">
      <alignment vertical="top" wrapText="1"/>
    </xf>
    <xf numFmtId="0" fontId="50" fillId="0" borderId="138"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5" xfId="18" applyFont="1" applyFill="1" applyBorder="1" applyAlignment="1">
      <alignment horizontal="center" vertical="center" wrapText="1"/>
    </xf>
    <xf numFmtId="0" fontId="106" fillId="22" borderId="160" xfId="18" applyFont="1" applyFill="1" applyBorder="1" applyAlignment="1">
      <alignment horizontal="center" vertical="center" wrapText="1"/>
    </xf>
    <xf numFmtId="0" fontId="106" fillId="17" borderId="136"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6"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4" xfId="0" applyNumberFormat="1" applyFont="1" applyBorder="1" applyAlignment="1" applyProtection="1">
      <alignment horizontal="right" shrinkToFit="1"/>
      <protection locked="0"/>
    </xf>
    <xf numFmtId="38" fontId="57" fillId="3" borderId="124"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1" xfId="0" applyNumberFormat="1" applyFont="1" applyFill="1" applyBorder="1" applyAlignment="1" applyProtection="1">
      <alignment horizontal="right" shrinkToFit="1"/>
      <protection locked="0"/>
    </xf>
    <xf numFmtId="38" fontId="57" fillId="0" borderId="120" xfId="0" applyNumberFormat="1" applyFont="1" applyFill="1" applyBorder="1" applyAlignment="1" applyProtection="1">
      <alignment horizontal="right" shrinkToFit="1"/>
      <protection locked="0"/>
    </xf>
    <xf numFmtId="38" fontId="57" fillId="0" borderId="110" xfId="0" applyNumberFormat="1" applyFont="1" applyFill="1" applyBorder="1" applyAlignment="1" applyProtection="1">
      <alignment horizontal="right" shrinkToFit="1"/>
      <protection locked="0"/>
    </xf>
    <xf numFmtId="3" fontId="57" fillId="3" borderId="124"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4"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4"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4"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4"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4" xfId="0" applyNumberFormat="1" applyFont="1" applyFill="1" applyBorder="1" applyAlignment="1" applyProtection="1">
      <alignment horizontal="right" vertical="center" shrinkToFit="1"/>
      <protection locked="0"/>
    </xf>
    <xf numFmtId="38" fontId="57" fillId="0" borderId="124" xfId="0" applyNumberFormat="1" applyFont="1" applyFill="1" applyBorder="1" applyAlignment="1" applyProtection="1">
      <alignment horizontal="right" vertical="center" shrinkToFit="1"/>
      <protection locked="0"/>
    </xf>
    <xf numFmtId="38" fontId="57" fillId="16" borderId="124"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9" xfId="0" applyNumberFormat="1" applyFont="1" applyFill="1" applyBorder="1" applyAlignment="1" applyProtection="1">
      <alignment horizontal="right" shrinkToFit="1"/>
      <protection locked="0"/>
    </xf>
    <xf numFmtId="42" fontId="51" fillId="10" borderId="109"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4"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4"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3" xfId="0" applyFont="1" applyFill="1" applyBorder="1" applyAlignment="1">
      <alignment shrinkToFit="1"/>
    </xf>
    <xf numFmtId="37" fontId="57" fillId="16" borderId="123" xfId="0" applyNumberFormat="1" applyFont="1" applyFill="1" applyBorder="1" applyAlignment="1">
      <alignment shrinkToFit="1"/>
    </xf>
    <xf numFmtId="37" fontId="57" fillId="16" borderId="125"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2"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7" xfId="19" applyFont="1" applyBorder="1" applyAlignment="1">
      <alignment horizontal="left" vertical="top"/>
    </xf>
    <xf numFmtId="182" fontId="128" fillId="0" borderId="138" xfId="19" applyNumberFormat="1" applyFont="1" applyBorder="1" applyAlignment="1">
      <alignment horizontal="center" vertical="top"/>
    </xf>
    <xf numFmtId="0" fontId="128" fillId="0" borderId="138" xfId="19" applyFont="1" applyBorder="1" applyAlignment="1">
      <alignment horizontal="center" vertical="top"/>
    </xf>
    <xf numFmtId="0" fontId="128" fillId="0" borderId="139"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3" xfId="19" applyFont="1" applyFill="1" applyBorder="1" applyAlignment="1">
      <alignment horizontal="center" vertical="center" wrapText="1"/>
    </xf>
    <xf numFmtId="182" fontId="127" fillId="22" borderId="153" xfId="19" applyNumberFormat="1" applyFont="1" applyFill="1" applyBorder="1" applyAlignment="1">
      <alignment horizontal="center" vertical="center" wrapText="1"/>
    </xf>
    <xf numFmtId="38" fontId="127" fillId="22" borderId="153" xfId="19" applyNumberFormat="1" applyFont="1" applyFill="1" applyBorder="1" applyAlignment="1">
      <alignment horizontal="center" vertical="center" wrapText="1"/>
    </xf>
    <xf numFmtId="0" fontId="129" fillId="20" borderId="154" xfId="19" applyFont="1" applyFill="1" applyBorder="1" applyAlignment="1" applyProtection="1">
      <alignment horizontal="left" vertical="top" wrapText="1"/>
    </xf>
    <xf numFmtId="0" fontId="129" fillId="20" borderId="154" xfId="19" applyFont="1" applyFill="1" applyBorder="1" applyAlignment="1" applyProtection="1">
      <alignment vertical="top"/>
    </xf>
    <xf numFmtId="38" fontId="129" fillId="20" borderId="154" xfId="19" applyNumberFormat="1" applyFont="1" applyFill="1" applyBorder="1" applyAlignment="1" applyProtection="1">
      <alignment horizontal="right" vertical="top"/>
    </xf>
    <xf numFmtId="38" fontId="129" fillId="20" borderId="154" xfId="19" applyNumberFormat="1" applyFont="1" applyFill="1" applyBorder="1" applyAlignment="1" applyProtection="1">
      <alignment vertical="top"/>
    </xf>
    <xf numFmtId="0" fontId="7" fillId="0" borderId="154" xfId="19" applyFont="1" applyBorder="1" applyAlignment="1" applyProtection="1">
      <alignment horizontal="left" vertical="top" wrapText="1"/>
      <protection locked="0"/>
    </xf>
    <xf numFmtId="0" fontId="7" fillId="0" borderId="154" xfId="19" applyFont="1" applyBorder="1" applyAlignment="1" applyProtection="1">
      <alignment vertical="top"/>
      <protection locked="0"/>
    </xf>
    <xf numFmtId="38" fontId="7" fillId="0" borderId="154" xfId="19" applyNumberFormat="1" applyBorder="1" applyAlignment="1" applyProtection="1">
      <alignment horizontal="right" vertical="top"/>
      <protection locked="0"/>
    </xf>
    <xf numFmtId="0" fontId="7" fillId="0" borderId="154" xfId="19" applyBorder="1" applyAlignment="1" applyProtection="1">
      <alignment horizontal="left" vertical="top" wrapText="1"/>
      <protection locked="0"/>
    </xf>
    <xf numFmtId="0" fontId="7" fillId="0" borderId="154" xfId="19" applyBorder="1" applyAlignment="1" applyProtection="1">
      <alignment vertical="top"/>
      <protection locked="0"/>
    </xf>
    <xf numFmtId="0" fontId="7" fillId="16" borderId="155" xfId="19" applyFill="1" applyBorder="1" applyAlignment="1" applyProtection="1">
      <alignment horizontal="left" vertical="top" wrapText="1"/>
    </xf>
    <xf numFmtId="0" fontId="7" fillId="16" borderId="155" xfId="19" applyFill="1" applyBorder="1" applyAlignment="1" applyProtection="1">
      <alignment vertical="top"/>
    </xf>
    <xf numFmtId="38" fontId="7" fillId="16" borderId="155" xfId="19" applyNumberFormat="1" applyFill="1" applyBorder="1" applyAlignment="1" applyProtection="1">
      <alignment horizontal="right" vertical="top"/>
    </xf>
    <xf numFmtId="38" fontId="7" fillId="16" borderId="155" xfId="19" applyNumberFormat="1" applyFont="1" applyFill="1" applyBorder="1" applyAlignment="1" applyProtection="1">
      <alignment horizontal="right" vertical="top"/>
    </xf>
    <xf numFmtId="38" fontId="7" fillId="16" borderId="155"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09"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4" xfId="19" applyNumberFormat="1" applyFill="1" applyBorder="1" applyAlignment="1" applyProtection="1">
      <alignment horizontal="right" vertical="top"/>
    </xf>
    <xf numFmtId="184" fontId="129" fillId="20" borderId="154" xfId="19" applyNumberFormat="1" applyFont="1" applyFill="1" applyBorder="1" applyAlignment="1" applyProtection="1">
      <alignment horizontal="center" vertical="top"/>
    </xf>
    <xf numFmtId="184" fontId="7" fillId="0" borderId="154" xfId="19" applyNumberFormat="1" applyFont="1" applyBorder="1" applyAlignment="1" applyProtection="1">
      <alignment horizontal="center" vertical="top"/>
      <protection locked="0"/>
    </xf>
    <xf numFmtId="184" fontId="7" fillId="0" borderId="154" xfId="19" applyNumberFormat="1" applyFont="1" applyBorder="1" applyAlignment="1" applyProtection="1">
      <alignment horizontal="center" vertical="center"/>
      <protection locked="0"/>
    </xf>
    <xf numFmtId="184" fontId="7" fillId="0" borderId="154" xfId="19" applyNumberFormat="1" applyBorder="1" applyAlignment="1" applyProtection="1">
      <alignment horizontal="center" vertical="center"/>
      <protection locked="0"/>
    </xf>
    <xf numFmtId="184" fontId="7" fillId="16" borderId="155" xfId="19" applyNumberFormat="1" applyFill="1" applyBorder="1" applyAlignment="1" applyProtection="1">
      <alignment vertical="top"/>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1"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4"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4" fillId="0" borderId="0" xfId="3740"/>
    <xf numFmtId="0" fontId="102" fillId="0" borderId="177" xfId="3741" applyFont="1" applyBorder="1"/>
    <xf numFmtId="0" fontId="102" fillId="0" borderId="163" xfId="3741" applyFont="1" applyBorder="1"/>
    <xf numFmtId="0" fontId="102" fillId="0" borderId="178" xfId="3741" applyFont="1" applyBorder="1"/>
    <xf numFmtId="0" fontId="102" fillId="0" borderId="0" xfId="3741" applyFont="1"/>
    <xf numFmtId="0" fontId="102" fillId="0" borderId="180" xfId="3741" applyFont="1" applyBorder="1"/>
    <xf numFmtId="0" fontId="101" fillId="0" borderId="180" xfId="3741" applyFont="1" applyBorder="1"/>
    <xf numFmtId="0" fontId="102" fillId="0" borderId="179" xfId="3741" applyFont="1" applyBorder="1"/>
    <xf numFmtId="0" fontId="184" fillId="0" borderId="0" xfId="3741" applyFont="1"/>
    <xf numFmtId="38" fontId="67" fillId="16" borderId="181"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6" borderId="77" xfId="3741" applyNumberFormat="1" applyFont="1" applyFill="1" applyBorder="1" applyAlignment="1">
      <alignment horizontal="center"/>
    </xf>
    <xf numFmtId="0" fontId="59" fillId="66" borderId="77" xfId="3741" applyFont="1" applyFill="1" applyBorder="1"/>
    <xf numFmtId="38" fontId="67" fillId="16" borderId="183" xfId="3741" applyNumberFormat="1" applyFont="1" applyFill="1" applyBorder="1" applyAlignment="1">
      <alignment horizontal="center" wrapText="1"/>
    </xf>
    <xf numFmtId="38" fontId="59" fillId="0" borderId="184" xfId="3741" applyNumberFormat="1" applyFont="1" applyBorder="1" applyAlignment="1" applyProtection="1">
      <alignment horizontal="center"/>
      <protection locked="0"/>
    </xf>
    <xf numFmtId="38" fontId="59" fillId="0" borderId="185" xfId="3741" applyNumberFormat="1" applyFont="1" applyBorder="1" applyAlignment="1" applyProtection="1">
      <alignment horizontal="center"/>
      <protection locked="0"/>
    </xf>
    <xf numFmtId="38" fontId="59" fillId="66" borderId="0" xfId="3741" applyNumberFormat="1" applyFont="1" applyFill="1" applyAlignment="1">
      <alignment horizontal="center"/>
    </xf>
    <xf numFmtId="0" fontId="59" fillId="0" borderId="184" xfId="3741" applyFont="1" applyBorder="1" applyAlignment="1">
      <alignment horizontal="center"/>
    </xf>
    <xf numFmtId="38" fontId="59" fillId="0" borderId="187" xfId="3741" applyNumberFormat="1" applyFont="1" applyBorder="1" applyAlignment="1" applyProtection="1">
      <alignment horizontal="center"/>
      <protection locked="0"/>
    </xf>
    <xf numFmtId="38" fontId="59" fillId="0" borderId="188" xfId="3741" applyNumberFormat="1" applyFont="1" applyBorder="1" applyAlignment="1" applyProtection="1">
      <alignment horizontal="center"/>
      <protection locked="0"/>
    </xf>
    <xf numFmtId="0" fontId="59" fillId="0" borderId="187" xfId="3741" applyFont="1" applyBorder="1" applyAlignment="1">
      <alignment horizontal="center"/>
    </xf>
    <xf numFmtId="38" fontId="59" fillId="0" borderId="190" xfId="3741" applyNumberFormat="1" applyFont="1" applyBorder="1" applyAlignment="1" applyProtection="1">
      <alignment horizontal="center"/>
      <protection locked="0"/>
    </xf>
    <xf numFmtId="38" fontId="59" fillId="0" borderId="191" xfId="3741" applyNumberFormat="1" applyFont="1" applyBorder="1" applyAlignment="1" applyProtection="1">
      <alignment horizontal="center"/>
      <protection locked="0"/>
    </xf>
    <xf numFmtId="38" fontId="67" fillId="67" borderId="192" xfId="3741" applyNumberFormat="1" applyFont="1" applyFill="1" applyBorder="1" applyAlignment="1" applyProtection="1">
      <alignment horizontal="center"/>
      <protection locked="0"/>
    </xf>
    <xf numFmtId="0" fontId="59" fillId="0" borderId="190" xfId="3741" applyFont="1" applyBorder="1" applyAlignment="1">
      <alignment horizontal="center"/>
    </xf>
    <xf numFmtId="0" fontId="103" fillId="0" borderId="181" xfId="3741" applyFont="1" applyBorder="1" applyAlignment="1">
      <alignment horizontal="center" wrapText="1"/>
    </xf>
    <xf numFmtId="0" fontId="103" fillId="0" borderId="77" xfId="3741" applyFont="1" applyBorder="1" applyAlignment="1">
      <alignment horizontal="center" wrapText="1"/>
    </xf>
    <xf numFmtId="0" fontId="59" fillId="66" borderId="77" xfId="3741" applyFont="1" applyFill="1" applyBorder="1" applyAlignment="1">
      <alignment horizontal="center"/>
    </xf>
    <xf numFmtId="0" fontId="59" fillId="0" borderId="179" xfId="3741" applyFont="1" applyBorder="1"/>
    <xf numFmtId="0" fontId="59" fillId="0" borderId="0" xfId="3741" applyFont="1"/>
    <xf numFmtId="0" fontId="59" fillId="0" borderId="180" xfId="3741" applyFont="1" applyBorder="1"/>
    <xf numFmtId="0" fontId="59" fillId="0" borderId="0" xfId="3" applyFont="1" applyAlignment="1">
      <alignment horizontal="right" vertical="center" indent="1"/>
    </xf>
    <xf numFmtId="0" fontId="185" fillId="0" borderId="180" xfId="3741" applyFont="1" applyBorder="1"/>
    <xf numFmtId="0" fontId="101" fillId="0" borderId="179" xfId="3741" applyFont="1" applyBorder="1" applyAlignment="1">
      <alignment wrapText="1"/>
    </xf>
    <xf numFmtId="0" fontId="101" fillId="0" borderId="0" xfId="3741" applyFont="1" applyAlignment="1">
      <alignment wrapText="1"/>
    </xf>
    <xf numFmtId="0" fontId="90" fillId="0" borderId="0" xfId="3741" applyFont="1"/>
    <xf numFmtId="0" fontId="59" fillId="0" borderId="179"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59" fillId="0" borderId="177" xfId="3" applyFont="1" applyBorder="1" applyAlignment="1">
      <alignment vertical="center"/>
    </xf>
    <xf numFmtId="0" fontId="59" fillId="0" borderId="163" xfId="3" applyFont="1" applyBorder="1" applyAlignment="1">
      <alignment vertical="center"/>
    </xf>
    <xf numFmtId="0" fontId="59" fillId="0" borderId="178"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0" xfId="3" applyFont="1" applyBorder="1" applyAlignment="1">
      <alignment horizontal="center"/>
    </xf>
    <xf numFmtId="0" fontId="82" fillId="0" borderId="0" xfId="3" applyFont="1" applyAlignment="1">
      <alignment vertical="center" wrapText="1"/>
    </xf>
    <xf numFmtId="0" fontId="59" fillId="0" borderId="130" xfId="3" applyFont="1" applyBorder="1" applyAlignment="1">
      <alignment vertical="center"/>
    </xf>
    <xf numFmtId="0" fontId="82" fillId="0" borderId="130" xfId="3" applyFont="1" applyBorder="1" applyAlignment="1">
      <alignment horizontal="center" vertical="center"/>
    </xf>
    <xf numFmtId="171" fontId="59" fillId="0" borderId="0" xfId="3" applyNumberFormat="1" applyFont="1" applyAlignment="1">
      <alignment horizontal="center"/>
    </xf>
    <xf numFmtId="0" fontId="82" fillId="0" borderId="180"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0" xfId="3" applyFont="1" applyBorder="1" applyAlignment="1" applyProtection="1">
      <alignment vertical="center"/>
      <protection hidden="1"/>
    </xf>
    <xf numFmtId="0" fontId="67" fillId="0" borderId="180"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0" xfId="3" applyFont="1" applyBorder="1" applyAlignment="1">
      <alignment horizontal="right" vertical="center"/>
    </xf>
    <xf numFmtId="9" fontId="59" fillId="16" borderId="124" xfId="3" applyNumberFormat="1" applyFont="1" applyFill="1" applyBorder="1" applyAlignment="1">
      <alignment horizontal="center" vertical="center" shrinkToFit="1"/>
    </xf>
    <xf numFmtId="0" fontId="59" fillId="15" borderId="124" xfId="3" applyFont="1" applyFill="1" applyBorder="1" applyAlignment="1">
      <alignment vertical="center" shrinkToFit="1"/>
    </xf>
    <xf numFmtId="164" fontId="67" fillId="0" borderId="201"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1"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4" xfId="3" applyFont="1" applyBorder="1" applyAlignment="1">
      <alignment horizontal="center" vertical="center"/>
    </xf>
    <xf numFmtId="0" fontId="67" fillId="0" borderId="124" xfId="3741" applyFont="1" applyBorder="1" applyAlignment="1">
      <alignment horizontal="center" vertical="center" wrapText="1"/>
    </xf>
    <xf numFmtId="0" fontId="67" fillId="0" borderId="124"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3" xfId="3" applyFont="1" applyBorder="1" applyAlignment="1">
      <alignment vertical="center"/>
    </xf>
    <xf numFmtId="0" fontId="59" fillId="0" borderId="125" xfId="3" applyFont="1" applyBorder="1" applyAlignment="1">
      <alignment vertical="center"/>
    </xf>
    <xf numFmtId="0" fontId="59" fillId="0" borderId="122" xfId="3" applyFont="1" applyBorder="1" applyAlignment="1">
      <alignment vertical="center"/>
    </xf>
    <xf numFmtId="0" fontId="59" fillId="22" borderId="123" xfId="3" applyFont="1" applyFill="1" applyBorder="1" applyAlignment="1">
      <alignment vertical="center"/>
    </xf>
    <xf numFmtId="0" fontId="59" fillId="22" borderId="125" xfId="3" applyFont="1" applyFill="1" applyBorder="1" applyAlignment="1">
      <alignment vertical="center"/>
    </xf>
    <xf numFmtId="0" fontId="59" fillId="22" borderId="202"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203" xfId="3" applyFont="1" applyFill="1" applyBorder="1" applyAlignment="1">
      <alignment horizontal="left"/>
    </xf>
    <xf numFmtId="0" fontId="67" fillId="0" borderId="0" xfId="3" applyFont="1" applyAlignment="1">
      <alignment horizontal="left" vertical="center"/>
    </xf>
    <xf numFmtId="0" fontId="59" fillId="0" borderId="195" xfId="3" applyFont="1" applyBorder="1" applyAlignment="1">
      <alignment vertical="center"/>
    </xf>
    <xf numFmtId="0" fontId="59" fillId="0" borderId="171" xfId="3" applyFont="1" applyBorder="1" applyAlignment="1">
      <alignment vertical="center"/>
    </xf>
    <xf numFmtId="0" fontId="67" fillId="0" borderId="171" xfId="3" applyFont="1" applyBorder="1" applyAlignment="1">
      <alignment horizontal="left" vertical="center"/>
    </xf>
    <xf numFmtId="0" fontId="67" fillId="0" borderId="171" xfId="3" applyFont="1" applyBorder="1" applyAlignment="1">
      <alignment horizontal="center" vertical="center"/>
    </xf>
    <xf numFmtId="0" fontId="59" fillId="0" borderId="204" xfId="3" applyFont="1" applyBorder="1" applyAlignment="1">
      <alignment vertical="center"/>
    </xf>
    <xf numFmtId="38" fontId="57" fillId="0" borderId="2" xfId="0" applyNumberFormat="1" applyFont="1" applyFill="1" applyBorder="1" applyAlignment="1" applyProtection="1">
      <alignment horizontal="right"/>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38" fontId="57" fillId="0" borderId="2" xfId="9" applyNumberFormat="1" applyFont="1" applyFill="1" applyBorder="1" applyAlignment="1" applyProtection="1">
      <alignment horizontal="right" vertical="center"/>
      <protection locked="0"/>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0" fontId="109" fillId="0" borderId="0" xfId="4015" applyFont="1"/>
    <xf numFmtId="0" fontId="109" fillId="0" borderId="0" xfId="4015" applyFont="1" applyFill="1"/>
    <xf numFmtId="0" fontId="109" fillId="0" borderId="0" xfId="4015" applyFont="1"/>
    <xf numFmtId="0" fontId="109" fillId="0" borderId="0" xfId="4015" applyFont="1"/>
    <xf numFmtId="0" fontId="109" fillId="0" borderId="0" xfId="4015" applyFont="1"/>
    <xf numFmtId="0" fontId="109" fillId="0" borderId="0" xfId="4015" applyFont="1"/>
    <xf numFmtId="184" fontId="2" fillId="0" borderId="154" xfId="4019" applyNumberFormat="1" applyBorder="1" applyAlignment="1" applyProtection="1">
      <alignment horizontal="center" vertical="top"/>
      <protection locked="0"/>
    </xf>
    <xf numFmtId="38" fontId="2" fillId="0" borderId="154" xfId="4019" applyNumberFormat="1" applyBorder="1" applyAlignment="1" applyProtection="1">
      <alignment horizontal="right" vertical="top"/>
      <protection locked="0"/>
    </xf>
    <xf numFmtId="38" fontId="2" fillId="0" borderId="206" xfId="4019" applyNumberFormat="1" applyBorder="1" applyAlignment="1" applyProtection="1">
      <alignment horizontal="right" vertical="top"/>
      <protection locked="0"/>
    </xf>
    <xf numFmtId="0" fontId="2" fillId="0" borderId="77" xfId="4015" applyBorder="1" applyAlignment="1">
      <alignment horizontal="center"/>
    </xf>
    <xf numFmtId="0" fontId="2" fillId="0" borderId="207" xfId="4019" applyBorder="1" applyAlignment="1" applyProtection="1">
      <alignment horizontal="center" vertical="top"/>
      <protection locked="0"/>
    </xf>
    <xf numFmtId="0" fontId="2" fillId="0" borderId="154" xfId="4019" applyBorder="1" applyAlignment="1" applyProtection="1">
      <alignment horizontal="center" vertical="top"/>
      <protection locked="0"/>
    </xf>
    <xf numFmtId="0" fontId="2" fillId="0" borderId="154" xfId="4019" applyFont="1" applyBorder="1" applyAlignment="1" applyProtection="1">
      <alignment horizontal="center" vertical="top"/>
      <protection locked="0"/>
    </xf>
    <xf numFmtId="0" fontId="2" fillId="0" borderId="154" xfId="4019" applyBorder="1" applyAlignment="1" applyProtection="1">
      <alignment horizontal="left" vertical="top" wrapText="1"/>
      <protection locked="0"/>
    </xf>
    <xf numFmtId="0" fontId="2" fillId="0" borderId="205" xfId="4019" applyBorder="1" applyAlignment="1" applyProtection="1">
      <alignment horizontal="left" vertical="top" wrapText="1"/>
      <protection locked="0"/>
    </xf>
    <xf numFmtId="49" fontId="133" fillId="0" borderId="105" xfId="4017" applyNumberFormat="1" applyFont="1" applyBorder="1" applyAlignment="1" applyProtection="1">
      <alignment horizontal="center" vertical="center"/>
      <protection locked="0"/>
    </xf>
    <xf numFmtId="0" fontId="102" fillId="0" borderId="105" xfId="4017" applyFont="1" applyBorder="1" applyProtection="1">
      <protection locked="0"/>
    </xf>
    <xf numFmtId="49" fontId="133" fillId="0" borderId="107" xfId="4017" applyNumberFormat="1" applyFont="1" applyBorder="1" applyAlignment="1" applyProtection="1">
      <alignment horizontal="center" vertical="center"/>
      <protection locked="0"/>
    </xf>
    <xf numFmtId="0" fontId="109" fillId="0" borderId="0" xfId="4015" applyFont="1" applyAlignment="1">
      <alignment vertical="top"/>
    </xf>
    <xf numFmtId="164" fontId="64" fillId="0" borderId="0" xfId="0" applyNumberFormat="1" applyFont="1" applyAlignment="1">
      <alignment vertical="top"/>
    </xf>
    <xf numFmtId="0" fontId="59" fillId="0" borderId="0" xfId="0" applyFont="1" applyAlignment="1">
      <alignment vertical="top" wrapText="1"/>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2" xfId="12" applyNumberFormat="1" applyFont="1" applyBorder="1" applyAlignment="1" applyProtection="1">
      <alignment horizontal="left" vertical="center" indent="1"/>
      <protection locked="0"/>
    </xf>
    <xf numFmtId="0" fontId="15" fillId="0" borderId="125"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3" xfId="12"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5"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6" fillId="0" borderId="131"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2"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09"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3"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3"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8"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3"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protection hidden="1"/>
    </xf>
    <xf numFmtId="0" fontId="66" fillId="16" borderId="144" xfId="0" applyFont="1" applyFill="1" applyBorder="1" applyAlignment="1" applyProtection="1">
      <alignment horizontal="left" vertical="center" indent="1"/>
      <protection hidden="1"/>
    </xf>
    <xf numFmtId="0" fontId="66" fillId="3" borderId="144" xfId="0" applyFont="1" applyFill="1" applyBorder="1" applyAlignment="1" applyProtection="1">
      <alignment horizontal="left" vertical="center"/>
    </xf>
    <xf numFmtId="0" fontId="66" fillId="3" borderId="145"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4" xfId="0" applyFont="1" applyBorder="1" applyAlignment="1" applyProtection="1">
      <alignment horizontal="left" vertical="center" wrapText="1" indent="1"/>
    </xf>
    <xf numFmtId="0" fontId="64" fillId="0" borderId="145"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3" xfId="0" applyFont="1" applyFill="1" applyBorder="1" applyAlignment="1" applyProtection="1">
      <alignment horizontal="left" vertical="center"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7" xfId="19" applyFont="1" applyFill="1" applyBorder="1" applyAlignment="1">
      <alignment horizontal="center" vertical="center"/>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4"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8" xfId="18" applyFont="1" applyBorder="1" applyAlignment="1" applyProtection="1">
      <alignment horizontal="center" vertical="top" wrapText="1"/>
      <protection locked="0"/>
    </xf>
    <xf numFmtId="0" fontId="8" fillId="0" borderId="139"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8" xfId="18" applyFont="1" applyBorder="1" applyAlignment="1" applyProtection="1">
      <alignment horizontal="center" vertical="top" wrapText="1"/>
      <protection locked="0"/>
    </xf>
    <xf numFmtId="0" fontId="51" fillId="0" borderId="139"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83" fillId="0" borderId="163" xfId="3740" applyFont="1" applyBorder="1" applyAlignment="1">
      <alignment horizontal="left" vertical="center" wrapText="1"/>
    </xf>
    <xf numFmtId="0" fontId="183" fillId="0" borderId="0" xfId="3740" applyFont="1" applyAlignment="1">
      <alignment horizontal="left" vertical="center" wrapText="1"/>
    </xf>
    <xf numFmtId="0" fontId="183" fillId="0" borderId="179" xfId="3740" applyFont="1" applyBorder="1" applyAlignment="1">
      <alignment horizontal="left" vertical="center" wrapText="1"/>
    </xf>
    <xf numFmtId="0" fontId="103" fillId="0" borderId="0" xfId="3741" applyFont="1" applyAlignment="1">
      <alignment horizontal="center" vertical="top" wrapText="1"/>
    </xf>
    <xf numFmtId="0" fontId="103" fillId="0" borderId="179" xfId="3741" applyFont="1" applyBorder="1" applyAlignment="1">
      <alignment horizontal="center" vertical="top" wrapText="1"/>
    </xf>
    <xf numFmtId="0" fontId="59" fillId="0" borderId="189" xfId="3741" applyFont="1" applyBorder="1"/>
    <xf numFmtId="0" fontId="59" fillId="0" borderId="187" xfId="3741" applyFont="1" applyBorder="1"/>
    <xf numFmtId="0" fontId="59" fillId="0" borderId="186" xfId="3741" applyFont="1" applyBorder="1"/>
    <xf numFmtId="0" fontId="59" fillId="0" borderId="184" xfId="3741" applyFont="1" applyBorder="1"/>
    <xf numFmtId="0" fontId="67" fillId="0" borderId="182" xfId="3741" applyFont="1" applyBorder="1"/>
    <xf numFmtId="0" fontId="67" fillId="0" borderId="77" xfId="3741" applyFont="1" applyBorder="1"/>
    <xf numFmtId="166" fontId="59" fillId="0" borderId="21" xfId="3" applyNumberFormat="1" applyFont="1" applyBorder="1" applyAlignment="1">
      <alignment horizontal="left" vertical="center" indent="1"/>
    </xf>
    <xf numFmtId="166" fontId="59" fillId="0" borderId="196" xfId="3" applyNumberFormat="1" applyFont="1" applyBorder="1" applyAlignment="1">
      <alignment horizontal="left" vertical="center" indent="1"/>
    </xf>
    <xf numFmtId="0" fontId="59" fillId="66" borderId="182" xfId="3741" applyFont="1" applyFill="1" applyBorder="1"/>
    <xf numFmtId="0" fontId="59" fillId="66" borderId="77" xfId="3741" applyFont="1" applyFill="1" applyBorder="1"/>
    <xf numFmtId="0" fontId="67" fillId="0" borderId="171" xfId="3741" applyFont="1" applyBorder="1" applyAlignment="1">
      <alignment horizontal="center" wrapText="1"/>
    </xf>
    <xf numFmtId="0" fontId="67" fillId="0" borderId="195" xfId="3741" applyFont="1" applyBorder="1" applyAlignment="1">
      <alignment horizontal="center" wrapText="1"/>
    </xf>
    <xf numFmtId="0" fontId="103" fillId="0" borderId="194"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3" xfId="3741" applyFont="1" applyBorder="1"/>
    <xf numFmtId="0" fontId="59" fillId="0" borderId="190" xfId="3741" applyFont="1" applyBorder="1"/>
    <xf numFmtId="0" fontId="59" fillId="0" borderId="189" xfId="3741" applyFont="1" applyBorder="1" applyAlignment="1">
      <alignment wrapText="1"/>
    </xf>
    <xf numFmtId="0" fontId="59" fillId="0" borderId="187" xfId="3741" applyFont="1" applyBorder="1" applyAlignment="1">
      <alignment wrapText="1"/>
    </xf>
    <xf numFmtId="0" fontId="59" fillId="0" borderId="125" xfId="3" applyFont="1" applyBorder="1" applyAlignment="1">
      <alignment horizontal="left" vertical="center" indent="1"/>
    </xf>
    <xf numFmtId="0" fontId="59" fillId="0" borderId="197" xfId="3" applyFont="1" applyBorder="1" applyAlignment="1">
      <alignment horizontal="left" vertical="center"/>
    </xf>
    <xf numFmtId="0" fontId="59" fillId="0" borderId="131" xfId="3" applyFont="1" applyBorder="1" applyAlignment="1" applyProtection="1">
      <alignment horizontal="center" vertical="center"/>
      <protection locked="0"/>
    </xf>
    <xf numFmtId="171" fontId="59" fillId="0" borderId="131" xfId="3" applyNumberFormat="1" applyFont="1" applyBorder="1" applyAlignment="1" applyProtection="1">
      <alignment horizontal="center"/>
      <protection locked="0"/>
    </xf>
    <xf numFmtId="0" fontId="82" fillId="0" borderId="130" xfId="3" applyFont="1" applyBorder="1" applyAlignment="1">
      <alignment horizontal="center" vertical="center" wrapText="1"/>
    </xf>
    <xf numFmtId="0" fontId="59" fillId="0" borderId="131" xfId="3" applyFont="1" applyBorder="1" applyAlignment="1" applyProtection="1">
      <alignment horizontal="center"/>
      <protection locked="0"/>
    </xf>
    <xf numFmtId="0" fontId="82" fillId="0" borderId="130"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0" xfId="3741" applyFont="1" applyBorder="1" applyAlignment="1">
      <alignment horizontal="center"/>
    </xf>
    <xf numFmtId="0" fontId="186" fillId="0" borderId="199" xfId="3741" applyFont="1" applyBorder="1" applyAlignment="1">
      <alignment horizontal="center"/>
    </xf>
    <xf numFmtId="0" fontId="186" fillId="0" borderId="198" xfId="3741" applyFont="1" applyBorder="1" applyAlignment="1">
      <alignment horizontal="center"/>
    </xf>
    <xf numFmtId="0" fontId="59" fillId="0" borderId="180" xfId="3741" applyFont="1" applyBorder="1" applyAlignment="1">
      <alignment wrapText="1"/>
    </xf>
    <xf numFmtId="0" fontId="59" fillId="0" borderId="0" xfId="3741" applyFont="1" applyAlignment="1">
      <alignment wrapText="1"/>
    </xf>
    <xf numFmtId="0" fontId="59" fillId="0" borderId="179" xfId="3741"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7" borderId="78" xfId="3" applyFont="1" applyFill="1" applyBorder="1" applyAlignment="1" applyProtection="1">
      <alignment horizontal="left" vertical="center" indent="1"/>
      <protection locked="0"/>
    </xf>
    <xf numFmtId="0" fontId="67" fillId="67" borderId="78" xfId="3" applyFont="1" applyFill="1" applyBorder="1" applyAlignment="1" applyProtection="1">
      <alignment horizontal="left" vertical="center"/>
      <protection locked="0"/>
    </xf>
    <xf numFmtId="0" fontId="59" fillId="22" borderId="180"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67" borderId="76" xfId="3" applyNumberFormat="1" applyFont="1" applyFill="1" applyBorder="1" applyAlignment="1" applyProtection="1">
      <alignment horizontal="left" vertical="center" indent="1"/>
      <protection locked="0"/>
    </xf>
    <xf numFmtId="0" fontId="67" fillId="0" borderId="202" xfId="3" applyFont="1" applyBorder="1" applyAlignment="1">
      <alignment horizontal="center" vertical="center"/>
    </xf>
    <xf numFmtId="0" fontId="59" fillId="0" borderId="125" xfId="3" applyFont="1" applyBorder="1" applyAlignment="1">
      <alignment horizontal="center" vertical="center"/>
    </xf>
    <xf numFmtId="0" fontId="59" fillId="0" borderId="123"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2" xfId="0" applyFont="1" applyFill="1" applyBorder="1" applyAlignment="1">
      <alignment horizontal="center" vertical="center"/>
    </xf>
    <xf numFmtId="0" fontId="114" fillId="12" borderId="125" xfId="0" applyFont="1" applyFill="1" applyBorder="1" applyAlignment="1">
      <alignment horizontal="center" vertical="center"/>
    </xf>
    <xf numFmtId="0" fontId="114" fillId="12" borderId="150"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2" xfId="0" applyNumberFormat="1" applyFont="1" applyFill="1" applyBorder="1" applyAlignment="1">
      <alignment horizontal="center" vertical="top"/>
    </xf>
    <xf numFmtId="164" fontId="115" fillId="12" borderId="125" xfId="0" applyNumberFormat="1" applyFont="1" applyFill="1" applyBorder="1" applyAlignment="1">
      <alignment horizontal="center" vertical="top"/>
    </xf>
    <xf numFmtId="164" fontId="115" fillId="12" borderId="150"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5" xfId="0" applyNumberFormat="1" applyFont="1" applyBorder="1" applyAlignment="1">
      <alignment horizontal="left" vertical="center" wrapText="1"/>
    </xf>
    <xf numFmtId="0" fontId="59" fillId="0" borderId="123"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3" xfId="3" applyNumberFormat="1" applyFont="1" applyBorder="1" applyProtection="1"/>
    <xf numFmtId="0" fontId="57" fillId="0" borderId="144"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4" xfId="3" applyNumberFormat="1"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6" xfId="3" applyNumberFormat="1" applyFont="1" applyBorder="1" applyAlignment="1" applyProtection="1">
      <protection locked="0"/>
    </xf>
    <xf numFmtId="0" fontId="67" fillId="0" borderId="147"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6"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7"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6" xfId="3" applyNumberFormat="1" applyFont="1" applyBorder="1" applyProtection="1">
      <protection locked="0"/>
    </xf>
    <xf numFmtId="6" fontId="64" fillId="0" borderId="147"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6"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7"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6" xfId="3" applyFont="1" applyBorder="1" applyAlignment="1" applyProtection="1">
      <alignment horizontal="center"/>
    </xf>
    <xf numFmtId="0" fontId="64" fillId="0" borderId="76" xfId="3" applyFont="1" applyBorder="1" applyAlignment="1" applyProtection="1">
      <alignment horizontal="center"/>
    </xf>
    <xf numFmtId="0" fontId="64" fillId="0" borderId="147" xfId="3" applyFont="1" applyBorder="1" applyAlignment="1" applyProtection="1">
      <alignment horizontal="center"/>
    </xf>
    <xf numFmtId="38" fontId="64" fillId="0" borderId="146"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7"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1"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4020">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3" xfId="3850" xr:uid="{AF0E4C36-7FAD-4B36-9FE9-6D9EB1943AD0}"/>
    <cellStyle name="Comma 3 11" xfId="3508" xr:uid="{EFE4C2AF-257B-4B00-84A3-788A75D1DF95}"/>
    <cellStyle name="Comma 3 11 2" xfId="3983" xr:uid="{6314446E-B6B8-4E04-86E4-1BFF36E052FF}"/>
    <cellStyle name="Comma 3 12" xfId="3760" xr:uid="{B7932931-E157-4794-AB09-2E7B5A19F7AF}"/>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3" xfId="3909" xr:uid="{D92613A6-A73F-4F58-B4A5-A66DD000B5C4}"/>
    <cellStyle name="Comma 3 4 2 2 3" xfId="3572" xr:uid="{E04064AF-8D5B-474A-A164-ECAD72B69992}"/>
    <cellStyle name="Comma 3 4 2 2 4" xfId="3824" xr:uid="{CBDD0F43-A41B-4E50-8658-6B9F5C73F7C1}"/>
    <cellStyle name="Comma 3 4 2 3" xfId="3448" xr:uid="{4C0A1973-8449-4512-99AA-605FE5B41319}"/>
    <cellStyle name="Comma 3 4 2 3 2" xfId="3713" xr:uid="{73AC7E66-23DF-4B58-93B2-01A534530147}"/>
    <cellStyle name="Comma 3 4 2 3 3" xfId="3949" xr:uid="{AECF2EC0-F85F-4ACD-B606-CA63B686C4DB}"/>
    <cellStyle name="Comma 3 4 2 4" xfId="2948" xr:uid="{E0A3DC83-1792-4502-9B85-BE13B72125D0}"/>
    <cellStyle name="Comma 3 4 2 4 2" xfId="3617" xr:uid="{DCBA6CE1-3F75-4542-8A63-8887027FE4C4}"/>
    <cellStyle name="Comma 3 4 2 4 3" xfId="3869" xr:uid="{1118F453-03FE-4E8B-B5ED-8AE066937A64}"/>
    <cellStyle name="Comma 3 4 2 5" xfId="3527" xr:uid="{543CE7C5-B4AB-4997-941E-024611540791}"/>
    <cellStyle name="Comma 3 4 2 5 2" xfId="4002" xr:uid="{B8F40105-8F07-4C81-B8FC-C7FAD3E64E5D}"/>
    <cellStyle name="Comma 3 4 2 6" xfId="3779" xr:uid="{4A20BD2C-FEC9-42C6-9548-8E621E67A0AF}"/>
    <cellStyle name="Comma 3 4 3" xfId="2886" xr:uid="{B4E3D386-4C3F-4F19-8DB4-D1B17CD29374}"/>
    <cellStyle name="Comma 3 4 3 2" xfId="2982" xr:uid="{056404B3-5C18-4C5C-A3B9-08979F4978C2}"/>
    <cellStyle name="Comma 3 4 3 2 2" xfId="3651" xr:uid="{D33F01AF-8027-4511-B56E-BE81C528FE09}"/>
    <cellStyle name="Comma 3 4 3 2 3" xfId="3892" xr:uid="{502FD0E2-8E1D-407F-8BDD-12F342F41C6F}"/>
    <cellStyle name="Comma 3 4 3 3" xfId="3555" xr:uid="{C92B8B04-10FF-4182-8913-A1DA291D25C2}"/>
    <cellStyle name="Comma 3 4 3 4" xfId="3807" xr:uid="{6A0E0A5B-9C44-4066-B728-02F94EBEECB8}"/>
    <cellStyle name="Comma 3 4 4" xfId="3424" xr:uid="{4F1C737B-D85A-402A-8AD7-C59FB17C0CFC}"/>
    <cellStyle name="Comma 3 4 4 2" xfId="3696" xr:uid="{76DC5773-C727-4A82-9030-A6E21916AE21}"/>
    <cellStyle name="Comma 3 4 4 3" xfId="3932" xr:uid="{E3CDBAD1-1C0D-405F-B9AB-C235DC672FCF}"/>
    <cellStyle name="Comma 3 4 5" xfId="2931" xr:uid="{1AB89C2F-68FE-47B6-A33C-DDF6A14AC0BD}"/>
    <cellStyle name="Comma 3 4 5 2" xfId="3600" xr:uid="{DFFDE328-BC63-47FC-ADF5-CB0CA6E7B6C8}"/>
    <cellStyle name="Comma 3 4 5 3" xfId="3852" xr:uid="{5A90CCE3-B0DA-4EF3-ACAA-6EF20D29425D}"/>
    <cellStyle name="Comma 3 4 6" xfId="3510" xr:uid="{AEF1870C-FE26-4342-9D6C-C02A94A4181C}"/>
    <cellStyle name="Comma 3 4 6 2" xfId="3985" xr:uid="{A774121C-4ED9-408E-91BF-1D16991BAC2D}"/>
    <cellStyle name="Comma 3 4 7" xfId="3762" xr:uid="{2831374F-34D9-44A4-9AF4-39C612F0F558}"/>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3" xfId="3913" xr:uid="{9254C66A-1835-4D9B-8EE3-0809968DB8D9}"/>
    <cellStyle name="Comma 3 5 2 2 3" xfId="3576" xr:uid="{01426F27-B567-4B2A-BFA0-C29176F9529F}"/>
    <cellStyle name="Comma 3 5 2 2 4" xfId="3828" xr:uid="{D3E43698-0D0A-4C11-A7B4-113C26BA021C}"/>
    <cellStyle name="Comma 3 5 2 3" xfId="3452" xr:uid="{8F116F01-8EC7-415E-B53F-03BD58197742}"/>
    <cellStyle name="Comma 3 5 2 3 2" xfId="3717" xr:uid="{D51EE3AA-1E0B-4DE9-B673-3537F8C83E11}"/>
    <cellStyle name="Comma 3 5 2 3 3" xfId="3953" xr:uid="{FDFC33A5-628E-4FE4-A290-22AAEE246C1B}"/>
    <cellStyle name="Comma 3 5 2 4" xfId="2952" xr:uid="{20996558-6FFD-4C33-8575-38F6DBA626A3}"/>
    <cellStyle name="Comma 3 5 2 4 2" xfId="3621" xr:uid="{27053ED5-8166-4A31-9A7E-036D191E62A4}"/>
    <cellStyle name="Comma 3 5 2 4 3" xfId="3873" xr:uid="{EF58B309-D910-4CCD-A623-99881ABD3BD4}"/>
    <cellStyle name="Comma 3 5 2 5" xfId="3531" xr:uid="{D014B1BE-8956-48FB-8061-223A2444B888}"/>
    <cellStyle name="Comma 3 5 2 5 2" xfId="4006" xr:uid="{121891DA-94E1-4D75-86F4-FCBBF7EE0C44}"/>
    <cellStyle name="Comma 3 5 2 6" xfId="3783" xr:uid="{C4AA4326-D9FC-4F6C-A21E-D60E9886E725}"/>
    <cellStyle name="Comma 3 5 3" xfId="2890" xr:uid="{8DED1700-37BC-4DEB-8908-183FECA7AD2B}"/>
    <cellStyle name="Comma 3 5 3 2" xfId="2991" xr:uid="{616C6411-5912-4A05-B822-26D039962FF1}"/>
    <cellStyle name="Comma 3 5 3 2 2" xfId="3660" xr:uid="{DB316F9A-AFEE-4790-8801-6BC8E7798880}"/>
    <cellStyle name="Comma 3 5 3 2 3" xfId="3896" xr:uid="{B57535EF-C102-4FC6-88E7-24E8FF62B532}"/>
    <cellStyle name="Comma 3 5 3 3" xfId="3559" xr:uid="{9EA85F05-5CF3-4CFE-9812-6C7C3CBA00BA}"/>
    <cellStyle name="Comma 3 5 3 4" xfId="3811" xr:uid="{25FBC90F-82B8-45A9-BE15-0AAB715854B6}"/>
    <cellStyle name="Comma 3 5 4" xfId="3434" xr:uid="{9667342D-ABB3-452F-B960-77B17D69792D}"/>
    <cellStyle name="Comma 3 5 4 2" xfId="3700" xr:uid="{F83C68D2-717F-4975-A0AB-81F49BB11E3C}"/>
    <cellStyle name="Comma 3 5 4 3" xfId="3936" xr:uid="{F43631E8-08F5-407A-9942-96F2A7D5C03A}"/>
    <cellStyle name="Comma 3 5 5" xfId="2935" xr:uid="{FFC6E611-FEFD-4D94-A987-5EC9C9496D39}"/>
    <cellStyle name="Comma 3 5 5 2" xfId="3604" xr:uid="{11BEE5D8-4547-4655-B2F6-A0B892559211}"/>
    <cellStyle name="Comma 3 5 5 3" xfId="3856" xr:uid="{4D7312C9-8C7C-4FF7-99DC-C108F4DE009F}"/>
    <cellStyle name="Comma 3 5 6" xfId="3514" xr:uid="{0A4D5C66-EF7C-42BD-98A5-A9CD187D38A5}"/>
    <cellStyle name="Comma 3 5 6 2" xfId="3989" xr:uid="{EB0654D9-B233-421C-AC96-985CC15B54B6}"/>
    <cellStyle name="Comma 3 5 7" xfId="3766" xr:uid="{2DF8F4B0-4CF5-43C5-9702-13D85AF6E684}"/>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3" xfId="3917" xr:uid="{24D6EB43-D04D-4977-BCBF-AFFF43007FD9}"/>
    <cellStyle name="Comma 3 6 2 2 3" xfId="3580" xr:uid="{B2CE409E-9D40-4B69-8B10-BEF12F44CAE6}"/>
    <cellStyle name="Comma 3 6 2 2 4" xfId="3832" xr:uid="{1D8FC01A-3CE1-43A7-92CF-4AC2C67D807C}"/>
    <cellStyle name="Comma 3 6 2 3" xfId="3456" xr:uid="{19E13F85-9DEB-46B6-88D0-3E0159468281}"/>
    <cellStyle name="Comma 3 6 2 3 2" xfId="3721" xr:uid="{172A5543-0D9C-4C33-A386-3E65684B06E9}"/>
    <cellStyle name="Comma 3 6 2 3 3" xfId="3957" xr:uid="{58614A96-72E7-4106-A1AB-01827F6588A4}"/>
    <cellStyle name="Comma 3 6 2 4" xfId="2956" xr:uid="{A3FF41A8-82B3-4934-A392-049227BBD6CC}"/>
    <cellStyle name="Comma 3 6 2 4 2" xfId="3625" xr:uid="{78B8B414-F0ED-4A8B-A6E4-B0D4CFF7BF34}"/>
    <cellStyle name="Comma 3 6 2 4 3" xfId="3877" xr:uid="{84B58EDD-A6DC-4E23-BA8A-F56A574BD2E2}"/>
    <cellStyle name="Comma 3 6 2 5" xfId="3535" xr:uid="{D993457B-BB89-4413-B123-2EE2A62D718C}"/>
    <cellStyle name="Comma 3 6 2 5 2" xfId="4010" xr:uid="{568CD788-ACF0-4121-9CA7-DF3777E5CDED}"/>
    <cellStyle name="Comma 3 6 2 6" xfId="3787" xr:uid="{21D51EF4-CE01-4E56-B330-72490FD3B0D7}"/>
    <cellStyle name="Comma 3 6 3" xfId="2894" xr:uid="{878C4A08-86BD-49B7-A0A9-8A77F1045F64}"/>
    <cellStyle name="Comma 3 6 3 2" xfId="2995" xr:uid="{21565DD1-545A-4387-98D5-DA1DDE5800F6}"/>
    <cellStyle name="Comma 3 6 3 2 2" xfId="3664" xr:uid="{CE01EFA7-944E-4C88-836D-C73BEB9AA2D7}"/>
    <cellStyle name="Comma 3 6 3 2 3" xfId="3900" xr:uid="{67AE523F-639F-4E5B-A71D-754B1F9F76D3}"/>
    <cellStyle name="Comma 3 6 3 3" xfId="3563" xr:uid="{65993E7F-2B56-4C43-BEBC-BF40D30BA7C1}"/>
    <cellStyle name="Comma 3 6 3 4" xfId="3815" xr:uid="{ADAC35BC-68BA-4D9F-8A5B-0F4750BE5293}"/>
    <cellStyle name="Comma 3 6 4" xfId="3438" xr:uid="{E14B93A6-95BB-424A-B590-DA47656FABC7}"/>
    <cellStyle name="Comma 3 6 4 2" xfId="3704" xr:uid="{D86C5ADA-E3E5-4DE5-A865-D51ACA4464EE}"/>
    <cellStyle name="Comma 3 6 4 3" xfId="3940" xr:uid="{92D9DF7E-6F8D-4B69-8811-178130F6B725}"/>
    <cellStyle name="Comma 3 6 5" xfId="2939" xr:uid="{2D4036A9-4261-4BED-A372-C431896DCDFF}"/>
    <cellStyle name="Comma 3 6 5 2" xfId="3608" xr:uid="{7B471FB4-98BA-4914-BEB5-BCD1D03B1023}"/>
    <cellStyle name="Comma 3 6 5 3" xfId="3860" xr:uid="{BF8EB105-5F13-469A-9814-E4BAF45465F4}"/>
    <cellStyle name="Comma 3 6 6" xfId="3518" xr:uid="{1080763B-E43B-4A51-B60E-3351A50A5F10}"/>
    <cellStyle name="Comma 3 6 6 2" xfId="3993" xr:uid="{C3F5A0FC-B5EC-4075-B509-CA59C8CC8EC1}"/>
    <cellStyle name="Comma 3 6 7" xfId="3770" xr:uid="{09B71F02-A0BB-4B3C-A239-D7C9E9084B6D}"/>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3" xfId="3907" xr:uid="{904B40C2-AC36-46E2-B605-C390C78A86AF}"/>
    <cellStyle name="Comma 3 7 2 3" xfId="3570" xr:uid="{F6123F3E-F786-4442-84A7-86A08CC76F03}"/>
    <cellStyle name="Comma 3 7 2 4" xfId="3822" xr:uid="{6560997C-1BFD-443B-AC53-B9CA34A3FA00}"/>
    <cellStyle name="Comma 3 7 3" xfId="3446" xr:uid="{6BCC77A9-5E6A-42FB-A650-A80C2B2AFF75}"/>
    <cellStyle name="Comma 3 7 3 2" xfId="3711" xr:uid="{1F93ABAE-D387-40E1-874B-F6B0FF10DD60}"/>
    <cellStyle name="Comma 3 7 3 3" xfId="3947" xr:uid="{6001DBFF-35C5-4531-8C1D-CA8A95F5CDFD}"/>
    <cellStyle name="Comma 3 7 4" xfId="2946" xr:uid="{7874155A-6C6D-499D-8A7C-5353A95E2735}"/>
    <cellStyle name="Comma 3 7 4 2" xfId="3615" xr:uid="{20059CE6-6314-459E-B521-5921E40A756C}"/>
    <cellStyle name="Comma 3 7 4 3" xfId="3867" xr:uid="{175AD1D3-9FD9-4F18-89F0-7681EA406AED}"/>
    <cellStyle name="Comma 3 7 5" xfId="3525" xr:uid="{14E23C52-4FA2-4526-BF01-6D29D8541278}"/>
    <cellStyle name="Comma 3 7 5 2" xfId="4000" xr:uid="{EFC25247-A7D4-43A2-9C7A-35EE896EF83C}"/>
    <cellStyle name="Comma 3 7 6" xfId="3777" xr:uid="{2DA6D166-617E-4B22-ABE8-3BD8A708DED2}"/>
    <cellStyle name="Comma 3 8" xfId="2884" xr:uid="{C9B36F34-9130-45D3-A320-1346E09E7C87}"/>
    <cellStyle name="Comma 3 8 2" xfId="2971" xr:uid="{C66229D5-25D3-410F-BC0E-43D220C9A4F2}"/>
    <cellStyle name="Comma 3 8 2 2" xfId="3640" xr:uid="{0E63BC05-6BCC-41C7-9EEF-4F073555BFC4}"/>
    <cellStyle name="Comma 3 8 2 3" xfId="3890" xr:uid="{2363A8FB-54D3-47F1-9B09-293DF848A488}"/>
    <cellStyle name="Comma 3 8 3" xfId="3553" xr:uid="{42BDFCAE-3765-4057-9BC9-F0181DC541E3}"/>
    <cellStyle name="Comma 3 8 4" xfId="3805" xr:uid="{9FBFE37F-42A7-4146-B356-A1FE20A42E66}"/>
    <cellStyle name="Comma 3 9" xfId="3039" xr:uid="{3C8CAE85-D6B1-4E5C-BEC0-FA4EEF3BBF18}"/>
    <cellStyle name="Comma 3 9 2" xfId="3694" xr:uid="{E3E723CF-DE91-4D77-91A1-CED072A62EB6}"/>
    <cellStyle name="Comma 3 9 3" xfId="3930" xr:uid="{1F808972-3F60-41ED-BF35-6E3B0A80671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3" xfId="3920" xr:uid="{21E83BF3-9C50-4771-9DA4-5065B1A2E2FA}"/>
    <cellStyle name="Comma 5 2 3" xfId="3583" xr:uid="{62BEFAF8-5C29-4B53-B718-116974703191}"/>
    <cellStyle name="Comma 5 2 4" xfId="3835" xr:uid="{9F9C69B3-38FC-4D28-AEFF-8B18E84BE5E1}"/>
    <cellStyle name="Comma 5 3" xfId="3459" xr:uid="{0B6DD5F4-4107-4CA4-A2E3-D7AB3A9A1363}"/>
    <cellStyle name="Comma 5 3 2" xfId="3724" xr:uid="{AB56FAF0-0D2B-4E84-ABDF-D24B4DFBDEFF}"/>
    <cellStyle name="Comma 5 3 3" xfId="3960" xr:uid="{97CBA849-F849-4289-84A4-8CE127E88F10}"/>
    <cellStyle name="Comma 5 4" xfId="2959" xr:uid="{BD4641BD-368C-4B1B-8C20-165DBCF2D8FC}"/>
    <cellStyle name="Comma 5 4 2" xfId="3628" xr:uid="{8B085F66-FD5D-4DD6-944F-EEA6294E187A}"/>
    <cellStyle name="Comma 5 4 3" xfId="3880" xr:uid="{B30CBD6D-96F7-4284-BA7F-5C53DA844199}"/>
    <cellStyle name="Comma 5 5" xfId="3538" xr:uid="{9CA2F56D-1D50-47EC-92E7-BED589E2846D}"/>
    <cellStyle name="Comma 5 5 2" xfId="4013" xr:uid="{B21C9D74-FB41-4E60-9D05-198954241A2A}"/>
    <cellStyle name="Comma 5 6" xfId="3790" xr:uid="{5FE8A8DA-9D40-44F7-ADAC-F9770538979F}"/>
    <cellStyle name="Comma 58 2" xfId="1739" xr:uid="{0A8BC880-0544-4B8B-85FA-3F064FCB882F}"/>
    <cellStyle name="Comma 6" xfId="3480" xr:uid="{2F647900-AECC-4EC3-B7E1-70600B07B3B9}"/>
    <cellStyle name="Comma 6 2" xfId="3727" xr:uid="{478A7263-B51A-4F65-99EC-CEC9C2D4F793}"/>
    <cellStyle name="Comma 6 3" xfId="3963" xr:uid="{BE15F422-D84C-48AE-9A1C-36AD2EB2D553}"/>
    <cellStyle name="Comma 7" xfId="3489" xr:uid="{B85F0E73-3223-4595-8AAA-D12E56954A25}"/>
    <cellStyle name="Comma 8" xfId="3737" xr:uid="{0BE5ACB8-7A2C-41BF-AAE3-6976D131805D}"/>
    <cellStyle name="Comma 9" xfId="4016" xr:uid="{E2A98BC0-7D73-4131-B888-8A183CEDBBC3}"/>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4015" xr:uid="{35C69388-070E-47ED-9428-4F20B6A56F67}"/>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3" xfId="3902" xr:uid="{F59ECFFE-BCF8-421D-A417-85F4876BD301}"/>
    <cellStyle name="Normal 3 10 2 3" xfId="3565" xr:uid="{02304A72-2AC1-4481-8B44-9DBF1C9C679E}"/>
    <cellStyle name="Normal 3 10 2 4" xfId="3817" xr:uid="{55997B74-EF33-4D91-A4F4-1855A9DA09D6}"/>
    <cellStyle name="Normal 3 10 3" xfId="3441" xr:uid="{5AD22851-273F-402C-B72C-A848480C2C01}"/>
    <cellStyle name="Normal 3 10 3 2" xfId="3706" xr:uid="{6396958C-2FEE-4741-9C04-0D953DBD4B2B}"/>
    <cellStyle name="Normal 3 10 3 3" xfId="3942" xr:uid="{91BE3E7F-D6EE-4D61-A7C0-3671B794D5DD}"/>
    <cellStyle name="Normal 3 10 4" xfId="2941" xr:uid="{462CDA6A-0C52-4C07-B947-2BC7D626CDC2}"/>
    <cellStyle name="Normal 3 10 4 2" xfId="3610" xr:uid="{6911D803-67A5-4D99-BFDD-EEA0E5856FFC}"/>
    <cellStyle name="Normal 3 10 4 3" xfId="3862" xr:uid="{CA79CC30-6B1B-46DC-BF5E-C568FE7D803B}"/>
    <cellStyle name="Normal 3 10 5" xfId="3520" xr:uid="{A7366CB9-D620-4BFE-85E8-7DDC3FFAF77F}"/>
    <cellStyle name="Normal 3 10 5 2" xfId="3995" xr:uid="{FE98A0E2-036E-427C-A031-CA897E9E723A}"/>
    <cellStyle name="Normal 3 10 6" xfId="3772" xr:uid="{49D43CDF-4195-49F2-83DB-60E9C5575FB2}"/>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3" xfId="3921" xr:uid="{3C6B60E0-F228-48F9-8D30-DCBD100F0F0C}"/>
    <cellStyle name="Normal 3 11 2 3" xfId="3584" xr:uid="{687EC46E-A000-4D42-80C4-AB6653969B40}"/>
    <cellStyle name="Normal 3 11 2 4" xfId="3836" xr:uid="{CF50853C-D3C0-4696-8733-3E742B618EF8}"/>
    <cellStyle name="Normal 3 11 3" xfId="3460" xr:uid="{473FAF2A-6114-441A-921E-EE0D3A1E7E02}"/>
    <cellStyle name="Normal 3 11 3 2" xfId="3725" xr:uid="{FC14E282-5371-431C-A046-680CF234803C}"/>
    <cellStyle name="Normal 3 11 3 3" xfId="3961" xr:uid="{4DA45AEA-2C1E-49DB-A2BC-715648B66A87}"/>
    <cellStyle name="Normal 3 11 4" xfId="2960" xr:uid="{40DC0902-9D4C-42AA-8E56-D6A3EE61A3CF}"/>
    <cellStyle name="Normal 3 11 4 2" xfId="3629" xr:uid="{4A6DDF94-E641-429C-BE70-151C60D2BE02}"/>
    <cellStyle name="Normal 3 11 4 3" xfId="3881" xr:uid="{ED8FFB16-E441-45D5-9CFD-2602B1CFDFFF}"/>
    <cellStyle name="Normal 3 11 5" xfId="3539" xr:uid="{7623E7D9-61BB-49B8-BFD6-E35F56069002}"/>
    <cellStyle name="Normal 3 11 5 2" xfId="4014" xr:uid="{5266087A-11E8-4BED-8DF7-0EB9631C7F0C}"/>
    <cellStyle name="Normal 3 11 6" xfId="3791" xr:uid="{3902EF0C-0D50-4387-BFF6-32B0ABE7DB5F}"/>
    <cellStyle name="Normal 3 12" xfId="30" xr:uid="{CE7437FF-0DB7-410E-9D29-AFC41BAB1D47}"/>
    <cellStyle name="Normal 3 12 2" xfId="2876" xr:uid="{89019A92-E6D6-4AF1-A636-0C9530E78615}"/>
    <cellStyle name="Normal 3 12 2 2" xfId="3545" xr:uid="{2C114EFA-BAE4-4E13-8DEA-0CB8A46AFCC2}"/>
    <cellStyle name="Normal 3 12 2 3" xfId="3797" xr:uid="{86A6155A-E6CA-4338-80A9-2438773F392C}"/>
    <cellStyle name="Normal 3 12 3" xfId="2921" xr:uid="{72794F26-51F0-4D55-886D-1D1D5505C926}"/>
    <cellStyle name="Normal 3 12 3 2" xfId="3590" xr:uid="{2DFDE289-0A01-4BD9-B890-08D3D58BB688}"/>
    <cellStyle name="Normal 3 12 3 3" xfId="3842" xr:uid="{EB247ED3-EB17-4687-9E96-CE04EAABD3F3}"/>
    <cellStyle name="Normal 3 12 4" xfId="3500" xr:uid="{C5A3EFFA-2CF0-491B-BC77-0561BEB79347}"/>
    <cellStyle name="Normal 3 12 4 2" xfId="3975" xr:uid="{5F391AEE-EC26-4D06-BD98-BF015DDBD648}"/>
    <cellStyle name="Normal 3 12 5" xfId="3752" xr:uid="{F09D4CAF-3EFB-4AE4-87ED-73E4438A7F18}"/>
    <cellStyle name="Normal 3 13" xfId="25" xr:uid="{5222AD7C-95CC-4035-B9B7-EAF5571229F0}"/>
    <cellStyle name="Normal 3 13 2" xfId="2961" xr:uid="{E4AE2F3C-F6EF-467F-BE76-66448912965B}"/>
    <cellStyle name="Normal 3 13 2 2" xfId="3630" xr:uid="{0C4C316D-B335-4DE8-B4BA-6BCF12C3253F}"/>
    <cellStyle name="Normal 3 13 2 3" xfId="3882" xr:uid="{651A206F-56D8-4659-A8F1-1D737D6117E6}"/>
    <cellStyle name="Normal 3 13 3" xfId="3495" xr:uid="{5C90E67B-BE9E-4A09-BE46-8EA2C0777640}"/>
    <cellStyle name="Normal 3 13 4" xfId="3747" xr:uid="{CD8A5A5C-2438-4C67-8392-A5BE26152ACC}"/>
    <cellStyle name="Normal 3 14" xfId="2871" xr:uid="{9BC96785-724F-4771-B0E8-0873FA9C0C9E}"/>
    <cellStyle name="Normal 3 14 2" xfId="3017" xr:uid="{7B9A33BF-D1B1-4F8F-B587-EDE13C531914}"/>
    <cellStyle name="Normal 3 14 2 2" xfId="3686" xr:uid="{3055CFB1-19FD-4A7B-8F7F-ED8BEEB24848}"/>
    <cellStyle name="Normal 3 14 2 3" xfId="3922" xr:uid="{772FC2D0-2F37-4981-8498-D302D25B6066}"/>
    <cellStyle name="Normal 3 14 3" xfId="3540" xr:uid="{1FEF3577-6A9F-44CE-B975-AD63EEAC2406}"/>
    <cellStyle name="Normal 3 14 4" xfId="3792" xr:uid="{A473834C-7C45-4107-866F-57CCE1B0B02B}"/>
    <cellStyle name="Normal 3 15" xfId="3481" xr:uid="{93AD2539-2E2D-421F-AF08-E422C8555185}"/>
    <cellStyle name="Normal 3 15 2" xfId="3728" xr:uid="{9FBEFE11-E946-4BC0-8C71-4846E3B94257}"/>
    <cellStyle name="Normal 3 15 3" xfId="3964" xr:uid="{961D8649-D913-4B59-8BD9-D556C75F1281}"/>
    <cellStyle name="Normal 3 16" xfId="3482" xr:uid="{DA5E3B33-0D5D-4015-BC69-CAD4D66474EE}"/>
    <cellStyle name="Normal 3 16 2" xfId="3729" xr:uid="{A14504B8-2B59-45DC-A5B5-3F8CB6B56A7A}"/>
    <cellStyle name="Normal 3 16 3" xfId="3965" xr:uid="{C0F73759-AD43-410D-8BD0-41EA08D64BD0}"/>
    <cellStyle name="Normal 3 17" xfId="2916" xr:uid="{E1470D30-0968-4AB4-86AA-CE8CC35963C2}"/>
    <cellStyle name="Normal 3 17 2" xfId="3585" xr:uid="{254563E4-644F-4A09-AC36-FBE4DD950CA6}"/>
    <cellStyle name="Normal 3 17 3" xfId="3837" xr:uid="{FC2FCDEF-556C-4A5C-963F-4CBE33911CCA}"/>
    <cellStyle name="Normal 3 18" xfId="3490" xr:uid="{5BF230E3-1F3B-4052-A93C-A945A2CA2145}"/>
    <cellStyle name="Normal 3 18 2" xfId="3970" xr:uid="{4215AB4D-8ECC-4E96-A4E5-2B0295A8E58A}"/>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0 3" xfId="3966" xr:uid="{438E66A6-1912-44C0-A693-9BDA03E3C856}"/>
    <cellStyle name="Normal 3 2 11" xfId="2917" xr:uid="{E35462F0-8F70-4525-96D0-17696167AD10}"/>
    <cellStyle name="Normal 3 2 11 2" xfId="3586" xr:uid="{4932E65F-F071-4A37-B3CE-70FD45154E58}"/>
    <cellStyle name="Normal 3 2 11 3" xfId="3838" xr:uid="{53A8350E-F869-4025-9B04-B1A0A76A3B2C}"/>
    <cellStyle name="Normal 3 2 12" xfId="3491" xr:uid="{E6FA6BF8-52AA-49A2-95E3-BF658A677DAB}"/>
    <cellStyle name="Normal 3 2 12 2" xfId="3971" xr:uid="{D117F76D-4820-46D9-A657-99F998429753}"/>
    <cellStyle name="Normal 3 2 13" xfId="21" xr:uid="{25DBC5BC-7E32-4E3B-A20B-D4888C99BA99}"/>
    <cellStyle name="Normal 3 2 14" xfId="3743" xr:uid="{49038CEC-98C1-44DB-9B36-54D5504CE585}"/>
    <cellStyle name="Normal 3 2 2" xfId="18" xr:uid="{00000000-0005-0000-0000-000007000000}"/>
    <cellStyle name="Normal 3 2 2 10" xfId="4017" xr:uid="{CA472FE3-6F7D-48FF-92E3-7D3C50F4EB45}"/>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3" xfId="3969" xr:uid="{8465FE6B-72AA-4BE3-9262-944FD9C5B371}"/>
    <cellStyle name="Normal 3 2 2 3 3" xfId="3499" xr:uid="{D87B35BA-D399-4133-B262-4A0EED1F1321}"/>
    <cellStyle name="Normal 3 2 2 3 4" xfId="3751" xr:uid="{303E4A76-C41A-477B-A9F6-7E8ABDC43377}"/>
    <cellStyle name="Normal 3 2 2 4" xfId="2875" xr:uid="{602BD524-FA18-41D2-A125-18B8D1D6943E}"/>
    <cellStyle name="Normal 3 2 2 4 2" xfId="3544" xr:uid="{98E9EC8A-0583-4C6D-A165-2B499227DFF9}"/>
    <cellStyle name="Normal 3 2 2 4 3" xfId="3796" xr:uid="{7498441D-93D5-47D4-A710-0DC28DC847AA}"/>
    <cellStyle name="Normal 3 2 2 5" xfId="2920" xr:uid="{DF30F75E-C3A9-47A4-A54D-4259E8EB977F}"/>
    <cellStyle name="Normal 3 2 2 5 2" xfId="3589" xr:uid="{0E657184-C9AE-427D-B917-7A0928B66E88}"/>
    <cellStyle name="Normal 3 2 2 5 3" xfId="3841" xr:uid="{3B4AD6A8-E874-4BE7-9CF5-ADE8E308C55C}"/>
    <cellStyle name="Normal 3 2 2 6" xfId="3494" xr:uid="{62B6D280-2B34-43A6-A094-7F89EDC62849}"/>
    <cellStyle name="Normal 3 2 2 6 2" xfId="3974" xr:uid="{422E3C08-BBAE-4D0C-8200-6682545E855E}"/>
    <cellStyle name="Normal 3 2 2 7" xfId="3734" xr:uid="{279AF43C-9DF2-4779-988B-7998645A2B19}"/>
    <cellStyle name="Normal 3 2 2 8" xfId="24" xr:uid="{2C4572D3-A4B4-4D01-8834-280B8EF696AF}"/>
    <cellStyle name="Normal 3 2 2 9" xfId="3746" xr:uid="{B950CDB5-9B49-4473-85CD-0A6E6F2B922C}"/>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3" xfId="3912" xr:uid="{174ACBD2-0840-48DC-9C98-57CB6BC5D2ED}"/>
    <cellStyle name="Normal 3 2 3 2 2 3" xfId="3575" xr:uid="{1985A5BE-3165-4989-B82A-74CBFD2444C0}"/>
    <cellStyle name="Normal 3 2 3 2 2 4" xfId="3827" xr:uid="{E497F085-6DD2-4E24-9BA4-1AFDE787AEA5}"/>
    <cellStyle name="Normal 3 2 3 2 3" xfId="3451" xr:uid="{4F1E9D89-0262-4E12-AE4A-DBFB2899C668}"/>
    <cellStyle name="Normal 3 2 3 2 3 2" xfId="3716" xr:uid="{28CF2699-DE0A-43AB-A7EE-64EFA4C5DCE4}"/>
    <cellStyle name="Normal 3 2 3 2 3 3" xfId="3952" xr:uid="{7B95D4BC-E8AE-47D4-966A-8743814E1090}"/>
    <cellStyle name="Normal 3 2 3 2 4" xfId="2951" xr:uid="{96B1A600-5B80-4469-ACC6-3C100661DD30}"/>
    <cellStyle name="Normal 3 2 3 2 4 2" xfId="3620" xr:uid="{38BA8692-4DAF-4099-A8FA-E58975284D66}"/>
    <cellStyle name="Normal 3 2 3 2 4 3" xfId="3872" xr:uid="{66A69B0D-1DB2-40D7-8E4A-604CC6FF6B46}"/>
    <cellStyle name="Normal 3 2 3 2 5" xfId="3530" xr:uid="{D14F1F0B-62E8-4685-B659-9922CB85EC7B}"/>
    <cellStyle name="Normal 3 2 3 2 5 2" xfId="4005" xr:uid="{4E5B3575-0D76-4931-8871-8242E0B29ED9}"/>
    <cellStyle name="Normal 3 2 3 2 6" xfId="3782" xr:uid="{AFC4902D-5F1F-475A-BCDA-2228D11901D8}"/>
    <cellStyle name="Normal 3 2 3 3" xfId="2889" xr:uid="{4F6148E4-AF14-434E-8B11-1532018A0CE5}"/>
    <cellStyle name="Normal 3 2 3 3 2" xfId="2990" xr:uid="{81BA056D-8D84-4131-B030-7009F8A713E3}"/>
    <cellStyle name="Normal 3 2 3 3 2 2" xfId="3659" xr:uid="{930BD4F0-C881-4A49-9220-B9792DBB7318}"/>
    <cellStyle name="Normal 3 2 3 3 2 3" xfId="3895" xr:uid="{332106A1-7DCE-4C19-944B-EA7FA0460FF9}"/>
    <cellStyle name="Normal 3 2 3 3 3" xfId="3558" xr:uid="{3BE8AF4C-F0B1-406D-A3AC-34892377E476}"/>
    <cellStyle name="Normal 3 2 3 3 4" xfId="3810" xr:uid="{9C55AED8-9CED-4949-883D-E642635CECD7}"/>
    <cellStyle name="Normal 3 2 3 4" xfId="3433" xr:uid="{3574DC78-43D8-4F4C-B987-9DF72AD96737}"/>
    <cellStyle name="Normal 3 2 3 4 2" xfId="3699" xr:uid="{75F26E6B-3602-403D-A829-0FB94AA11660}"/>
    <cellStyle name="Normal 3 2 3 4 3" xfId="3935" xr:uid="{20C8947C-CE99-46A6-A308-A2B7B370CB26}"/>
    <cellStyle name="Normal 3 2 3 5" xfId="2934" xr:uid="{BB4426AC-2E73-406E-B9D3-F75990E4C9B8}"/>
    <cellStyle name="Normal 3 2 3 5 2" xfId="3603" xr:uid="{0C0905AB-CCFE-4156-99F4-D614F937B5BF}"/>
    <cellStyle name="Normal 3 2 3 5 3" xfId="3855" xr:uid="{9AEBD693-647C-4001-BB71-E0DC6A585EFF}"/>
    <cellStyle name="Normal 3 2 3 6" xfId="3513" xr:uid="{0FA0B881-11DB-45DF-9804-648C3EFF6988}"/>
    <cellStyle name="Normal 3 2 3 6 2" xfId="3988" xr:uid="{B73B19B7-DDAD-4328-B5EE-E386B3F91F72}"/>
    <cellStyle name="Normal 3 2 3 7" xfId="3765" xr:uid="{65081363-B2E5-4662-9348-0D724DEE3191}"/>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3" xfId="3906" xr:uid="{477927A7-4735-44B9-9614-967C8BCCBF0A}"/>
    <cellStyle name="Normal 3 2 4 2 2 3" xfId="3569" xr:uid="{8BBD2548-1249-420D-BEA5-8369882A6348}"/>
    <cellStyle name="Normal 3 2 4 2 2 4" xfId="3821" xr:uid="{B63D57B3-D350-439F-BC69-383A3F49E936}"/>
    <cellStyle name="Normal 3 2 4 2 3" xfId="3445" xr:uid="{544EA63F-37BF-4A41-BD5A-CB44364A216D}"/>
    <cellStyle name="Normal 3 2 4 2 3 2" xfId="3710" xr:uid="{C137A5B7-D39E-444F-97E0-26F86D67BFFE}"/>
    <cellStyle name="Normal 3 2 4 2 3 3" xfId="3946" xr:uid="{DE3BC24E-292A-4BCE-A9C0-204FDD0E1492}"/>
    <cellStyle name="Normal 3 2 4 2 4" xfId="2945" xr:uid="{AC6DAD2F-D880-477C-8BA0-CD49D5412566}"/>
    <cellStyle name="Normal 3 2 4 2 4 2" xfId="3614" xr:uid="{992F29CC-FBCE-4791-A790-AC0DA26DF4BE}"/>
    <cellStyle name="Normal 3 2 4 2 4 3" xfId="3866" xr:uid="{1D0ECD0E-EF22-4173-A0BD-24430AE09921}"/>
    <cellStyle name="Normal 3 2 4 2 5" xfId="3524" xr:uid="{1E239A57-4609-4E42-A12C-46BC178D6D1E}"/>
    <cellStyle name="Normal 3 2 4 2 5 2" xfId="3999" xr:uid="{17781E23-0958-4A67-8AE6-C7C3953DE8F9}"/>
    <cellStyle name="Normal 3 2 4 2 6" xfId="3776" xr:uid="{CE001FFC-8F0F-4D95-8684-A2781A77C514}"/>
    <cellStyle name="Normal 3 2 4 3" xfId="2883" xr:uid="{C3613C5B-D786-427C-B914-F90D2E6A82ED}"/>
    <cellStyle name="Normal 3 2 4 3 2" xfId="2968" xr:uid="{9325A9A2-D9ED-49F9-AB5F-54D40E2FE84E}"/>
    <cellStyle name="Normal 3 2 4 3 2 2" xfId="3637" xr:uid="{E3B4ACCA-1A2F-4F58-A34C-2A8CF90E4D03}"/>
    <cellStyle name="Normal 3 2 4 3 2 3" xfId="3889" xr:uid="{4BC76E71-B736-4ECF-A29A-69E3F3B140F0}"/>
    <cellStyle name="Normal 3 2 4 3 3" xfId="3552" xr:uid="{4518D5D8-80B0-4F9A-8BB6-A00B900DF044}"/>
    <cellStyle name="Normal 3 2 4 3 4" xfId="3804" xr:uid="{A01A646D-9183-45EE-8C51-194CED5FB042}"/>
    <cellStyle name="Normal 3 2 4 4" xfId="3028" xr:uid="{BB396068-A15A-46B8-9041-615276FC4E2B}"/>
    <cellStyle name="Normal 3 2 4 4 2" xfId="3693" xr:uid="{EABE2F68-111C-44CF-AABD-6E97882C83D8}"/>
    <cellStyle name="Normal 3 2 4 4 3" xfId="3929" xr:uid="{78A2A4FD-34FD-496D-92D6-28A6E21CFFDE}"/>
    <cellStyle name="Normal 3 2 4 5" xfId="2928" xr:uid="{61A635B5-39A7-49EC-A691-372097ABBB87}"/>
    <cellStyle name="Normal 3 2 4 5 2" xfId="3597" xr:uid="{8ADC7C4D-7E2F-4CA6-ABF0-48FE1C21C8CE}"/>
    <cellStyle name="Normal 3 2 4 5 3" xfId="3849" xr:uid="{E667F952-9B74-4E32-A0B1-02A7CD63F4B8}"/>
    <cellStyle name="Normal 3 2 4 6" xfId="3507" xr:uid="{798DE8B5-E61C-4A5B-AA2F-6E84E30D6CCA}"/>
    <cellStyle name="Normal 3 2 4 6 2" xfId="3982" xr:uid="{B507A15B-CDFA-481E-B7DE-DD5E1D4ABA6A}"/>
    <cellStyle name="Normal 3 2 4 7" xfId="3759" xr:uid="{86879D78-3B25-4617-B45A-9E8CFE4BD51B}"/>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3" xfId="3886" xr:uid="{B934EF72-C9B0-495B-9B39-E1963172466C}"/>
    <cellStyle name="Normal 3 2 5 2 3" xfId="3549" xr:uid="{42DC2D7D-B305-4E78-A543-A5C994A38F57}"/>
    <cellStyle name="Normal 3 2 5 2 4" xfId="3801" xr:uid="{1CBEC2A5-3FE7-4059-A6C2-9F2A7A5167A1}"/>
    <cellStyle name="Normal 3 2 5 3" xfId="3021" xr:uid="{4E740726-28E9-4A37-98D8-69BCC8BAD6F7}"/>
    <cellStyle name="Normal 3 2 5 3 2" xfId="3690" xr:uid="{580DAE05-49F5-49A9-801D-D403F7CAE478}"/>
    <cellStyle name="Normal 3 2 5 3 3" xfId="3926" xr:uid="{E0F87234-9124-4506-B965-700D9D3F8681}"/>
    <cellStyle name="Normal 3 2 5 4" xfId="2925" xr:uid="{B2679330-9511-44A5-A0E7-A2030AC0E9D7}"/>
    <cellStyle name="Normal 3 2 5 4 2" xfId="3594" xr:uid="{4AA1837D-B141-412F-AE5E-DEB5B5562DE0}"/>
    <cellStyle name="Normal 3 2 5 4 3" xfId="3846" xr:uid="{BFE276A0-C189-4574-9A8C-827877C3AB3B}"/>
    <cellStyle name="Normal 3 2 5 5" xfId="3504" xr:uid="{40CEF293-530F-4496-B065-205F3F8A499C}"/>
    <cellStyle name="Normal 3 2 5 5 2" xfId="3979" xr:uid="{2554E7D7-5112-408D-974A-538E6D20CD9B}"/>
    <cellStyle name="Normal 3 2 5 6" xfId="3756" xr:uid="{3EE401B9-D014-456C-ABD3-25145CC803EF}"/>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3" xfId="3903" xr:uid="{52B32857-5D5D-4DA1-8B3D-7D674957B2B7}"/>
    <cellStyle name="Normal 3 2 6 2 3" xfId="3566" xr:uid="{E82DD52E-4EDC-48C6-963A-6B94ED1EC3EB}"/>
    <cellStyle name="Normal 3 2 6 2 4" xfId="3818" xr:uid="{2A140964-5AF6-4E50-8AF7-DAD9B2917422}"/>
    <cellStyle name="Normal 3 2 6 3" xfId="3442" xr:uid="{FFA32A7D-DF21-4608-B320-14F41FDC5635}"/>
    <cellStyle name="Normal 3 2 6 3 2" xfId="3707" xr:uid="{4AA068E7-DEB3-4883-A930-A5C5F0B52161}"/>
    <cellStyle name="Normal 3 2 6 3 3" xfId="3943" xr:uid="{4124B906-9E2F-4A3F-8633-8738C2F208AC}"/>
    <cellStyle name="Normal 3 2 6 4" xfId="2942" xr:uid="{6F039511-645D-4B28-9350-40E7266C3E91}"/>
    <cellStyle name="Normal 3 2 6 4 2" xfId="3611" xr:uid="{A2814150-5F40-4220-AA2D-BA56B3D8FB64}"/>
    <cellStyle name="Normal 3 2 6 4 3" xfId="3863" xr:uid="{A6D80BF6-F6CD-4505-850F-CA15DE72C211}"/>
    <cellStyle name="Normal 3 2 6 5" xfId="3521" xr:uid="{1AEA6116-EC6B-4BB6-A00F-D9E00CB01DBF}"/>
    <cellStyle name="Normal 3 2 6 5 2" xfId="3996" xr:uid="{3A89C5A6-AE42-46A0-8148-1A7F346B77DB}"/>
    <cellStyle name="Normal 3 2 6 6" xfId="3773" xr:uid="{785816D1-E322-4896-8361-B60EA3986B55}"/>
    <cellStyle name="Normal 3 2 7" xfId="31" xr:uid="{2F3C1975-D9A4-46DE-B8C2-B72AC2C044E0}"/>
    <cellStyle name="Normal 3 2 7 2" xfId="2877" xr:uid="{59781F0C-77A9-45FE-8065-6468F1E0AAEF}"/>
    <cellStyle name="Normal 3 2 7 2 2" xfId="3546" xr:uid="{7E4E383C-F467-4833-9603-62B435DCFA79}"/>
    <cellStyle name="Normal 3 2 7 2 3" xfId="3798" xr:uid="{29F23B2B-8932-451C-9F23-45F7D6CADADD}"/>
    <cellStyle name="Normal 3 2 7 3" xfId="2922" xr:uid="{E4C8E062-8446-4FC6-BB97-540E387A26A7}"/>
    <cellStyle name="Normal 3 2 7 3 2" xfId="3591" xr:uid="{DF90C2F7-4C93-452D-ACE7-18F1D28980A1}"/>
    <cellStyle name="Normal 3 2 7 3 3" xfId="3843" xr:uid="{6674905A-AF28-4620-8AAE-B39FC7AE3271}"/>
    <cellStyle name="Normal 3 2 7 4" xfId="3501" xr:uid="{AE3D10A4-2F98-4CA8-875F-94496B9C4990}"/>
    <cellStyle name="Normal 3 2 7 4 2" xfId="3976" xr:uid="{5961AC50-BE05-4B8E-A666-3253F98B88B9}"/>
    <cellStyle name="Normal 3 2 7 5" xfId="3753" xr:uid="{F65BE0FA-E0B1-4D8A-A39A-830525C45B7D}"/>
    <cellStyle name="Normal 3 2 8" xfId="26" xr:uid="{1A6667CB-56D8-4FDD-8F5E-B10A2CC5605D}"/>
    <cellStyle name="Normal 3 2 8 2" xfId="2962" xr:uid="{DD45B365-9B60-49ED-BE76-CFF5D5DAA582}"/>
    <cellStyle name="Normal 3 2 8 2 2" xfId="3631" xr:uid="{CC0F055B-6EF9-4E9B-9D49-E4C1FC9CB8EC}"/>
    <cellStyle name="Normal 3 2 8 2 3" xfId="3883" xr:uid="{B4B2FCF8-F313-4CCD-959D-D2AC9C1B214E}"/>
    <cellStyle name="Normal 3 2 8 3" xfId="3496" xr:uid="{2A414241-0D56-46CA-AD32-83B8FE5D2AD7}"/>
    <cellStyle name="Normal 3 2 8 4" xfId="3748" xr:uid="{153779CE-DB32-44A7-8642-18E132084EDF}"/>
    <cellStyle name="Normal 3 2 9" xfId="2872" xr:uid="{5731358C-C79B-4179-A65F-2B477AD238AF}"/>
    <cellStyle name="Normal 3 2 9 2" xfId="3018" xr:uid="{714AB98F-C443-4AE8-AF84-F8E43C94A385}"/>
    <cellStyle name="Normal 3 2 9 2 2" xfId="3687" xr:uid="{BCC5716B-B9D8-4018-9F5A-2CB99B6DA829}"/>
    <cellStyle name="Normal 3 2 9 2 3" xfId="3923" xr:uid="{6AB658D8-3D81-4F6B-BD26-229452514B58}"/>
    <cellStyle name="Normal 3 2 9 3" xfId="3541" xr:uid="{2418FE40-2F8A-49D4-A8F2-E3D8124EF135}"/>
    <cellStyle name="Normal 3 2 9 4" xfId="3793" xr:uid="{B7D43B78-D98E-4586-9030-28D7A5678786}"/>
    <cellStyle name="Normal 3 20" xfId="3742" xr:uid="{6154F162-DC21-4461-8683-10E22894A697}"/>
    <cellStyle name="Normal 3 21" xfId="4018" xr:uid="{ADE6ACA0-AF06-4F56-BD74-C496718FAB28}"/>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3" xfId="3910" xr:uid="{9668CD82-B71B-421F-9E63-B795F31B932E}"/>
    <cellStyle name="Normal 3 4 2 2 3" xfId="3573" xr:uid="{1CE5F716-B555-4D0B-B7F6-750E6DF20850}"/>
    <cellStyle name="Normal 3 4 2 2 4" xfId="3825" xr:uid="{ED68692B-544A-412B-823C-753CE96199D9}"/>
    <cellStyle name="Normal 3 4 2 3" xfId="3449" xr:uid="{F69352A1-49EA-464C-9645-A8456832A839}"/>
    <cellStyle name="Normal 3 4 2 3 2" xfId="3714" xr:uid="{F8A2F1CE-FB41-491C-8893-5596652AB2E3}"/>
    <cellStyle name="Normal 3 4 2 3 3" xfId="3950" xr:uid="{3CB02C91-A5E8-4217-BA0C-568FE011009C}"/>
    <cellStyle name="Normal 3 4 2 4" xfId="2949" xr:uid="{234F18C6-0530-4CFB-8567-9E316EFEA0F4}"/>
    <cellStyle name="Normal 3 4 2 4 2" xfId="3618" xr:uid="{F0D04E7E-2E24-4278-98F3-7B7E1A4B9B7A}"/>
    <cellStyle name="Normal 3 4 2 4 3" xfId="3870" xr:uid="{9FC49466-BFB0-41F2-B35E-E569C506731C}"/>
    <cellStyle name="Normal 3 4 2 5" xfId="3528" xr:uid="{BD8ADA06-C78C-4CAC-A038-694E43819B7E}"/>
    <cellStyle name="Normal 3 4 2 5 2" xfId="4003" xr:uid="{794168FB-C9B8-4021-87D6-78A5D56383E4}"/>
    <cellStyle name="Normal 3 4 2 6" xfId="3780" xr:uid="{BC7B50CE-98C6-41F9-A41C-EBD273765334}"/>
    <cellStyle name="Normal 3 4 3" xfId="2887" xr:uid="{4250C279-464F-48CB-8AC2-E6FD78211848}"/>
    <cellStyle name="Normal 3 4 3 2" xfId="2988" xr:uid="{B3F2BA6A-0E88-4FCC-B919-25E912452C72}"/>
    <cellStyle name="Normal 3 4 3 2 2" xfId="3657" xr:uid="{A47EDDB5-6627-4F82-A69D-547318AABEE9}"/>
    <cellStyle name="Normal 3 4 3 2 3" xfId="3893" xr:uid="{A5092208-2CF6-49BD-B500-B4A5EF9A42CD}"/>
    <cellStyle name="Normal 3 4 3 3" xfId="3556" xr:uid="{56DC35D1-75FD-453E-90A6-BB86E3E6E135}"/>
    <cellStyle name="Normal 3 4 3 4" xfId="3808" xr:uid="{08156C1D-2692-4AC3-B381-A8B47FC20030}"/>
    <cellStyle name="Normal 3 4 4" xfId="3425" xr:uid="{362C761A-090E-4494-B5E1-44C63EF42BC2}"/>
    <cellStyle name="Normal 3 4 4 2" xfId="3697" xr:uid="{098C6541-C5CD-41F4-99E2-563374098DE3}"/>
    <cellStyle name="Normal 3 4 4 3" xfId="3933" xr:uid="{EA520861-9F03-4509-9056-64E80476DA78}"/>
    <cellStyle name="Normal 3 4 5" xfId="2932" xr:uid="{40F72571-2003-43CD-B387-825810AD604A}"/>
    <cellStyle name="Normal 3 4 5 2" xfId="3601" xr:uid="{4E3FDC2F-EBE6-4287-B788-11F779DC796F}"/>
    <cellStyle name="Normal 3 4 5 3" xfId="3853" xr:uid="{D3B6347E-C269-4159-B6F4-B73747D5BC97}"/>
    <cellStyle name="Normal 3 4 6" xfId="3511" xr:uid="{298C2B22-9A61-4873-8668-E49EC897D026}"/>
    <cellStyle name="Normal 3 4 6 2" xfId="3986" xr:uid="{40D54865-6980-492A-9D57-1EF1CD77D6BD}"/>
    <cellStyle name="Normal 3 4 7" xfId="3763" xr:uid="{F643125C-BF9F-4A15-A9CB-0E2CC82C57B4}"/>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3" xfId="3914" xr:uid="{5326F6BA-E7D0-4C35-AE72-CE426585DF6D}"/>
    <cellStyle name="Normal 3 5 2 2 3" xfId="3577" xr:uid="{69E745A6-02F7-47F3-9760-DE85AE2423DE}"/>
    <cellStyle name="Normal 3 5 2 2 4" xfId="3829" xr:uid="{00CECA14-1091-4900-A346-50DD486C29CD}"/>
    <cellStyle name="Normal 3 5 2 3" xfId="3453" xr:uid="{3840D03D-FA91-4CD5-B314-888A226ABFF0}"/>
    <cellStyle name="Normal 3 5 2 3 2" xfId="3718" xr:uid="{7656B2BD-CE02-4B20-BDBE-66CB07948D6D}"/>
    <cellStyle name="Normal 3 5 2 3 3" xfId="3954" xr:uid="{69A6DBC5-5CF3-4065-9D50-BE593FCBBBEB}"/>
    <cellStyle name="Normal 3 5 2 4" xfId="2953" xr:uid="{5BEC0BD2-9149-476B-ABB5-0AF87C2FAF7D}"/>
    <cellStyle name="Normal 3 5 2 4 2" xfId="3622" xr:uid="{D9508435-6B5E-43F5-9DB7-7B2F61F6CEDC}"/>
    <cellStyle name="Normal 3 5 2 4 3" xfId="3874" xr:uid="{EE08D416-34BF-4CDE-B06D-02F527CBF8B9}"/>
    <cellStyle name="Normal 3 5 2 5" xfId="3532" xr:uid="{363538B8-CC83-42E2-ABD1-32ECDE641743}"/>
    <cellStyle name="Normal 3 5 2 5 2" xfId="4007" xr:uid="{EBF851A0-647A-4461-B8DB-D9FCF44185F0}"/>
    <cellStyle name="Normal 3 5 2 6" xfId="3784" xr:uid="{49AAC9D5-01FE-4E82-9DD4-F4C7634A39BB}"/>
    <cellStyle name="Normal 3 5 3" xfId="2891" xr:uid="{ECB1E89E-33F7-4979-9AF8-05F571C83AAF}"/>
    <cellStyle name="Normal 3 5 3 2" xfId="2992" xr:uid="{6C52CE60-5D32-4E61-8E64-2B04DAD55F56}"/>
    <cellStyle name="Normal 3 5 3 2 2" xfId="3661" xr:uid="{183B444B-DE9F-428A-B02E-9223A4647131}"/>
    <cellStyle name="Normal 3 5 3 2 3" xfId="3897" xr:uid="{00F5DDEB-38DC-4226-84A7-347785E87575}"/>
    <cellStyle name="Normal 3 5 3 3" xfId="3560" xr:uid="{A211DFBE-063D-47E7-87EF-A6CDDDA2E1C3}"/>
    <cellStyle name="Normal 3 5 3 4" xfId="3812" xr:uid="{A6780751-B6EF-447B-BAD8-6E6A3CF138E9}"/>
    <cellStyle name="Normal 3 5 4" xfId="3435" xr:uid="{861AAC26-C3FF-48A7-A3C4-F906BA8B1DF7}"/>
    <cellStyle name="Normal 3 5 4 2" xfId="3701" xr:uid="{959C22F2-C3CB-486E-9FF7-32C9393F2A90}"/>
    <cellStyle name="Normal 3 5 4 3" xfId="3937" xr:uid="{36B39297-C84E-43FB-9983-EACA65BA2D21}"/>
    <cellStyle name="Normal 3 5 5" xfId="2936" xr:uid="{FE634913-EAE7-49BC-8321-DE62527417E2}"/>
    <cellStyle name="Normal 3 5 5 2" xfId="3605" xr:uid="{E12D629C-B992-4564-B07F-C4ABFAD74C3F}"/>
    <cellStyle name="Normal 3 5 5 3" xfId="3857" xr:uid="{B538CAD8-3EF7-41E9-A49A-ADD9E0C879C9}"/>
    <cellStyle name="Normal 3 5 6" xfId="3515" xr:uid="{D8B0D612-C100-4C09-8B1D-DA82ED309ED9}"/>
    <cellStyle name="Normal 3 5 6 2" xfId="3990" xr:uid="{AAD27C33-06E2-4F52-B3C8-D78C7640928C}"/>
    <cellStyle name="Normal 3 5 7" xfId="3767" xr:uid="{CA9571A3-4C60-463C-87F1-19D658B2E155}"/>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3" xfId="3916" xr:uid="{CF7BEB9E-2FAF-4C88-B157-6A90D3E70390}"/>
    <cellStyle name="Normal 3 6 2 2 3" xfId="3579" xr:uid="{46C6946B-5B0F-4775-ADF2-FE3BB48F6852}"/>
    <cellStyle name="Normal 3 6 2 2 4" xfId="3831" xr:uid="{CFA46E72-2B1A-4F5F-94A3-09019B546BD7}"/>
    <cellStyle name="Normal 3 6 2 3" xfId="3455" xr:uid="{21C68592-3DDB-4928-A6C0-75877A37ADCE}"/>
    <cellStyle name="Normal 3 6 2 3 2" xfId="3720" xr:uid="{BDDFE2FE-3968-469B-A9E4-7253F968F104}"/>
    <cellStyle name="Normal 3 6 2 3 3" xfId="3956" xr:uid="{ACBB0C19-4B98-4E2A-BCAA-A3166BDE80C6}"/>
    <cellStyle name="Normal 3 6 2 4" xfId="2955" xr:uid="{B3992CC1-5494-4763-A54C-7F02EF68E46D}"/>
    <cellStyle name="Normal 3 6 2 4 2" xfId="3624" xr:uid="{56E72497-4FD9-4928-92E9-1B1F6569095C}"/>
    <cellStyle name="Normal 3 6 2 4 3" xfId="3876" xr:uid="{96B1B6AF-92E5-4C7A-89BC-E31A672B5FCF}"/>
    <cellStyle name="Normal 3 6 2 5" xfId="3534" xr:uid="{0F6DD857-3E47-4D4A-97C1-38AE13D8E9E8}"/>
    <cellStyle name="Normal 3 6 2 5 2" xfId="4009" xr:uid="{4E38D318-6396-4190-BC61-D956F31B8880}"/>
    <cellStyle name="Normal 3 6 2 6" xfId="3786" xr:uid="{4D88C038-7249-41EE-ADF8-F4EA2E529702}"/>
    <cellStyle name="Normal 3 6 3" xfId="2893" xr:uid="{AF48D1B9-5F0A-4162-948C-E4BA765EE164}"/>
    <cellStyle name="Normal 3 6 3 2" xfId="2994" xr:uid="{0B8D98EF-A3F0-4428-9465-2084740EEBDF}"/>
    <cellStyle name="Normal 3 6 3 2 2" xfId="3663" xr:uid="{99359995-C15C-4214-80A7-22A72076F5AA}"/>
    <cellStyle name="Normal 3 6 3 2 3" xfId="3899" xr:uid="{46042E8D-9B70-416C-8F53-622548EEC9CB}"/>
    <cellStyle name="Normal 3 6 3 3" xfId="3562" xr:uid="{A41465FF-C763-40D7-BE17-986A19DEA467}"/>
    <cellStyle name="Normal 3 6 3 4" xfId="3814" xr:uid="{F7477095-8F3A-4659-A748-A4450EFD5667}"/>
    <cellStyle name="Normal 3 6 4" xfId="3437" xr:uid="{18980BF1-5D51-4084-90DB-84C6ED63DE1A}"/>
    <cellStyle name="Normal 3 6 4 2" xfId="3703" xr:uid="{B3269BC1-33E5-4817-A995-96A1BD7061D1}"/>
    <cellStyle name="Normal 3 6 4 3" xfId="3939" xr:uid="{D5816D03-326C-43EA-A51E-AAD075BAF704}"/>
    <cellStyle name="Normal 3 6 5" xfId="2938" xr:uid="{464D1B4F-3FDE-4325-BF32-01E30F8597D3}"/>
    <cellStyle name="Normal 3 6 5 2" xfId="3607" xr:uid="{E3BEC948-CB48-4699-9BF7-398E9057341F}"/>
    <cellStyle name="Normal 3 6 5 3" xfId="3859" xr:uid="{740C71FC-894A-49DE-8415-9A705922AB65}"/>
    <cellStyle name="Normal 3 6 6" xfId="3517" xr:uid="{36B40373-C254-42BF-9844-AB2E19D74B61}"/>
    <cellStyle name="Normal 3 6 6 2" xfId="3992" xr:uid="{19103EE6-C5DB-4CC8-8F5E-985C982BC7CB}"/>
    <cellStyle name="Normal 3 6 7" xfId="3769" xr:uid="{D2646C7B-9858-4217-99E4-92B3D44D40F8}"/>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3" xfId="3905" xr:uid="{E28E1C2C-589A-4127-9E3E-FAFD54439167}"/>
    <cellStyle name="Normal 3 7 2 2 3" xfId="3568" xr:uid="{C7D6B39A-772D-4D3C-9D2F-8300C65922DB}"/>
    <cellStyle name="Normal 3 7 2 2 4" xfId="3820" xr:uid="{17D1A6F7-47EB-4ADD-AC98-46E8B541EC9F}"/>
    <cellStyle name="Normal 3 7 2 3" xfId="3444" xr:uid="{67957013-F341-4E6C-A69B-0EDB178F8F47}"/>
    <cellStyle name="Normal 3 7 2 3 2" xfId="3709" xr:uid="{8200D914-E07F-4E54-A2AF-C55324BA3CCE}"/>
    <cellStyle name="Normal 3 7 2 3 3" xfId="3945" xr:uid="{DFAB43AD-5B11-4DF5-B2FF-5DC636A0272B}"/>
    <cellStyle name="Normal 3 7 2 4" xfId="2944" xr:uid="{9C47C7AE-7CA9-4452-A77C-95B435A66C76}"/>
    <cellStyle name="Normal 3 7 2 4 2" xfId="3613" xr:uid="{31B6E725-703C-4DD5-95DA-D3E2F219BA7A}"/>
    <cellStyle name="Normal 3 7 2 4 3" xfId="3865" xr:uid="{DFFAEF9B-B7E9-4BB6-AE81-6B7C9E50F01A}"/>
    <cellStyle name="Normal 3 7 2 5" xfId="3523" xr:uid="{FC001EC6-1FFF-4CFF-87BE-A1DF17CEADBB}"/>
    <cellStyle name="Normal 3 7 2 5 2" xfId="3998" xr:uid="{1AD3A7E7-406C-4044-A7FE-892E6AD14753}"/>
    <cellStyle name="Normal 3 7 2 6" xfId="3775" xr:uid="{12E107D3-87E7-4DA1-A04F-80629456E11F}"/>
    <cellStyle name="Normal 3 7 3" xfId="2882" xr:uid="{CAC8F409-912F-4248-A145-ECB4A69E53C0}"/>
    <cellStyle name="Normal 3 7 3 2" xfId="2967" xr:uid="{AD2F175F-6CE0-4BF1-89F7-8D6F4DAA212B}"/>
    <cellStyle name="Normal 3 7 3 2 2" xfId="3636" xr:uid="{444573FF-F4BC-490C-8DAC-4281FD2C5097}"/>
    <cellStyle name="Normal 3 7 3 2 3" xfId="3888" xr:uid="{3797A418-3951-4CE0-8F03-35260AB074E7}"/>
    <cellStyle name="Normal 3 7 3 3" xfId="3551" xr:uid="{FD155A5A-1FB9-4188-A30F-4138488D7210}"/>
    <cellStyle name="Normal 3 7 3 4" xfId="3803" xr:uid="{73CE77CE-EF6D-4CFB-9D7B-E54C8CD214AF}"/>
    <cellStyle name="Normal 3 7 4" xfId="3023" xr:uid="{17C3627A-5390-4086-994A-FC055B3E2812}"/>
    <cellStyle name="Normal 3 7 4 2" xfId="3692" xr:uid="{60957BF5-3C0E-48DB-BEAA-33FBC66548BE}"/>
    <cellStyle name="Normal 3 7 4 3" xfId="3928" xr:uid="{82DBE706-1147-494C-9C15-9D43801CE9AB}"/>
    <cellStyle name="Normal 3 7 5" xfId="2927" xr:uid="{F7BA3C64-391D-4B30-ACDD-3661ABDF053D}"/>
    <cellStyle name="Normal 3 7 5 2" xfId="3596" xr:uid="{FEF7B1B7-3C7A-4C91-A177-C9900B215FC2}"/>
    <cellStyle name="Normal 3 7 5 3" xfId="3848" xr:uid="{650655AB-3E6D-4EB4-9B1C-8626F7D57233}"/>
    <cellStyle name="Normal 3 7 6" xfId="3506" xr:uid="{C85A07FA-469B-4060-A313-D5D1D97E3931}"/>
    <cellStyle name="Normal 3 7 6 2" xfId="3981" xr:uid="{BD0EA733-E153-42A3-9263-313053EEC6EA}"/>
    <cellStyle name="Normal 3 7 7" xfId="3758" xr:uid="{00F76626-7555-4385-AFA3-DC5B199873F5}"/>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3" xfId="3904" xr:uid="{5CAF8DE2-F9C7-4A04-BEBD-8717366761FA}"/>
    <cellStyle name="Normal 3 8 2 2 3" xfId="3567" xr:uid="{660FA052-BE0C-4619-814C-B0B964F6E8D1}"/>
    <cellStyle name="Normal 3 8 2 2 4" xfId="3819" xr:uid="{E168D587-F620-4C0B-99B4-B9FE8177DF7D}"/>
    <cellStyle name="Normal 3 8 2 3" xfId="3443" xr:uid="{674C9D59-715E-492F-A955-8D053C361483}"/>
    <cellStyle name="Normal 3 8 2 3 2" xfId="3708" xr:uid="{E2CA6EA0-C2D0-4FF4-8419-F505D58A1287}"/>
    <cellStyle name="Normal 3 8 2 3 3" xfId="3944" xr:uid="{3CB06A74-2946-41C5-9709-22245169EAE8}"/>
    <cellStyle name="Normal 3 8 2 4" xfId="2943" xr:uid="{A5926E68-6E3A-4F69-A50C-5F3732548537}"/>
    <cellStyle name="Normal 3 8 2 4 2" xfId="3612" xr:uid="{426E6E58-B351-40DF-B238-9CB13D60576D}"/>
    <cellStyle name="Normal 3 8 2 4 3" xfId="3864" xr:uid="{A7EC7E6A-DAAD-4528-A90B-273269D73850}"/>
    <cellStyle name="Normal 3 8 2 5" xfId="3522" xr:uid="{979A876D-B891-40C7-82DA-3DA04C5FC453}"/>
    <cellStyle name="Normal 3 8 2 5 2" xfId="3997" xr:uid="{7574B5A5-1BD8-42C2-9231-311CB193D6E4}"/>
    <cellStyle name="Normal 3 8 2 6" xfId="3774" xr:uid="{2C5BC571-5D94-4DF0-B73D-D85E073D26B7}"/>
    <cellStyle name="Normal 3 8 3" xfId="2881" xr:uid="{2A6C37F5-3EAB-4641-9972-109045CFDB2E}"/>
    <cellStyle name="Normal 3 8 3 2" xfId="2966" xr:uid="{AFE56341-50A2-420E-881F-FFFAAFB96C76}"/>
    <cellStyle name="Normal 3 8 3 2 2" xfId="3635" xr:uid="{561A7084-8F92-4AFE-B823-304C3BC04B2F}"/>
    <cellStyle name="Normal 3 8 3 2 3" xfId="3887" xr:uid="{250BE393-FEBC-425C-B758-FE66E237AEAA}"/>
    <cellStyle name="Normal 3 8 3 3" xfId="3550" xr:uid="{6CCE2FCA-0C88-41D9-88FA-C698D5BBAA6A}"/>
    <cellStyle name="Normal 3 8 3 4" xfId="3802" xr:uid="{71D31500-20B7-43A9-A301-FBE90C916E6E}"/>
    <cellStyle name="Normal 3 8 4" xfId="3022" xr:uid="{490F8661-2274-477D-8A62-38B0B8A8D80D}"/>
    <cellStyle name="Normal 3 8 4 2" xfId="3691" xr:uid="{9DD60BA5-4A4A-42A8-9FD2-601FBE28019B}"/>
    <cellStyle name="Normal 3 8 4 3" xfId="3927" xr:uid="{EF5F1A03-0DF0-4CE9-B858-F2151EB7180E}"/>
    <cellStyle name="Normal 3 8 5" xfId="2926" xr:uid="{0B0E2B2C-3A3B-4C12-8B19-70D50DDFA4C7}"/>
    <cellStyle name="Normal 3 8 5 2" xfId="3595" xr:uid="{186A2956-2B57-4DA0-BFE5-9620666BBD34}"/>
    <cellStyle name="Normal 3 8 5 3" xfId="3847" xr:uid="{8EA8141E-3FDB-4681-B468-34F6CE2740DE}"/>
    <cellStyle name="Normal 3 8 6" xfId="3505" xr:uid="{E133F36B-E891-49F4-8CB9-372603913109}"/>
    <cellStyle name="Normal 3 8 6 2" xfId="3980" xr:uid="{A32966F0-03C3-4241-8B06-1A8F8290ABC2}"/>
    <cellStyle name="Normal 3 8 7" xfId="3757" xr:uid="{3A8CB191-FBD3-4268-B214-3158466A6A05}"/>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3" xfId="3885" xr:uid="{C98A3BE6-F765-4D82-B5BE-6D96B8148DD4}"/>
    <cellStyle name="Normal 3 9 2 3" xfId="3548" xr:uid="{928090B1-A035-40CA-9A84-C9997FF0BEA2}"/>
    <cellStyle name="Normal 3 9 2 4" xfId="3800" xr:uid="{5F556DB1-AD8F-4DE0-9CB6-DE95653125D2}"/>
    <cellStyle name="Normal 3 9 3" xfId="3020" xr:uid="{330F775B-D10F-4B3F-B787-95506BC9D1F2}"/>
    <cellStyle name="Normal 3 9 3 2" xfId="3689" xr:uid="{EE795DE7-6555-4372-98BD-6B6263B6979F}"/>
    <cellStyle name="Normal 3 9 3 3" xfId="3925" xr:uid="{2BEAF76B-11A1-4B3C-9F99-A285B82B2A58}"/>
    <cellStyle name="Normal 3 9 4" xfId="2924" xr:uid="{BAC23DD2-8035-4E02-BEDA-BC8AE034543F}"/>
    <cellStyle name="Normal 3 9 4 2" xfId="3593" xr:uid="{23ABD6F3-84EB-4393-B461-5D2B2F099B98}"/>
    <cellStyle name="Normal 3 9 4 3" xfId="3845" xr:uid="{72B4352D-D48F-4376-9487-870A8238A601}"/>
    <cellStyle name="Normal 3 9 5" xfId="3503" xr:uid="{3F0E68A4-505F-4743-A141-2A4ADDEC93C6}"/>
    <cellStyle name="Normal 3 9 5 2" xfId="3978" xr:uid="{9F0DCA52-45D1-4056-99BC-56BD6DEF1D3A}"/>
    <cellStyle name="Normal 3 9 6" xfId="3755" xr:uid="{FE8ADA50-07D2-4BD6-893D-96A5B88F7E3A}"/>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3" xfId="3924" xr:uid="{D936D888-3588-4D6D-94E6-C1BF24260CE1}"/>
    <cellStyle name="Normal 4 10 3" xfId="3542" xr:uid="{39EA222C-770B-41E7-A4CC-C117C50904EE}"/>
    <cellStyle name="Normal 4 10 4" xfId="3794" xr:uid="{B4B0CCED-8994-4C41-AD8F-4AF3FFEF094E}"/>
    <cellStyle name="Normal 4 11" xfId="3484" xr:uid="{E1E9D421-EAA4-4FD4-91B6-26A35DFAACCA}"/>
    <cellStyle name="Normal 4 11 2" xfId="3731" xr:uid="{6C3D6F15-8596-4BBF-9E70-FE8E148C2BD0}"/>
    <cellStyle name="Normal 4 11 3" xfId="3967" xr:uid="{3CC8A3BB-9297-4D25-A3A0-29C4591D6B88}"/>
    <cellStyle name="Normal 4 12" xfId="2918" xr:uid="{776488AA-3726-479F-9BB8-4CE8059F9DA4}"/>
    <cellStyle name="Normal 4 12 2" xfId="3587" xr:uid="{FED39AA4-4B50-4DAA-B527-5CA2B810B28A}"/>
    <cellStyle name="Normal 4 12 3" xfId="3839" xr:uid="{182FB7C0-75F3-4204-827C-18CCDEDB8877}"/>
    <cellStyle name="Normal 4 13" xfId="3492" xr:uid="{BA64252E-E332-442C-AF6B-08C40B5879B8}"/>
    <cellStyle name="Normal 4 13 2" xfId="3972" xr:uid="{AB466295-FBF3-4834-938E-FA464F184634}"/>
    <cellStyle name="Normal 4 14" xfId="22" xr:uid="{8086ED49-FE76-4531-AB0E-FA4CAA2327F8}"/>
    <cellStyle name="Normal 4 15" xfId="3744" xr:uid="{6939F417-A4A7-4EEE-8B00-72FAD801791A}"/>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3" xfId="3911" xr:uid="{B80C5385-FBB0-4643-AA9F-D73EF30999F3}"/>
    <cellStyle name="Normal 4 2 2 2 3" xfId="3574" xr:uid="{DF14BEFE-7DC0-43AB-8B39-12BC4C643D9A}"/>
    <cellStyle name="Normal 4 2 2 2 4" xfId="3826" xr:uid="{5AAA0795-B84F-42B9-9EDD-4AC80F382B46}"/>
    <cellStyle name="Normal 4 2 2 3" xfId="3450" xr:uid="{8A145DD6-8681-439E-A9C6-50BC7D1C8EE6}"/>
    <cellStyle name="Normal 4 2 2 3 2" xfId="3715" xr:uid="{2215DDA7-181D-4DE5-B5C9-757B742671F6}"/>
    <cellStyle name="Normal 4 2 2 3 3" xfId="3951" xr:uid="{42BDD732-CC0B-4C62-AB08-DC1D6C968EFC}"/>
    <cellStyle name="Normal 4 2 2 4" xfId="2950" xr:uid="{C95DDB79-805C-4C12-A415-C6FAA93F53B4}"/>
    <cellStyle name="Normal 4 2 2 4 2" xfId="3619" xr:uid="{DD3BD707-27A4-49A9-BF52-05B761F4D9B7}"/>
    <cellStyle name="Normal 4 2 2 4 3" xfId="3871" xr:uid="{E4BCCC6C-BE0C-48CB-9B14-44DC46872F98}"/>
    <cellStyle name="Normal 4 2 2 5" xfId="3529" xr:uid="{B95641FF-C168-45AD-B8C9-C4F9D814D317}"/>
    <cellStyle name="Normal 4 2 2 5 2" xfId="4004" xr:uid="{4CBCF11A-D18C-450E-A570-4B24B8ED0E1E}"/>
    <cellStyle name="Normal 4 2 2 6" xfId="3781" xr:uid="{1165F229-D1E1-4A0F-A4B7-F7FDB48E7500}"/>
    <cellStyle name="Normal 4 2 3" xfId="2888" xr:uid="{32807B66-8F0E-4006-9465-31D3322D1FA5}"/>
    <cellStyle name="Normal 4 2 3 2" xfId="2989" xr:uid="{D2CD65BD-F44D-476A-8304-1002F84EE031}"/>
    <cellStyle name="Normal 4 2 3 2 2" xfId="3658" xr:uid="{7F9D4086-4BC7-4361-8FF1-EDBC554D495F}"/>
    <cellStyle name="Normal 4 2 3 2 3" xfId="3894" xr:uid="{91CB907C-CA5C-42F3-97D9-4373DCE7FFA7}"/>
    <cellStyle name="Normal 4 2 3 3" xfId="3557" xr:uid="{A82876CE-3AC7-40AF-942A-CC71D7FE0E16}"/>
    <cellStyle name="Normal 4 2 3 4" xfId="3809" xr:uid="{CA9AC493-E6F9-44B0-9834-8760F4823FEA}"/>
    <cellStyle name="Normal 4 2 4" xfId="3426" xr:uid="{394C2112-16E4-407C-8D72-54B8B4347EA6}"/>
    <cellStyle name="Normal 4 2 4 2" xfId="3698" xr:uid="{71AE0EC5-12FA-47C6-AC62-AAFF5AA9056E}"/>
    <cellStyle name="Normal 4 2 4 3" xfId="3934" xr:uid="{7B104FEF-E680-4696-8789-20F481D8E14D}"/>
    <cellStyle name="Normal 4 2 5" xfId="2933" xr:uid="{7422A233-B604-4CEF-8DB3-3B38D3B76A4F}"/>
    <cellStyle name="Normal 4 2 5 2" xfId="3602" xr:uid="{B3A4FAF7-0A25-4FD0-99A6-9D242DCD9793}"/>
    <cellStyle name="Normal 4 2 5 3" xfId="3854" xr:uid="{B4DF252E-BA36-4914-8ED4-B652EC8579C6}"/>
    <cellStyle name="Normal 4 2 6" xfId="3512" xr:uid="{4499489B-EA7A-4C79-88EE-8A8C8CDEE43E}"/>
    <cellStyle name="Normal 4 2 6 2" xfId="3987" xr:uid="{870AA1E9-2211-4652-9D14-CA26D951024A}"/>
    <cellStyle name="Normal 4 2 7" xfId="3764" xr:uid="{217EBAB0-AEA6-4140-B854-E0F71801BE6F}"/>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3" xfId="3915" xr:uid="{A5B668A0-D2BB-4DFC-BAED-49E1C9832CF5}"/>
    <cellStyle name="Normal 4 3 2 2 3" xfId="3578" xr:uid="{3502D45F-E9A4-483F-A01F-19140A102337}"/>
    <cellStyle name="Normal 4 3 2 2 4" xfId="3830" xr:uid="{BCC02C46-7200-4B83-AEF4-ECE9333B6679}"/>
    <cellStyle name="Normal 4 3 2 3" xfId="3454" xr:uid="{40666BB9-5300-4A90-A041-C2B05E0212C7}"/>
    <cellStyle name="Normal 4 3 2 3 2" xfId="3719" xr:uid="{27CD0467-DAC3-4379-9F87-015AC64E0485}"/>
    <cellStyle name="Normal 4 3 2 3 3" xfId="3955" xr:uid="{2957C022-3956-4B37-9F01-8E6830718655}"/>
    <cellStyle name="Normal 4 3 2 4" xfId="2954" xr:uid="{A9FD7A50-AF92-46E9-B0DE-DEF8A5AB0621}"/>
    <cellStyle name="Normal 4 3 2 4 2" xfId="3623" xr:uid="{1861C970-CC5A-4BEB-AD97-887F2A8BE552}"/>
    <cellStyle name="Normal 4 3 2 4 3" xfId="3875" xr:uid="{D9E1799E-D3DB-4C2C-90E2-6293CA45B851}"/>
    <cellStyle name="Normal 4 3 2 5" xfId="3533" xr:uid="{2A1BC6D7-965B-4D75-8A88-2EC268E535D0}"/>
    <cellStyle name="Normal 4 3 2 5 2" xfId="4008" xr:uid="{137E18AA-81DE-4DE8-BBE9-B85168DF13E3}"/>
    <cellStyle name="Normal 4 3 2 6" xfId="3785" xr:uid="{801BF975-99D5-413A-BB11-402AF680D5CC}"/>
    <cellStyle name="Normal 4 3 3" xfId="2892" xr:uid="{6C5564FB-3250-4620-823E-01C2904A3432}"/>
    <cellStyle name="Normal 4 3 3 2" xfId="2993" xr:uid="{C673568D-B830-421D-9F57-682A545B10F2}"/>
    <cellStyle name="Normal 4 3 3 2 2" xfId="3662" xr:uid="{7993FE68-3A7B-45CD-8A86-C8FF0BCD0CE9}"/>
    <cellStyle name="Normal 4 3 3 2 3" xfId="3898" xr:uid="{D34E64AE-1D6B-4007-B71E-A11A80CAAD66}"/>
    <cellStyle name="Normal 4 3 3 3" xfId="3561" xr:uid="{EBFA198F-0452-4CF7-B47B-FF3047664F36}"/>
    <cellStyle name="Normal 4 3 3 4" xfId="3813" xr:uid="{A53F86FB-910D-4A70-B4CA-5E9A8C034A7E}"/>
    <cellStyle name="Normal 4 3 4" xfId="3436" xr:uid="{9D31176D-BE12-49D1-828B-B3658E91ABDD}"/>
    <cellStyle name="Normal 4 3 4 2" xfId="3702" xr:uid="{8B3D2050-B085-477E-9C06-E5213BFE71A6}"/>
    <cellStyle name="Normal 4 3 4 3" xfId="3938" xr:uid="{ED9845AB-7033-4BC7-9679-FECD14381297}"/>
    <cellStyle name="Normal 4 3 5" xfId="2937" xr:uid="{5A091B88-F41A-4AF7-91C4-1F079688941A}"/>
    <cellStyle name="Normal 4 3 5 2" xfId="3606" xr:uid="{6B8C2F25-0AB1-45B2-AE85-87D20184DFAC}"/>
    <cellStyle name="Normal 4 3 5 3" xfId="3858" xr:uid="{184D8A36-BB93-409D-B8B7-40AE2A75FEFA}"/>
    <cellStyle name="Normal 4 3 6" xfId="3516" xr:uid="{7C95A12E-99DA-4C3A-82F2-8515CBB4FDA4}"/>
    <cellStyle name="Normal 4 3 6 2" xfId="3991" xr:uid="{D3AFDE11-88EC-4D16-88AB-3A46B657F84F}"/>
    <cellStyle name="Normal 4 3 7" xfId="3768" xr:uid="{4B124392-DC1B-4238-87B1-1A50B60D6ED8}"/>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3" xfId="3918" xr:uid="{6FC4F7BF-39BC-4005-A2A1-DEAE00ED8951}"/>
    <cellStyle name="Normal 4 4 2 2 3" xfId="3581" xr:uid="{48EED8D4-76B9-4A46-A51F-BC81D3E1D646}"/>
    <cellStyle name="Normal 4 4 2 2 4" xfId="3833" xr:uid="{27378953-4F4A-4974-BD2D-66153FF4B75E}"/>
    <cellStyle name="Normal 4 4 2 3" xfId="3457" xr:uid="{603BC009-A252-49E1-A966-6BBF24B62296}"/>
    <cellStyle name="Normal 4 4 2 3 2" xfId="3722" xr:uid="{244380B4-5AEC-48D0-A2EF-A95450406E38}"/>
    <cellStyle name="Normal 4 4 2 3 3" xfId="3958" xr:uid="{67476941-2C33-4322-9FCA-F01863459103}"/>
    <cellStyle name="Normal 4 4 2 4" xfId="2957" xr:uid="{B6BD8F4B-7DE3-4A49-8A75-171644DE4B45}"/>
    <cellStyle name="Normal 4 4 2 4 2" xfId="3626" xr:uid="{C6ED27FC-A2F5-473D-B52E-DA25506805BC}"/>
    <cellStyle name="Normal 4 4 2 4 3" xfId="3878" xr:uid="{BA56835D-DA88-42FE-B37D-738AA514B4C3}"/>
    <cellStyle name="Normal 4 4 2 5" xfId="3536" xr:uid="{1B9216E6-0302-4DDB-842E-1C4D5D558AF7}"/>
    <cellStyle name="Normal 4 4 2 5 2" xfId="4011" xr:uid="{22475EFA-1065-40EF-860E-F7615288C120}"/>
    <cellStyle name="Normal 4 4 2 6" xfId="3788" xr:uid="{12B12272-F35E-475F-B988-68FACAA2FFB5}"/>
    <cellStyle name="Normal 4 4 3" xfId="2895" xr:uid="{31D89E02-9E55-42A5-9DC4-1228FD145ADF}"/>
    <cellStyle name="Normal 4 4 3 2" xfId="2996" xr:uid="{08E4F956-9DC8-4470-AAB7-3C6C658BCCD1}"/>
    <cellStyle name="Normal 4 4 3 2 2" xfId="3665" xr:uid="{56F916F1-3B59-4C13-B7CF-6FFD72C16681}"/>
    <cellStyle name="Normal 4 4 3 2 3" xfId="3901" xr:uid="{E9435DF3-DE93-4916-B0E0-5CDF6DFED4F3}"/>
    <cellStyle name="Normal 4 4 3 3" xfId="3564" xr:uid="{94591AE2-72AD-46F7-A8E0-36A4C1395603}"/>
    <cellStyle name="Normal 4 4 3 4" xfId="3816" xr:uid="{D4BB11DA-4D84-4E54-B893-1499D5561333}"/>
    <cellStyle name="Normal 4 4 4" xfId="3439" xr:uid="{2C59E7BB-97B5-4DF7-829F-EE7A50649E81}"/>
    <cellStyle name="Normal 4 4 4 2" xfId="3705" xr:uid="{98E0296E-A976-4DB9-9CA4-2839128A46C2}"/>
    <cellStyle name="Normal 4 4 4 3" xfId="3941" xr:uid="{7340B02A-7A4F-4F09-AB2E-F76F3635C130}"/>
    <cellStyle name="Normal 4 4 5" xfId="2940" xr:uid="{D339D396-524A-4FC5-93FD-8ADCB9EC87F1}"/>
    <cellStyle name="Normal 4 4 5 2" xfId="3609" xr:uid="{8A005C51-8150-44F5-B3F9-8A689A25B884}"/>
    <cellStyle name="Normal 4 4 5 3" xfId="3861" xr:uid="{688D11BD-C3F3-4620-BEDB-E2D7A8DC43CC}"/>
    <cellStyle name="Normal 4 4 6" xfId="3519" xr:uid="{12B38230-8BF1-4B5B-A331-B6FB04606618}"/>
    <cellStyle name="Normal 4 4 6 2" xfId="3994" xr:uid="{49F1CDFE-F9EF-4E84-ADCF-65A71EF7E979}"/>
    <cellStyle name="Normal 4 4 7" xfId="3771" xr:uid="{C980F36A-8617-496A-AB90-74202271F50B}"/>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3" xfId="3891" xr:uid="{62CAD94B-CDB8-4425-98B7-0558E5F59C2A}"/>
    <cellStyle name="Normal 4 5 2 3" xfId="3554" xr:uid="{7D9911A8-E0D2-4AE2-829D-199C5E3823B4}"/>
    <cellStyle name="Normal 4 5 2 4" xfId="3806" xr:uid="{A1A7C158-3D94-4DED-973A-13B3CCAE5450}"/>
    <cellStyle name="Normal 4 5 3" xfId="3040" xr:uid="{FF07AB09-14AA-4828-B57E-B817117672A2}"/>
    <cellStyle name="Normal 4 5 3 2" xfId="3695" xr:uid="{83F37EC2-5319-4AE8-87C5-D0A028B6C2FB}"/>
    <cellStyle name="Normal 4 5 3 3" xfId="3931" xr:uid="{388E7C24-A226-479A-AF41-1A0EAF1ACEB2}"/>
    <cellStyle name="Normal 4 5 4" xfId="2930" xr:uid="{127037BD-9E37-413D-9A1B-89CC01040EA9}"/>
    <cellStyle name="Normal 4 5 4 2" xfId="3599" xr:uid="{50DE78CD-2FF4-4B6C-996B-38AC7BD3C038}"/>
    <cellStyle name="Normal 4 5 4 3" xfId="3851" xr:uid="{2C381CEF-C40D-43EF-AE19-CF6723D4255F}"/>
    <cellStyle name="Normal 4 5 5" xfId="3509" xr:uid="{EE80D27D-FF68-47E9-B3FD-412ABF79C8FA}"/>
    <cellStyle name="Normal 4 5 5 2" xfId="3984" xr:uid="{6A4C2E9D-E0E1-4B60-B034-C6AD67678930}"/>
    <cellStyle name="Normal 4 5 6" xfId="3761" xr:uid="{DB949E8B-6475-4408-A7AC-F712E8F731A1}"/>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3" xfId="3908" xr:uid="{2236AAA4-3BA0-4D48-93CC-8986654FD893}"/>
    <cellStyle name="Normal 4 6 2 3" xfId="3571" xr:uid="{0A1A40D1-C1B0-41DA-AF95-6D0B88ADA848}"/>
    <cellStyle name="Normal 4 6 2 4" xfId="3823" xr:uid="{2BCB5B8C-BC1D-4F3D-A7B6-741E33C68A99}"/>
    <cellStyle name="Normal 4 6 3" xfId="3447" xr:uid="{5403DFEF-8DF5-4821-A5AD-BE962DCD5622}"/>
    <cellStyle name="Normal 4 6 3 2" xfId="3712" xr:uid="{94C7A8FA-212A-4E84-8519-272318F7EBA8}"/>
    <cellStyle name="Normal 4 6 3 3" xfId="3948" xr:uid="{8AE77270-7FB8-4D23-95DE-3DBC4B035F1F}"/>
    <cellStyle name="Normal 4 6 4" xfId="2947" xr:uid="{A671DB3F-E4AD-4FC7-940F-2A343291A944}"/>
    <cellStyle name="Normal 4 6 4 2" xfId="3616" xr:uid="{300DBA71-10EE-416C-8D9C-3A6BE45C10B1}"/>
    <cellStyle name="Normal 4 6 4 3" xfId="3868" xr:uid="{A9D4CD06-E36B-4D1C-AC4D-C991428EDF56}"/>
    <cellStyle name="Normal 4 6 5" xfId="3526" xr:uid="{B066C5EF-CD9C-4F81-8FC7-F8B1C146D8B9}"/>
    <cellStyle name="Normal 4 6 5 2" xfId="4001" xr:uid="{874FB247-D561-4B51-BB45-3CDEC872254B}"/>
    <cellStyle name="Normal 4 6 6" xfId="3778" xr:uid="{9CF6EFAE-9FDF-453C-957A-F340788B4B8B}"/>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3" xfId="3799" xr:uid="{6B2E7E68-69F1-4BF7-8523-D8B8FEAE5C27}"/>
    <cellStyle name="Normal 4 8 3" xfId="2923" xr:uid="{F834450C-FB76-4614-87A2-14233A0E8F61}"/>
    <cellStyle name="Normal 4 8 3 2" xfId="3592" xr:uid="{95336BC0-AF1C-441E-B761-6F87729A275C}"/>
    <cellStyle name="Normal 4 8 3 3" xfId="3844" xr:uid="{666FEF11-9EAC-4E98-94C4-107D9620E9FA}"/>
    <cellStyle name="Normal 4 8 4" xfId="3502" xr:uid="{C4359809-4B06-4ECC-85DA-A62E889FB51E}"/>
    <cellStyle name="Normal 4 8 4 2" xfId="3977" xr:uid="{0B846446-A026-45A6-8F81-B59FE7D860C8}"/>
    <cellStyle name="Normal 4 8 5" xfId="3754" xr:uid="{A29A2A17-A587-4CF8-B878-E8FDCA236880}"/>
    <cellStyle name="Normal 4 9" xfId="27" xr:uid="{991B9F0F-1632-4E82-BA15-D4F5B44B6040}"/>
    <cellStyle name="Normal 4 9 2" xfId="2963" xr:uid="{1130FF09-DC98-4189-BFBA-210000AC8890}"/>
    <cellStyle name="Normal 4 9 2 2" xfId="3632" xr:uid="{63756306-B1DD-407B-B9E6-5AC0453CA823}"/>
    <cellStyle name="Normal 4 9 2 3" xfId="3884" xr:uid="{7AA57679-A8F1-49FE-835C-31B2521A7DC2}"/>
    <cellStyle name="Normal 4 9 3" xfId="3497" xr:uid="{7AF635FA-A1A1-48C3-B6EE-0201F5320E85}"/>
    <cellStyle name="Normal 4 9 4" xfId="3749" xr:uid="{DC52AE6E-986E-43B2-B291-CA5C4A10A58D}"/>
    <cellStyle name="Normal 5" xfId="17" xr:uid="{00000000-0005-0000-0000-000009000000}"/>
    <cellStyle name="Normal 5 10" xfId="3745" xr:uid="{C7AA6253-9A59-4B95-B080-519140AC09AF}"/>
    <cellStyle name="Normal 5 2" xfId="19" xr:uid="{00000000-0005-0000-0000-00000A000000}"/>
    <cellStyle name="Normal 5 2 2" xfId="2266" xr:uid="{EFC71671-2AB0-4883-AE8E-AEDE1E1A44DA}"/>
    <cellStyle name="Normal 5 2 3" xfId="4019" xr:uid="{2AB99E0E-7B7F-47C4-ADCF-B76AF9FCFBA1}"/>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3" xfId="3968" xr:uid="{31BCF70A-14B5-426C-94A2-623C760305BB}"/>
    <cellStyle name="Normal 5 4 3" xfId="3498" xr:uid="{2D4D7C69-4DE4-4FC8-A914-E421AFAB2860}"/>
    <cellStyle name="Normal 5 4 4" xfId="3750" xr:uid="{7470DEAD-88FF-41A2-A547-F1F50FF1862C}"/>
    <cellStyle name="Normal 5 5" xfId="2874" xr:uid="{9CDE6A7D-AF32-4552-B970-EE61A24273A0}"/>
    <cellStyle name="Normal 5 5 2" xfId="3543" xr:uid="{B74F021B-0F43-46BC-A2D3-0716E4A3AF8C}"/>
    <cellStyle name="Normal 5 5 3" xfId="3795" xr:uid="{B54BECD2-3340-45AC-B4E2-D5CD88ACF82C}"/>
    <cellStyle name="Normal 5 6" xfId="2919" xr:uid="{B16276D1-98A2-4189-986F-7A9FF9B2E12B}"/>
    <cellStyle name="Normal 5 6 2" xfId="3588" xr:uid="{DA980C1F-D20E-4C94-9DA4-E0EC327351BC}"/>
    <cellStyle name="Normal 5 6 3" xfId="3840" xr:uid="{0C7A027B-406F-49E9-AFF8-74E8CEB7A762}"/>
    <cellStyle name="Normal 5 7" xfId="3493" xr:uid="{41B135DA-8464-47C0-9614-72B8A4AC8E21}"/>
    <cellStyle name="Normal 5 7 2" xfId="3973" xr:uid="{595B1AF8-D110-457C-BB23-70B362F8083E}"/>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3" xfId="3919" xr:uid="{8EA7DDD3-E660-460A-A219-EB6ABD56F8CE}"/>
    <cellStyle name="Normal 7 3 3" xfId="3582" xr:uid="{7D2264C0-F1A9-4DCA-A32A-EB499D494EBF}"/>
    <cellStyle name="Normal 7 3 4" xfId="3834" xr:uid="{73426C5B-3F3A-43A4-A0F6-50E9DDD6FD46}"/>
    <cellStyle name="Normal 7 4" xfId="3458" xr:uid="{1092CC19-2F99-4393-B784-EFC2A6AEB43C}"/>
    <cellStyle name="Normal 7 4 2" xfId="3723" xr:uid="{0D55B3BF-BBD0-4E9D-86FD-488182A6561F}"/>
    <cellStyle name="Normal 7 4 3" xfId="3959" xr:uid="{BF230A1B-74DC-48A3-9D0D-034449AE4D70}"/>
    <cellStyle name="Normal 7 5" xfId="2958" xr:uid="{99099E35-371D-44EE-A4D8-19D973BD4E12}"/>
    <cellStyle name="Normal 7 5 2" xfId="3627" xr:uid="{6A79BA35-1D50-41F6-B98D-FCBCCD565DF3}"/>
    <cellStyle name="Normal 7 5 3" xfId="3879" xr:uid="{7D9D1C67-9BF8-4492-B98E-05104E945080}"/>
    <cellStyle name="Normal 7 6" xfId="3537" xr:uid="{0B2E2D67-91A9-4261-A82B-2178984B9A39}"/>
    <cellStyle name="Normal 7 6 2" xfId="4012" xr:uid="{EC313FB5-33B0-4086-99C9-0E859CA0D261}"/>
    <cellStyle name="Normal 7 7" xfId="3789" xr:uid="{16C8B1F7-3B0A-4EB1-84E9-F6166387B349}"/>
    <cellStyle name="Normal 8" xfId="3479" xr:uid="{F65E7F24-28BF-47D4-B373-5F9607D80DE1}"/>
    <cellStyle name="Normal 8 2" xfId="2269" xr:uid="{B3E2D75E-C975-46FE-B6CD-080EE9FE5F8B}"/>
    <cellStyle name="Normal 8 3" xfId="3726" xr:uid="{D5BC5667-1DB1-4948-AF65-C6F8BB8B7555}"/>
    <cellStyle name="Normal 8 4" xfId="3962" xr:uid="{58928641-47FE-4C1B-AA5C-D273C1922BFD}"/>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1476375</xdr:colOff>
          <xdr:row>4</xdr:row>
          <xdr:rowOff>38100</xdr:rowOff>
        </xdr:from>
        <xdr:to>
          <xdr:col>1</xdr:col>
          <xdr:colOff>2390775</xdr:colOff>
          <xdr:row>8</xdr:row>
          <xdr:rowOff>76200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tabSelected="1"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3">
        <f>+'AFR20'!E4</f>
        <v>44119</v>
      </c>
      <c r="C1" s="2063"/>
      <c r="D1" s="2064"/>
      <c r="I1" s="2142" t="s">
        <v>401</v>
      </c>
      <c r="J1" s="2143"/>
      <c r="K1" s="2143"/>
      <c r="L1" s="2143"/>
      <c r="M1" s="2143"/>
      <c r="N1" s="2143"/>
      <c r="O1" s="2143"/>
      <c r="P1" s="2143"/>
      <c r="Q1" s="2143"/>
      <c r="R1" s="2143"/>
      <c r="S1" s="2143"/>
    </row>
    <row r="2" spans="1:32" ht="12" customHeight="1" x14ac:dyDescent="0.2">
      <c r="A2" s="1815" t="str">
        <f>"Due to ISBE on "</f>
        <v xml:space="preserve">Due to ISBE on </v>
      </c>
      <c r="B2" s="2065">
        <f>+'AFR20'!F4</f>
        <v>44151</v>
      </c>
      <c r="C2" s="2065"/>
      <c r="D2" s="2066"/>
      <c r="I2" s="2144" t="s">
        <v>1999</v>
      </c>
      <c r="J2" s="2143"/>
      <c r="K2" s="2143"/>
      <c r="L2" s="2143"/>
      <c r="M2" s="2143"/>
      <c r="N2" s="2143"/>
      <c r="O2" s="2143"/>
      <c r="P2" s="2143"/>
      <c r="Q2" s="2143"/>
      <c r="R2" s="2143"/>
      <c r="S2" s="2143"/>
    </row>
    <row r="3" spans="1:32" ht="12" customHeight="1" x14ac:dyDescent="0.2">
      <c r="A3" s="1818" t="str">
        <f>"SD/JA"&amp;MID('AFR20'!E2,3,2)</f>
        <v>SD/JA20</v>
      </c>
      <c r="B3" s="151"/>
      <c r="C3" s="151"/>
      <c r="D3" s="152"/>
      <c r="I3" s="2144" t="s">
        <v>52</v>
      </c>
      <c r="J3" s="2143"/>
      <c r="K3" s="2143"/>
      <c r="L3" s="2143"/>
      <c r="M3" s="2143"/>
      <c r="N3" s="2143"/>
      <c r="O3" s="2143"/>
      <c r="P3" s="2143"/>
      <c r="Q3" s="2143"/>
      <c r="R3" s="2143"/>
      <c r="S3" s="2143"/>
    </row>
    <row r="4" spans="1:32" ht="12" customHeight="1" x14ac:dyDescent="0.2">
      <c r="A4" s="37"/>
      <c r="I4" s="2144" t="s">
        <v>520</v>
      </c>
      <c r="J4" s="2143"/>
      <c r="K4" s="2143"/>
      <c r="L4" s="2143"/>
      <c r="M4" s="2143"/>
      <c r="N4" s="2143"/>
      <c r="O4" s="2143"/>
      <c r="P4" s="2143"/>
      <c r="Q4" s="2143"/>
      <c r="R4" s="2143"/>
      <c r="S4" s="2143"/>
    </row>
    <row r="5" spans="1:32" ht="14.1" customHeight="1" x14ac:dyDescent="0.2">
      <c r="B5" s="101" t="s">
        <v>2061</v>
      </c>
      <c r="C5" s="26" t="s">
        <v>902</v>
      </c>
      <c r="D5" s="81"/>
      <c r="E5" s="81"/>
      <c r="H5" s="38"/>
      <c r="I5" s="2151" t="s">
        <v>674</v>
      </c>
      <c r="J5" s="2096"/>
      <c r="K5" s="2096"/>
      <c r="L5" s="2096"/>
      <c r="M5" s="2096"/>
      <c r="N5" s="2096"/>
      <c r="O5" s="2096"/>
      <c r="P5" s="2096"/>
      <c r="Q5" s="2096"/>
      <c r="R5" s="2096"/>
      <c r="S5" s="2096"/>
      <c r="AF5" s="1811"/>
    </row>
    <row r="6" spans="1:32" ht="14.1" customHeight="1" x14ac:dyDescent="0.2">
      <c r="B6" s="101"/>
      <c r="C6" s="26" t="s">
        <v>903</v>
      </c>
      <c r="D6" s="81"/>
      <c r="E6" s="81"/>
      <c r="I6" s="2150" t="s">
        <v>875</v>
      </c>
      <c r="J6" s="2096"/>
      <c r="K6" s="2096"/>
      <c r="L6" s="2096"/>
      <c r="M6" s="2096"/>
      <c r="N6" s="2096"/>
      <c r="O6" s="2096"/>
      <c r="P6" s="2096"/>
      <c r="Q6" s="2096"/>
      <c r="R6" s="2096"/>
      <c r="S6" s="2096"/>
    </row>
    <row r="7" spans="1:32" ht="12.2" customHeight="1" x14ac:dyDescent="0.2">
      <c r="I7" s="2145" t="str">
        <f>"June 30, "&amp;'AFR20'!E2</f>
        <v>June 30, 2020</v>
      </c>
      <c r="J7" s="2146"/>
      <c r="K7" s="2146"/>
      <c r="L7" s="2146"/>
      <c r="M7" s="2146"/>
      <c r="N7" s="2146"/>
      <c r="O7" s="2146"/>
      <c r="P7" s="2146"/>
      <c r="Q7" s="2146"/>
      <c r="R7" s="2146"/>
      <c r="S7" s="21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7" t="s">
        <v>668</v>
      </c>
      <c r="J9" s="2148"/>
      <c r="K9" s="2148"/>
      <c r="L9" s="2148"/>
      <c r="M9" s="2148"/>
      <c r="N9" s="2148"/>
      <c r="O9" s="2148"/>
      <c r="P9" s="2148"/>
      <c r="Q9" s="2148"/>
      <c r="R9" s="2148"/>
      <c r="S9" s="2149"/>
      <c r="T9" s="2092" t="s">
        <v>529</v>
      </c>
      <c r="U9" s="2093"/>
      <c r="V9" s="2093"/>
      <c r="W9" s="2093"/>
      <c r="X9" s="2093"/>
      <c r="Y9" s="2093"/>
      <c r="Z9" s="2093"/>
      <c r="AA9" s="2094"/>
    </row>
    <row r="10" spans="1:32" ht="13.5" customHeight="1" x14ac:dyDescent="0.2">
      <c r="A10" s="2101" t="s">
        <v>669</v>
      </c>
      <c r="B10" s="2102"/>
      <c r="C10" s="2102"/>
      <c r="D10" s="2102"/>
      <c r="E10" s="2102"/>
      <c r="F10" s="2102"/>
      <c r="G10" s="2102"/>
      <c r="H10" s="2103"/>
      <c r="I10" s="29"/>
      <c r="J10" s="30"/>
      <c r="K10" s="28"/>
      <c r="R10" s="30"/>
      <c r="S10" s="30"/>
      <c r="T10" s="2095"/>
      <c r="U10" s="2096"/>
      <c r="V10" s="2096"/>
      <c r="W10" s="2096"/>
      <c r="X10" s="2096"/>
      <c r="Y10" s="2096"/>
      <c r="Z10" s="2096"/>
      <c r="AA10" s="2097"/>
    </row>
    <row r="11" spans="1:32" ht="14.25" customHeight="1" x14ac:dyDescent="0.2">
      <c r="A11" s="2104" t="s">
        <v>947</v>
      </c>
      <c r="B11" s="2105"/>
      <c r="C11" s="2105"/>
      <c r="D11" s="2105"/>
      <c r="E11" s="2105"/>
      <c r="F11" s="2105"/>
      <c r="G11" s="2105"/>
      <c r="H11" s="2106"/>
      <c r="I11" s="27"/>
      <c r="J11" s="71"/>
      <c r="K11" s="27"/>
      <c r="O11" s="144" t="s">
        <v>2061</v>
      </c>
      <c r="P11" s="97" t="s">
        <v>199</v>
      </c>
      <c r="Q11" s="30"/>
      <c r="R11" s="28"/>
      <c r="S11" s="27"/>
      <c r="T11" s="2098"/>
      <c r="U11" s="2099"/>
      <c r="V11" s="2099"/>
      <c r="W11" s="2099"/>
      <c r="X11" s="2099"/>
      <c r="Y11" s="2099"/>
      <c r="Z11" s="2099"/>
      <c r="AA11" s="2100"/>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2">
        <v>34049103002</v>
      </c>
      <c r="B13" s="2113"/>
      <c r="C13" s="2113"/>
      <c r="D13" s="2113"/>
      <c r="E13" s="2113"/>
      <c r="F13" s="2113"/>
      <c r="G13" s="2113"/>
      <c r="H13" s="2114"/>
      <c r="I13" s="31"/>
      <c r="J13" s="30"/>
      <c r="K13" s="28"/>
      <c r="L13" s="30"/>
      <c r="M13" s="30"/>
      <c r="N13" s="30"/>
      <c r="O13" s="30"/>
      <c r="P13" s="30"/>
      <c r="Q13" s="30"/>
      <c r="R13" s="30"/>
      <c r="S13" s="30"/>
      <c r="T13" s="2117" t="s">
        <v>2014</v>
      </c>
      <c r="U13" s="2118"/>
      <c r="V13" s="2118"/>
      <c r="W13" s="2118"/>
      <c r="X13" s="2118"/>
      <c r="Y13" s="2119"/>
      <c r="Z13" s="2119"/>
      <c r="AA13" s="2120"/>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10" t="s">
        <v>2062</v>
      </c>
      <c r="B15" s="2115"/>
      <c r="C15" s="2115"/>
      <c r="D15" s="2115"/>
      <c r="E15" s="2115"/>
      <c r="F15" s="2115"/>
      <c r="G15" s="2115"/>
      <c r="H15" s="2116"/>
      <c r="T15" s="2078" t="s">
        <v>2066</v>
      </c>
      <c r="U15" s="2079"/>
      <c r="V15" s="2079"/>
      <c r="W15" s="2079"/>
      <c r="X15" s="2079"/>
      <c r="Y15" s="2121"/>
      <c r="Z15" s="2121"/>
      <c r="AA15" s="2122"/>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2139</v>
      </c>
      <c r="B17" s="2140"/>
      <c r="C17" s="2140"/>
      <c r="D17" s="2140"/>
      <c r="E17" s="2140"/>
      <c r="F17" s="2140"/>
      <c r="G17" s="2140"/>
      <c r="H17" s="2141"/>
      <c r="T17" s="2127" t="s">
        <v>2015</v>
      </c>
      <c r="U17" s="2128"/>
      <c r="V17" s="2128"/>
      <c r="W17" s="2128"/>
      <c r="X17" s="2128"/>
      <c r="Y17" s="2128"/>
      <c r="Z17" s="2128"/>
      <c r="AA17" s="2129"/>
    </row>
    <row r="18" spans="1:27" ht="13.5" customHeight="1" x14ac:dyDescent="0.2">
      <c r="A18" s="82" t="s">
        <v>526</v>
      </c>
      <c r="B18" s="73"/>
      <c r="C18" s="69"/>
      <c r="D18" s="73"/>
      <c r="E18" s="73"/>
      <c r="F18" s="73"/>
      <c r="G18" s="73"/>
      <c r="H18" s="53"/>
      <c r="I18" s="2137" t="s">
        <v>670</v>
      </c>
      <c r="J18" s="2138"/>
      <c r="K18" s="2138"/>
      <c r="L18" s="2138"/>
      <c r="M18" s="2138"/>
      <c r="N18" s="2138"/>
      <c r="O18" s="2138"/>
      <c r="P18" s="2138"/>
      <c r="Q18" s="2138"/>
      <c r="R18" s="2138"/>
      <c r="S18" s="2139"/>
      <c r="T18" s="82" t="s">
        <v>704</v>
      </c>
      <c r="U18" s="48"/>
      <c r="V18" s="69"/>
      <c r="W18" s="47"/>
      <c r="X18" s="82" t="s">
        <v>263</v>
      </c>
      <c r="Y18" s="78"/>
      <c r="Z18" s="154" t="s">
        <v>671</v>
      </c>
      <c r="AA18" s="44"/>
    </row>
    <row r="19" spans="1:27" ht="13.5" customHeight="1" x14ac:dyDescent="0.2">
      <c r="A19" s="2110" t="s">
        <v>2063</v>
      </c>
      <c r="B19" s="2111"/>
      <c r="C19" s="2111"/>
      <c r="D19" s="2111"/>
      <c r="E19" s="2111"/>
      <c r="F19" s="2111"/>
      <c r="G19" s="2111"/>
      <c r="H19" s="2109"/>
      <c r="I19" s="30"/>
      <c r="J19" s="96"/>
      <c r="K19" s="40"/>
      <c r="L19" s="38"/>
      <c r="M19" s="109" t="s">
        <v>311</v>
      </c>
      <c r="P19" s="27"/>
      <c r="Q19" s="27"/>
      <c r="R19" s="27"/>
      <c r="S19" s="31"/>
      <c r="T19" s="2110" t="s">
        <v>2016</v>
      </c>
      <c r="U19" s="2108"/>
      <c r="V19" s="2108"/>
      <c r="W19" s="2109"/>
      <c r="X19" s="2125" t="s">
        <v>2017</v>
      </c>
      <c r="Y19" s="2126"/>
      <c r="Z19" s="2123">
        <v>60050</v>
      </c>
      <c r="AA19" s="2124"/>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107" t="s">
        <v>2064</v>
      </c>
      <c r="B21" s="2108"/>
      <c r="C21" s="2108"/>
      <c r="D21" s="2108"/>
      <c r="E21" s="2108"/>
      <c r="F21" s="2108"/>
      <c r="G21" s="2108"/>
      <c r="H21" s="2109"/>
      <c r="I21" s="2133" t="s">
        <v>672</v>
      </c>
      <c r="J21" s="2096"/>
      <c r="K21" s="2096"/>
      <c r="L21" s="2096"/>
      <c r="M21" s="2096"/>
      <c r="N21" s="2096"/>
      <c r="O21" s="2096"/>
      <c r="P21" s="2096"/>
      <c r="Q21" s="2096"/>
      <c r="R21" s="2096"/>
      <c r="S21" s="2097"/>
      <c r="T21" s="2075" t="s">
        <v>2018</v>
      </c>
      <c r="U21" s="2076"/>
      <c r="V21" s="2076"/>
      <c r="W21" s="2076"/>
      <c r="X21" s="2089" t="s">
        <v>2019</v>
      </c>
      <c r="Y21" s="2090"/>
      <c r="Z21" s="2090"/>
      <c r="AA21" s="2091"/>
    </row>
    <row r="22" spans="1:27" ht="13.5" customHeight="1" x14ac:dyDescent="0.2">
      <c r="A22" s="84" t="s">
        <v>527</v>
      </c>
      <c r="B22" s="56"/>
      <c r="C22" s="56"/>
      <c r="D22" s="56"/>
      <c r="E22" s="56"/>
      <c r="F22" s="56"/>
      <c r="G22" s="56"/>
      <c r="H22" s="57"/>
      <c r="I22" s="2134" t="s">
        <v>1408</v>
      </c>
      <c r="J22" s="2135"/>
      <c r="K22" s="2135"/>
      <c r="L22" s="2135"/>
      <c r="M22" s="2135"/>
      <c r="N22" s="2135"/>
      <c r="O22" s="2135"/>
      <c r="P22" s="2135"/>
      <c r="Q22" s="2135"/>
      <c r="R22" s="2135"/>
      <c r="S22" s="2136"/>
      <c r="T22" s="82" t="s">
        <v>1495</v>
      </c>
      <c r="U22" s="48"/>
      <c r="V22" s="69"/>
      <c r="W22" s="48"/>
      <c r="X22" s="155" t="s">
        <v>1305</v>
      </c>
      <c r="Z22" s="43"/>
      <c r="AA22" s="44"/>
    </row>
    <row r="23" spans="1:27" ht="13.5" customHeight="1" x14ac:dyDescent="0.2">
      <c r="A23" s="2130" t="s">
        <v>2065</v>
      </c>
      <c r="B23" s="2131"/>
      <c r="C23" s="2131"/>
      <c r="D23" s="2131"/>
      <c r="E23" s="2131"/>
      <c r="F23" s="2131"/>
      <c r="G23" s="2131"/>
      <c r="H23" s="2132"/>
      <c r="T23" s="2070" t="s">
        <v>2020</v>
      </c>
      <c r="U23" s="2071"/>
      <c r="V23" s="2071"/>
      <c r="W23" s="2071"/>
      <c r="X23" s="2086">
        <v>44530</v>
      </c>
      <c r="Y23" s="2087"/>
      <c r="Z23" s="2087"/>
      <c r="AA23" s="2088"/>
    </row>
    <row r="24" spans="1:27" ht="14.1" customHeight="1" x14ac:dyDescent="0.2">
      <c r="A24" s="85" t="s">
        <v>671</v>
      </c>
      <c r="B24" s="46"/>
      <c r="C24" s="46"/>
      <c r="D24" s="46"/>
      <c r="E24" s="46"/>
      <c r="F24" s="46"/>
      <c r="G24" s="46"/>
      <c r="H24" s="58"/>
      <c r="J24" s="2172">
        <f>IF(B5="x",IF(AUDITCHECK!D29="AFR form Incomplete.","",IF(AUDITCHECK!D29="Deficit reduction plan is required.","School District must complete a deficit reduction plan in the 2020-2021 Budget",)),"")</f>
        <v>0</v>
      </c>
      <c r="K24" s="2172"/>
      <c r="L24" s="2172"/>
      <c r="M24" s="2172"/>
      <c r="N24" s="2172"/>
      <c r="O24" s="2172"/>
      <c r="P24" s="2172"/>
      <c r="Q24" s="2172"/>
      <c r="R24" s="2172"/>
      <c r="S24" s="2173"/>
      <c r="T24" s="102" t="s">
        <v>527</v>
      </c>
      <c r="U24" s="103"/>
      <c r="V24" s="103"/>
      <c r="W24" s="103"/>
      <c r="X24" s="104"/>
      <c r="Y24" s="104"/>
      <c r="Z24" s="104"/>
      <c r="AA24" s="105"/>
    </row>
    <row r="25" spans="1:27" ht="14.1" customHeight="1" x14ac:dyDescent="0.2">
      <c r="A25" s="2107">
        <v>60069</v>
      </c>
      <c r="B25" s="2108"/>
      <c r="C25" s="2108"/>
      <c r="D25" s="2108"/>
      <c r="E25" s="2108"/>
      <c r="F25" s="2108"/>
      <c r="G25" s="2108"/>
      <c r="H25" s="2109"/>
      <c r="I25" s="110"/>
      <c r="J25" s="2174"/>
      <c r="K25" s="2174"/>
      <c r="L25" s="2174"/>
      <c r="M25" s="2174"/>
      <c r="N25" s="2174"/>
      <c r="O25" s="2174"/>
      <c r="P25" s="2174"/>
      <c r="Q25" s="2174"/>
      <c r="R25" s="2174"/>
      <c r="S25" s="2175"/>
      <c r="T25" s="2067" t="s">
        <v>2021</v>
      </c>
      <c r="U25" s="2068"/>
      <c r="V25" s="2068"/>
      <c r="W25" s="2068"/>
      <c r="X25" s="2068"/>
      <c r="Y25" s="2068"/>
      <c r="Z25" s="2068"/>
      <c r="AA25" s="206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65" t="s">
        <v>1490</v>
      </c>
      <c r="J27" s="2138"/>
      <c r="K27" s="2138"/>
      <c r="L27" s="2138"/>
      <c r="M27" s="2138"/>
      <c r="N27" s="2138"/>
      <c r="O27" s="2138"/>
      <c r="P27" s="2138"/>
      <c r="Q27" s="2138"/>
      <c r="R27" s="2138"/>
      <c r="S27" s="2139"/>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t="s">
        <v>2061</v>
      </c>
      <c r="C29" s="121" t="s">
        <v>813</v>
      </c>
      <c r="D29" s="111"/>
      <c r="E29" s="133"/>
      <c r="F29" s="137" t="s">
        <v>1303</v>
      </c>
      <c r="G29" s="111"/>
      <c r="I29" s="51"/>
      <c r="J29" s="99"/>
      <c r="K29" s="28" t="s">
        <v>571</v>
      </c>
      <c r="L29" s="144" t="s">
        <v>2061</v>
      </c>
      <c r="M29" s="40" t="s">
        <v>99</v>
      </c>
      <c r="N29" s="32" t="s">
        <v>1502</v>
      </c>
      <c r="O29" s="32"/>
      <c r="P29" s="32"/>
      <c r="Q29" s="32"/>
      <c r="R29" s="32"/>
      <c r="S29" s="120"/>
      <c r="T29" s="6"/>
      <c r="U29" s="6"/>
      <c r="V29" s="6"/>
      <c r="W29" s="6"/>
      <c r="X29" s="6"/>
      <c r="Y29" s="6"/>
      <c r="Z29" s="6"/>
      <c r="AA29" s="129"/>
    </row>
    <row r="30" spans="1:27" ht="13.5" customHeight="1" x14ac:dyDescent="0.2">
      <c r="A30" s="149"/>
      <c r="B30" s="133"/>
      <c r="C30" s="121" t="s">
        <v>1152</v>
      </c>
      <c r="D30" s="28"/>
      <c r="E30" s="28"/>
      <c r="F30" s="136"/>
      <c r="G30" s="111"/>
      <c r="H30" s="111"/>
      <c r="I30" s="51"/>
      <c r="J30" s="99"/>
      <c r="K30" s="28" t="s">
        <v>571</v>
      </c>
      <c r="L30" s="144" t="s">
        <v>2061</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2061</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111"/>
      <c r="Q35" s="2108"/>
      <c r="R35" s="210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0"/>
      <c r="B38" s="2140"/>
      <c r="C38" s="2140"/>
      <c r="D38" s="2140"/>
      <c r="E38" s="2140"/>
      <c r="F38" s="2108"/>
      <c r="G38" s="2108"/>
      <c r="H38" s="2109"/>
      <c r="I38" s="2159"/>
      <c r="J38" s="2079"/>
      <c r="K38" s="2079"/>
      <c r="L38" s="2079"/>
      <c r="M38" s="2079"/>
      <c r="N38" s="2079"/>
      <c r="O38" s="2079"/>
      <c r="P38" s="2080"/>
      <c r="Q38" s="2080"/>
      <c r="R38" s="2080"/>
      <c r="S38" s="2081"/>
      <c r="T38" s="2078"/>
      <c r="U38" s="2079"/>
      <c r="V38" s="2079"/>
      <c r="W38" s="2079"/>
      <c r="X38" s="2080"/>
      <c r="Y38" s="2080"/>
      <c r="Z38" s="2080"/>
      <c r="AA38" s="2081"/>
    </row>
    <row r="39" spans="1:27" ht="12" customHeight="1" x14ac:dyDescent="0.2">
      <c r="A39" s="2163" t="s">
        <v>527</v>
      </c>
      <c r="B39" s="2164"/>
      <c r="C39" s="69"/>
      <c r="D39" s="66"/>
      <c r="E39" s="66"/>
      <c r="F39" s="76"/>
      <c r="G39" s="66"/>
      <c r="H39" s="53"/>
      <c r="I39" s="2163" t="s">
        <v>527</v>
      </c>
      <c r="J39" s="2164"/>
      <c r="K39" s="2164"/>
      <c r="L39" s="2164"/>
      <c r="M39" s="2164"/>
      <c r="N39" s="64"/>
      <c r="O39" s="69"/>
      <c r="P39" s="69"/>
      <c r="Q39" s="75"/>
      <c r="R39" s="69"/>
      <c r="S39" s="53"/>
      <c r="T39" s="69" t="s">
        <v>527</v>
      </c>
      <c r="U39" s="48"/>
      <c r="V39" s="69"/>
      <c r="W39" s="47"/>
      <c r="X39" s="75"/>
      <c r="Y39" s="43"/>
      <c r="Z39" s="43"/>
      <c r="AA39" s="44"/>
    </row>
    <row r="40" spans="1:27" ht="13.5" customHeight="1" x14ac:dyDescent="0.2">
      <c r="A40" s="2166"/>
      <c r="B40" s="2167"/>
      <c r="C40" s="2168"/>
      <c r="D40" s="2168"/>
      <c r="E40" s="2168"/>
      <c r="F40" s="2169"/>
      <c r="G40" s="2169"/>
      <c r="H40" s="2170"/>
      <c r="I40" s="2082"/>
      <c r="J40" s="2084"/>
      <c r="K40" s="2084"/>
      <c r="L40" s="2084"/>
      <c r="M40" s="2084"/>
      <c r="N40" s="2084"/>
      <c r="O40" s="2084"/>
      <c r="P40" s="2084"/>
      <c r="Q40" s="2084"/>
      <c r="R40" s="2084"/>
      <c r="S40" s="2085"/>
      <c r="T40" s="2082"/>
      <c r="U40" s="2083"/>
      <c r="V40" s="2084"/>
      <c r="W40" s="2084"/>
      <c r="X40" s="2084"/>
      <c r="Y40" s="2084"/>
      <c r="Z40" s="2084"/>
      <c r="AA40" s="2085"/>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56"/>
      <c r="B42" s="2157"/>
      <c r="C42" s="2158"/>
      <c r="D42" s="2171"/>
      <c r="E42" s="2157"/>
      <c r="F42" s="2157"/>
      <c r="G42" s="2157"/>
      <c r="H42" s="2158"/>
      <c r="I42" s="2077"/>
      <c r="J42" s="2073"/>
      <c r="K42" s="2073"/>
      <c r="L42" s="2073"/>
      <c r="M42" s="2073"/>
      <c r="N42" s="2073"/>
      <c r="O42" s="2074"/>
      <c r="P42" s="2072"/>
      <c r="Q42" s="2073"/>
      <c r="R42" s="2073"/>
      <c r="S42" s="2074"/>
      <c r="T42" s="2077"/>
      <c r="U42" s="2073"/>
      <c r="V42" s="2073"/>
      <c r="W42" s="2074"/>
      <c r="X42" s="2072"/>
      <c r="Y42" s="2073"/>
      <c r="Z42" s="2073"/>
      <c r="AA42" s="2074"/>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60"/>
      <c r="B44" s="2161"/>
      <c r="C44" s="2161"/>
      <c r="D44" s="2161"/>
      <c r="E44" s="2161"/>
      <c r="F44" s="2161"/>
      <c r="G44" s="2161"/>
      <c r="H44" s="2162"/>
      <c r="I44" s="2152"/>
      <c r="J44" s="2154"/>
      <c r="K44" s="2154"/>
      <c r="L44" s="2154"/>
      <c r="M44" s="2154"/>
      <c r="N44" s="2154"/>
      <c r="O44" s="2154"/>
      <c r="P44" s="2154"/>
      <c r="Q44" s="2154"/>
      <c r="R44" s="2154"/>
      <c r="S44" s="2155"/>
      <c r="T44" s="2152"/>
      <c r="U44" s="2153"/>
      <c r="V44" s="2153"/>
      <c r="W44" s="2153"/>
      <c r="X44" s="2153"/>
      <c r="Y44" s="2153"/>
      <c r="Z44" s="2154"/>
      <c r="AA44" s="2155"/>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63" t="s">
        <v>1590</v>
      </c>
    </row>
    <row r="23" spans="1:5" x14ac:dyDescent="0.2">
      <c r="A23" s="163"/>
      <c r="B23" s="157" t="s">
        <v>1824</v>
      </c>
      <c r="D23" s="162" t="s">
        <v>631</v>
      </c>
      <c r="E23" s="1463" t="s">
        <v>951</v>
      </c>
    </row>
    <row r="24" spans="1:5" x14ac:dyDescent="0.2">
      <c r="A24" s="163" t="s">
        <v>1588</v>
      </c>
      <c r="C24" s="157" t="s">
        <v>1157</v>
      </c>
      <c r="D24" s="162" t="s">
        <v>1373</v>
      </c>
      <c r="E24" s="165" t="s">
        <v>952</v>
      </c>
    </row>
    <row r="25" spans="1:5" x14ac:dyDescent="0.2">
      <c r="A25" s="163" t="s">
        <v>1836</v>
      </c>
      <c r="C25" s="157" t="s">
        <v>1157</v>
      </c>
      <c r="D25" s="164" t="s">
        <v>21</v>
      </c>
      <c r="E25" s="1463" t="s">
        <v>2059</v>
      </c>
    </row>
    <row r="26" spans="1:5" x14ac:dyDescent="0.2">
      <c r="A26" s="163" t="s">
        <v>1837</v>
      </c>
      <c r="C26" s="157" t="s">
        <v>1157</v>
      </c>
      <c r="D26" s="164" t="s">
        <v>558</v>
      </c>
      <c r="E26" s="1463">
        <v>34</v>
      </c>
    </row>
    <row r="27" spans="1:5" x14ac:dyDescent="0.2">
      <c r="A27" s="163" t="s">
        <v>1838</v>
      </c>
      <c r="C27" s="157" t="s">
        <v>1157</v>
      </c>
      <c r="D27" s="164" t="s">
        <v>552</v>
      </c>
      <c r="E27" s="1463">
        <v>35</v>
      </c>
    </row>
    <row r="28" spans="1:5" x14ac:dyDescent="0.2">
      <c r="A28" s="163" t="s">
        <v>1840</v>
      </c>
      <c r="D28" s="164" t="s">
        <v>677</v>
      </c>
      <c r="E28" s="1463">
        <v>36</v>
      </c>
    </row>
    <row r="29" spans="1:5" x14ac:dyDescent="0.2">
      <c r="A29" s="163" t="s">
        <v>1841</v>
      </c>
      <c r="D29" s="164" t="s">
        <v>1374</v>
      </c>
      <c r="E29" s="1463">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63" t="s">
        <v>2060</v>
      </c>
    </row>
    <row r="33" spans="1:5" x14ac:dyDescent="0.2">
      <c r="A33" s="167"/>
      <c r="D33" s="164"/>
      <c r="E33" s="166"/>
    </row>
    <row r="34" spans="1:5" x14ac:dyDescent="0.2">
      <c r="A34" s="167"/>
      <c r="D34" s="164"/>
      <c r="E34" s="166"/>
    </row>
    <row r="35" spans="1:5" ht="15.75" customHeight="1" thickBot="1" x14ac:dyDescent="0.25">
      <c r="A35" s="2179" t="s">
        <v>1054</v>
      </c>
      <c r="B35" s="2179"/>
      <c r="C35" s="2179"/>
      <c r="D35" s="2179"/>
      <c r="E35" s="217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6" t="s">
        <v>684</v>
      </c>
      <c r="B40" s="2176"/>
      <c r="C40" s="2176"/>
      <c r="D40" s="2176"/>
      <c r="E40" s="2176"/>
    </row>
    <row r="41" spans="1:5" x14ac:dyDescent="0.2">
      <c r="A41" s="2177" t="s">
        <v>1587</v>
      </c>
      <c r="B41" s="2177"/>
      <c r="C41" s="2177"/>
      <c r="D41" s="2177"/>
      <c r="E41" s="2177"/>
    </row>
    <row r="42" spans="1:5" ht="12.75" customHeight="1" x14ac:dyDescent="0.2">
      <c r="A42" s="2178" t="s">
        <v>1013</v>
      </c>
      <c r="B42" s="2178"/>
      <c r="C42" s="2178"/>
      <c r="D42" s="2178"/>
      <c r="E42" s="2178"/>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49" t="s">
        <v>1749</v>
      </c>
    </row>
    <row r="60" spans="1:3" x14ac:dyDescent="0.2">
      <c r="A60" s="191"/>
      <c r="B60" s="1249"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1"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0"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topLeftCell="A68" workbookViewId="0">
      <selection activeCell="P125" sqref="P1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0" t="s">
        <v>1156</v>
      </c>
      <c r="B2" s="2180"/>
      <c r="C2" s="2180"/>
      <c r="D2" s="2180"/>
      <c r="E2" s="2180"/>
      <c r="F2" s="2180"/>
      <c r="G2" s="2180"/>
      <c r="H2" s="2180"/>
      <c r="I2" s="2180"/>
      <c r="J2" s="2180"/>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94" t="s">
        <v>1612</v>
      </c>
      <c r="B35" s="2195"/>
      <c r="C35" s="2195"/>
      <c r="D35" s="2195"/>
      <c r="E35" s="2196"/>
      <c r="F35" s="2196"/>
      <c r="G35" s="2196"/>
      <c r="H35" s="2196"/>
      <c r="I35" s="219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4" t="s">
        <v>309</v>
      </c>
      <c r="B47" s="2197"/>
      <c r="C47" s="2197"/>
      <c r="D47" s="2197"/>
      <c r="E47" s="2198"/>
      <c r="F47" s="2198"/>
      <c r="G47" s="2198"/>
      <c r="H47" s="2198"/>
      <c r="I47" s="219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t="s">
        <v>2061</v>
      </c>
      <c r="C53" s="174">
        <v>22</v>
      </c>
      <c r="D53" s="242" t="s">
        <v>1441</v>
      </c>
      <c r="E53" s="243"/>
      <c r="F53" s="244"/>
      <c r="G53" s="244" t="s">
        <v>1440</v>
      </c>
      <c r="H53" s="245">
        <v>33512</v>
      </c>
      <c r="I53" s="232" t="s">
        <v>1462</v>
      </c>
    </row>
    <row r="54" spans="1:10" s="176" customFormat="1" x14ac:dyDescent="0.2">
      <c r="A54" s="214"/>
      <c r="B54" s="215"/>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1"/>
      <c r="C57" s="2202"/>
      <c r="D57" s="2202"/>
      <c r="E57" s="2202"/>
      <c r="F57" s="2202"/>
      <c r="G57" s="2202"/>
      <c r="H57" s="2202"/>
      <c r="I57" s="2202"/>
      <c r="J57" s="2203"/>
    </row>
    <row r="58" spans="1:10" s="176" customFormat="1" x14ac:dyDescent="0.2">
      <c r="A58" s="248"/>
      <c r="B58" s="2204"/>
      <c r="C58" s="2205"/>
      <c r="D58" s="2205"/>
      <c r="E58" s="2205"/>
      <c r="F58" s="2205"/>
      <c r="G58" s="2205"/>
      <c r="H58" s="2205"/>
      <c r="I58" s="2205"/>
      <c r="J58" s="2206"/>
    </row>
    <row r="59" spans="1:10" s="176" customFormat="1" x14ac:dyDescent="0.2">
      <c r="A59" s="248"/>
      <c r="B59" s="2204"/>
      <c r="C59" s="2205"/>
      <c r="D59" s="2205"/>
      <c r="E59" s="2205"/>
      <c r="F59" s="2205"/>
      <c r="G59" s="2205"/>
      <c r="H59" s="2205"/>
      <c r="I59" s="2205"/>
      <c r="J59" s="2206"/>
    </row>
    <row r="60" spans="1:10" s="176" customFormat="1" x14ac:dyDescent="0.2">
      <c r="A60" s="248"/>
      <c r="B60" s="2204"/>
      <c r="C60" s="2205"/>
      <c r="D60" s="2205"/>
      <c r="E60" s="2205"/>
      <c r="F60" s="2205"/>
      <c r="G60" s="2205"/>
      <c r="H60" s="2205"/>
      <c r="I60" s="2205"/>
      <c r="J60" s="2206"/>
    </row>
    <row r="61" spans="1:10" s="176" customFormat="1" x14ac:dyDescent="0.2">
      <c r="A61" s="248"/>
      <c r="B61" s="2204"/>
      <c r="C61" s="2205"/>
      <c r="D61" s="2205"/>
      <c r="E61" s="2205"/>
      <c r="F61" s="2205"/>
      <c r="G61" s="2205"/>
      <c r="H61" s="2205"/>
      <c r="I61" s="2205"/>
      <c r="J61" s="2206"/>
    </row>
    <row r="62" spans="1:10" s="176" customFormat="1" x14ac:dyDescent="0.2">
      <c r="A62" s="248"/>
      <c r="B62" s="2204"/>
      <c r="C62" s="2205"/>
      <c r="D62" s="2205"/>
      <c r="E62" s="2205"/>
      <c r="F62" s="2205"/>
      <c r="G62" s="2205"/>
      <c r="H62" s="2205"/>
      <c r="I62" s="2205"/>
      <c r="J62" s="2206"/>
    </row>
    <row r="63" spans="1:10" s="176" customFormat="1" x14ac:dyDescent="0.2">
      <c r="A63" s="248"/>
      <c r="B63" s="2204"/>
      <c r="C63" s="2205"/>
      <c r="D63" s="2205"/>
      <c r="E63" s="2205"/>
      <c r="F63" s="2205"/>
      <c r="G63" s="2205"/>
      <c r="H63" s="2205"/>
      <c r="I63" s="2205"/>
      <c r="J63" s="2206"/>
    </row>
    <row r="64" spans="1:10" s="176" customFormat="1" x14ac:dyDescent="0.2">
      <c r="A64" s="248"/>
      <c r="B64" s="2204"/>
      <c r="C64" s="2205"/>
      <c r="D64" s="2205"/>
      <c r="E64" s="2205"/>
      <c r="F64" s="2205"/>
      <c r="G64" s="2205"/>
      <c r="H64" s="2205"/>
      <c r="I64" s="2205"/>
      <c r="J64" s="2206"/>
    </row>
    <row r="65" spans="1:11" s="176" customFormat="1" x14ac:dyDescent="0.2">
      <c r="A65" s="248"/>
      <c r="B65" s="2204"/>
      <c r="C65" s="2205"/>
      <c r="D65" s="2205"/>
      <c r="E65" s="2205"/>
      <c r="F65" s="2205"/>
      <c r="G65" s="2205"/>
      <c r="H65" s="2205"/>
      <c r="I65" s="2205"/>
      <c r="J65" s="2206"/>
    </row>
    <row r="66" spans="1:11" s="176" customFormat="1" x14ac:dyDescent="0.2">
      <c r="A66" s="248"/>
      <c r="B66" s="2204"/>
      <c r="C66" s="2205"/>
      <c r="D66" s="2205"/>
      <c r="E66" s="2205"/>
      <c r="F66" s="2205"/>
      <c r="G66" s="2205"/>
      <c r="H66" s="2205"/>
      <c r="I66" s="2205"/>
      <c r="J66" s="2206"/>
    </row>
    <row r="67" spans="1:11" s="176" customFormat="1" ht="9" customHeight="1" x14ac:dyDescent="0.2">
      <c r="A67" s="249"/>
      <c r="B67" s="2207"/>
      <c r="C67" s="2208"/>
      <c r="D67" s="2208"/>
      <c r="E67" s="2208"/>
      <c r="F67" s="2208"/>
      <c r="G67" s="2208"/>
      <c r="H67" s="2208"/>
      <c r="I67" s="2208"/>
      <c r="J67" s="220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4" t="s">
        <v>1310</v>
      </c>
      <c r="B70" s="2197"/>
      <c r="C70" s="2197"/>
      <c r="D70" s="2197"/>
      <c r="E70" s="2198"/>
      <c r="F70" s="2198"/>
      <c r="G70" s="2198"/>
      <c r="H70" s="2198"/>
      <c r="I70" s="2198"/>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9" t="s">
        <v>1307</v>
      </c>
      <c r="B83" s="2199"/>
      <c r="C83" s="2199"/>
      <c r="D83" s="2200"/>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210" t="s">
        <v>1985</v>
      </c>
      <c r="B85" s="2210"/>
      <c r="C85" s="2210"/>
      <c r="D85" s="2211"/>
      <c r="E85" s="1533"/>
      <c r="F85" s="1533"/>
      <c r="G85" s="1533"/>
      <c r="H85" s="1533"/>
      <c r="I85" s="1885"/>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1308</v>
      </c>
      <c r="B87" s="271"/>
      <c r="C87" s="272"/>
      <c r="D87" s="269"/>
      <c r="E87" s="264"/>
      <c r="F87" s="264"/>
      <c r="G87" s="264"/>
      <c r="H87" s="264"/>
      <c r="I87" s="265"/>
      <c r="J87" s="1713"/>
    </row>
    <row r="88" spans="1:10" s="176" customFormat="1" ht="13.5" customHeight="1" x14ac:dyDescent="0.2">
      <c r="A88" s="2212" t="s">
        <v>1985</v>
      </c>
      <c r="B88" s="2213"/>
      <c r="C88" s="2213"/>
      <c r="D88" s="2214"/>
      <c r="E88" s="1533"/>
      <c r="F88" s="1533"/>
      <c r="G88" s="1533"/>
      <c r="H88" s="1533"/>
      <c r="I88" s="1885"/>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34"/>
      <c r="F90" s="1534"/>
      <c r="G90" s="1534"/>
      <c r="H90" s="1534"/>
      <c r="I90" s="1886"/>
      <c r="J90" s="1714">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81"/>
      <c r="C102" s="2182"/>
      <c r="D102" s="2182"/>
      <c r="E102" s="2182"/>
      <c r="F102" s="2182"/>
      <c r="G102" s="2182"/>
      <c r="H102" s="2182"/>
      <c r="I102" s="2183"/>
    </row>
    <row r="103" spans="1:9" s="176" customFormat="1" ht="11.25" customHeight="1" x14ac:dyDescent="0.2">
      <c r="A103" s="294"/>
      <c r="B103" s="2184"/>
      <c r="C103" s="2185"/>
      <c r="D103" s="2185"/>
      <c r="E103" s="2185"/>
      <c r="F103" s="2185"/>
      <c r="G103" s="2185"/>
      <c r="H103" s="2185"/>
      <c r="I103" s="2186"/>
    </row>
    <row r="104" spans="1:9" s="176" customFormat="1" ht="11.25" customHeight="1" x14ac:dyDescent="0.2">
      <c r="A104" s="294"/>
      <c r="B104" s="2184"/>
      <c r="C104" s="2185"/>
      <c r="D104" s="2185"/>
      <c r="E104" s="2185"/>
      <c r="F104" s="2185"/>
      <c r="G104" s="2185"/>
      <c r="H104" s="2185"/>
      <c r="I104" s="2186"/>
    </row>
    <row r="105" spans="1:9" s="176" customFormat="1" x14ac:dyDescent="0.2">
      <c r="A105" s="294"/>
      <c r="B105" s="2184"/>
      <c r="C105" s="2185"/>
      <c r="D105" s="2185"/>
      <c r="E105" s="2185"/>
      <c r="F105" s="2185"/>
      <c r="G105" s="2185"/>
      <c r="H105" s="2185"/>
      <c r="I105" s="2186"/>
    </row>
    <row r="106" spans="1:9" s="176" customFormat="1" ht="11.25" customHeight="1" x14ac:dyDescent="0.2">
      <c r="A106" s="294"/>
      <c r="B106" s="2184"/>
      <c r="C106" s="2185"/>
      <c r="D106" s="2185"/>
      <c r="E106" s="2185"/>
      <c r="F106" s="2185"/>
      <c r="G106" s="2185"/>
      <c r="H106" s="2185"/>
      <c r="I106" s="2186"/>
    </row>
    <row r="107" spans="1:9" s="176" customFormat="1" ht="11.25" customHeight="1" x14ac:dyDescent="0.2">
      <c r="A107" s="294"/>
      <c r="B107" s="2184"/>
      <c r="C107" s="2185"/>
      <c r="D107" s="2185"/>
      <c r="E107" s="2185"/>
      <c r="F107" s="2185"/>
      <c r="G107" s="2185"/>
      <c r="H107" s="2185"/>
      <c r="I107" s="2186"/>
    </row>
    <row r="108" spans="1:9" s="176" customFormat="1" ht="11.25" customHeight="1" x14ac:dyDescent="0.2">
      <c r="A108" s="294"/>
      <c r="B108" s="2184"/>
      <c r="C108" s="2185"/>
      <c r="D108" s="2185"/>
      <c r="E108" s="2185"/>
      <c r="F108" s="2185"/>
      <c r="G108" s="2185"/>
      <c r="H108" s="2185"/>
      <c r="I108" s="2186"/>
    </row>
    <row r="109" spans="1:9" s="176" customFormat="1" ht="11.25" customHeight="1" x14ac:dyDescent="0.2">
      <c r="A109" s="294"/>
      <c r="B109" s="2184"/>
      <c r="C109" s="2185"/>
      <c r="D109" s="2185"/>
      <c r="E109" s="2185"/>
      <c r="F109" s="2185"/>
      <c r="G109" s="2185"/>
      <c r="H109" s="2185"/>
      <c r="I109" s="2186"/>
    </row>
    <row r="110" spans="1:9" s="176" customFormat="1" ht="11.25" customHeight="1" x14ac:dyDescent="0.2">
      <c r="A110" s="294"/>
      <c r="B110" s="2184"/>
      <c r="C110" s="2185"/>
      <c r="D110" s="2185"/>
      <c r="E110" s="2185"/>
      <c r="F110" s="2185"/>
      <c r="G110" s="2185"/>
      <c r="H110" s="2185"/>
      <c r="I110" s="2186"/>
    </row>
    <row r="111" spans="1:9" s="176" customFormat="1" ht="11.25" customHeight="1" x14ac:dyDescent="0.2">
      <c r="A111" s="294"/>
      <c r="B111" s="2184"/>
      <c r="C111" s="2185"/>
      <c r="D111" s="2185"/>
      <c r="E111" s="2185"/>
      <c r="F111" s="2185"/>
      <c r="G111" s="2185"/>
      <c r="H111" s="2185"/>
      <c r="I111" s="2186"/>
    </row>
    <row r="112" spans="1:9" s="176" customFormat="1" ht="11.25" customHeight="1" x14ac:dyDescent="0.2">
      <c r="A112" s="294"/>
      <c r="B112" s="2187"/>
      <c r="C112" s="2188"/>
      <c r="D112" s="2188"/>
      <c r="E112" s="2188"/>
      <c r="F112" s="2188"/>
      <c r="G112" s="2188"/>
      <c r="H112" s="2188"/>
      <c r="I112" s="218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0" t="s">
        <v>2014</v>
      </c>
      <c r="D114" s="2190"/>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1" t="s">
        <v>1317</v>
      </c>
      <c r="D117" s="2192"/>
      <c r="E117" s="2193"/>
      <c r="F117" s="2193"/>
      <c r="G117" s="2193"/>
      <c r="H117" s="2193"/>
      <c r="I117" s="282"/>
    </row>
    <row r="118" spans="1:9" s="176" customFormat="1" ht="24" customHeight="1" x14ac:dyDescent="0.2">
      <c r="A118" s="294"/>
      <c r="B118" s="294"/>
      <c r="C118" s="294"/>
      <c r="D118" s="301" t="s">
        <v>2138</v>
      </c>
      <c r="E118" s="300"/>
      <c r="F118" s="302"/>
      <c r="G118" s="1466"/>
      <c r="H118" s="300"/>
      <c r="I118" s="282"/>
    </row>
    <row r="119" spans="1:9" s="176" customFormat="1" ht="11.25" customHeight="1" x14ac:dyDescent="0.2">
      <c r="A119" s="303"/>
      <c r="B119" s="303"/>
      <c r="C119" s="304"/>
      <c r="D119" s="305" t="s">
        <v>357</v>
      </c>
      <c r="E119" s="288"/>
      <c r="F119" s="1465" t="s">
        <v>1869</v>
      </c>
      <c r="G119" s="306"/>
      <c r="H119" s="306"/>
      <c r="I119" s="282"/>
    </row>
    <row r="120" spans="1:9" x14ac:dyDescent="0.2">
      <c r="A120" s="307"/>
      <c r="B120" s="175"/>
      <c r="C120" s="308"/>
      <c r="D120" s="251"/>
      <c r="E120" s="251"/>
      <c r="F120" s="251"/>
      <c r="G120" s="251"/>
      <c r="H120" s="251"/>
      <c r="I120" s="282"/>
    </row>
    <row r="121" spans="1:9" x14ac:dyDescent="0.2">
      <c r="A121" s="307"/>
      <c r="B121" s="1252"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topLeftCell="A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5" t="s">
        <v>382</v>
      </c>
      <c r="B1" s="2215"/>
      <c r="C1" s="2215"/>
      <c r="D1" s="2215"/>
      <c r="E1" s="2215"/>
      <c r="F1" s="2215"/>
      <c r="G1" s="2215"/>
      <c r="H1" s="2215"/>
      <c r="I1" s="2215"/>
      <c r="J1" s="2215"/>
      <c r="K1" s="2215"/>
      <c r="L1" s="2215"/>
      <c r="M1" s="2215"/>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269</v>
      </c>
      <c r="G7" s="217"/>
      <c r="H7" s="217"/>
      <c r="I7" s="217"/>
      <c r="J7" s="1539">
        <v>1053438719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2.4328969999999998E-2</v>
      </c>
      <c r="E10" s="333" t="s">
        <v>996</v>
      </c>
      <c r="F10" s="332">
        <v>1.9814799999999999E-3</v>
      </c>
      <c r="G10" s="333" t="s">
        <v>996</v>
      </c>
      <c r="H10" s="332">
        <v>1.3589100000000001E-3</v>
      </c>
      <c r="I10" s="333" t="s">
        <v>997</v>
      </c>
      <c r="J10" s="1417">
        <f>ROUND(D10+F10+H10,5)</f>
        <v>2.767E-2</v>
      </c>
      <c r="K10" s="217"/>
      <c r="L10" s="332"/>
      <c r="M10" s="217"/>
    </row>
    <row r="11" spans="1:14" ht="7.5" customHeight="1" x14ac:dyDescent="0.2">
      <c r="B11" s="217"/>
      <c r="C11" s="217"/>
      <c r="D11" s="2225" t="str">
        <f>IF(SUM(J10)&lt;=0.0999999,"","Enter the Tax Rates by moving the decimal two places to the left.")</f>
        <v/>
      </c>
      <c r="E11" s="2226"/>
      <c r="F11" s="2226"/>
      <c r="G11" s="2226"/>
      <c r="H11" s="2226"/>
      <c r="I11" s="2226"/>
      <c r="J11" s="222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35">
        <f>SUM('Acct Summary 7-8'!C8,'Acct Summary 7-8'!D8,'Acct Summary 7-8'!F8,'Acct Summary 7-8'!I8)</f>
        <v>30945570</v>
      </c>
      <c r="E16" s="1536"/>
      <c r="F16" s="1535">
        <f>SUM('Acct Summary 7-8'!C17,'Acct Summary 7-8'!D17,'Acct Summary 7-8'!F17)</f>
        <v>30890270</v>
      </c>
      <c r="G16" s="1536"/>
      <c r="H16" s="1535">
        <f>SUM(D16-F16)</f>
        <v>55300</v>
      </c>
      <c r="I16" s="1537"/>
      <c r="J16" s="1535">
        <f>SUM('Acct Summary 7-8'!C81,'Acct Summary 7-8'!D81,'Acct Summary 7-8'!F81,'Acct Summary 7-8'!I81)</f>
        <v>22408203</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35">
        <f>'Short-Term Long-Term Debt 24'!F4</f>
        <v>0</v>
      </c>
      <c r="E22" s="1536" t="s">
        <v>996</v>
      </c>
      <c r="F22" s="1535">
        <f>'Short-Term Long-Term Debt 24'!F15</f>
        <v>0</v>
      </c>
      <c r="G22" s="1536" t="s">
        <v>996</v>
      </c>
      <c r="H22" s="1535">
        <f>'Short-Term Long-Term Debt 24'!F21</f>
        <v>0</v>
      </c>
      <c r="I22" s="1536" t="s">
        <v>996</v>
      </c>
      <c r="J22" s="1535">
        <f>'Short-Term Long-Term Debt 24'!F23</f>
        <v>0</v>
      </c>
      <c r="K22" s="1536" t="s">
        <v>996</v>
      </c>
      <c r="L22" s="153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35">
        <f>'Short-Term Long-Term Debt 24'!F27</f>
        <v>0</v>
      </c>
      <c r="E24" s="1536" t="s">
        <v>997</v>
      </c>
      <c r="F24" s="153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2061</v>
      </c>
      <c r="C31" s="344" t="s">
        <v>581</v>
      </c>
      <c r="D31" s="232" t="s">
        <v>1061</v>
      </c>
      <c r="E31" s="217"/>
      <c r="F31" s="217"/>
      <c r="G31" s="340"/>
      <c r="H31" s="1418">
        <f>IF(B31="X",(J7*0.069),IF(B32="X",(J7*0.138),"Enter x in a.or b."))</f>
        <v>72687271.611000001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38">
        <f>'Assets-Liab 5-6'!N36</f>
        <v>11359688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6"/>
      <c r="C54" s="2217"/>
      <c r="D54" s="2217"/>
      <c r="E54" s="2217"/>
      <c r="F54" s="2217"/>
      <c r="G54" s="2217"/>
      <c r="H54" s="2217"/>
      <c r="I54" s="2217"/>
      <c r="J54" s="2217"/>
      <c r="K54" s="2217"/>
      <c r="L54" s="2218"/>
      <c r="M54" s="357"/>
    </row>
    <row r="55" spans="1:13" ht="12.75" customHeight="1" x14ac:dyDescent="0.2">
      <c r="B55" s="2219"/>
      <c r="C55" s="2220"/>
      <c r="D55" s="2220"/>
      <c r="E55" s="2220"/>
      <c r="F55" s="2220"/>
      <c r="G55" s="2220"/>
      <c r="H55" s="2220"/>
      <c r="I55" s="2220"/>
      <c r="J55" s="2220"/>
      <c r="K55" s="2220"/>
      <c r="L55" s="2221"/>
      <c r="M55" s="357"/>
    </row>
    <row r="56" spans="1:13" ht="12.75" customHeight="1" x14ac:dyDescent="0.2">
      <c r="B56" s="2219"/>
      <c r="C56" s="2220"/>
      <c r="D56" s="2220"/>
      <c r="E56" s="2220"/>
      <c r="F56" s="2220"/>
      <c r="G56" s="2220"/>
      <c r="H56" s="2220"/>
      <c r="I56" s="2220"/>
      <c r="J56" s="2220"/>
      <c r="K56" s="2220"/>
      <c r="L56" s="2221"/>
      <c r="M56" s="217"/>
    </row>
    <row r="57" spans="1:13" ht="12.75" customHeight="1" x14ac:dyDescent="0.2">
      <c r="B57" s="2219"/>
      <c r="C57" s="2220"/>
      <c r="D57" s="2220"/>
      <c r="E57" s="2220"/>
      <c r="F57" s="2220"/>
      <c r="G57" s="2220"/>
      <c r="H57" s="2220"/>
      <c r="I57" s="2220"/>
      <c r="J57" s="2220"/>
      <c r="K57" s="2220"/>
      <c r="L57" s="2221"/>
      <c r="M57" s="217"/>
    </row>
    <row r="58" spans="1:13" x14ac:dyDescent="0.2">
      <c r="B58" s="2222"/>
      <c r="C58" s="2223"/>
      <c r="D58" s="2223"/>
      <c r="E58" s="2223"/>
      <c r="F58" s="2223"/>
      <c r="G58" s="2223"/>
      <c r="H58" s="2223"/>
      <c r="I58" s="2223"/>
      <c r="J58" s="2223"/>
      <c r="K58" s="2223"/>
      <c r="L58" s="222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7"/>
      <c r="D61" s="222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0"/>
      <c r="B1" s="2231"/>
      <c r="C1" s="2231"/>
      <c r="D1" s="361"/>
      <c r="E1" s="361"/>
      <c r="F1" s="361"/>
      <c r="G1" s="361"/>
      <c r="H1" s="361"/>
      <c r="I1" s="361"/>
      <c r="J1" s="361"/>
      <c r="K1" s="361"/>
      <c r="L1" s="361"/>
      <c r="M1" s="361"/>
      <c r="N1" s="361"/>
      <c r="O1" s="2230"/>
      <c r="P1" s="2231"/>
      <c r="Q1" s="2231"/>
    </row>
    <row r="2" spans="1:18" ht="15" x14ac:dyDescent="0.2">
      <c r="A2" s="2234" t="s">
        <v>551</v>
      </c>
      <c r="B2" s="2234"/>
      <c r="C2" s="2234"/>
      <c r="D2" s="2234"/>
      <c r="E2" s="2234"/>
      <c r="F2" s="2234"/>
      <c r="G2" s="2234"/>
      <c r="H2" s="2234"/>
      <c r="I2" s="2234"/>
      <c r="J2" s="2234"/>
      <c r="K2" s="2234"/>
      <c r="L2" s="2234"/>
      <c r="M2" s="2234"/>
      <c r="N2" s="2234"/>
      <c r="O2" s="2234"/>
      <c r="P2" s="2234"/>
      <c r="Q2" s="2234"/>
      <c r="R2" s="2234"/>
    </row>
    <row r="3" spans="1:18" ht="12.75" x14ac:dyDescent="0.2">
      <c r="A3" s="2235" t="s">
        <v>1392</v>
      </c>
      <c r="B3" s="2235"/>
      <c r="C3" s="2235"/>
      <c r="D3" s="2235"/>
      <c r="E3" s="2235"/>
      <c r="F3" s="2235"/>
      <c r="G3" s="2235"/>
      <c r="H3" s="2235"/>
      <c r="I3" s="2235"/>
      <c r="J3" s="2235"/>
      <c r="K3" s="2235"/>
      <c r="L3" s="2235"/>
      <c r="M3" s="2235"/>
      <c r="N3" s="2235"/>
      <c r="O3" s="2235"/>
      <c r="P3" s="2235"/>
      <c r="Q3" s="2235"/>
      <c r="R3" s="2235"/>
    </row>
    <row r="4" spans="1:18" x14ac:dyDescent="0.2">
      <c r="A4" s="2236" t="s">
        <v>1533</v>
      </c>
      <c r="B4" s="2236"/>
      <c r="C4" s="2236"/>
      <c r="D4" s="2236"/>
      <c r="E4" s="2236"/>
      <c r="F4" s="2236"/>
      <c r="G4" s="2236"/>
      <c r="H4" s="2236"/>
      <c r="I4" s="2236"/>
      <c r="J4" s="2236"/>
      <c r="K4" s="2236"/>
      <c r="L4" s="2236"/>
      <c r="M4" s="2236"/>
      <c r="N4" s="2236"/>
      <c r="O4" s="2236"/>
      <c r="P4" s="2236"/>
      <c r="Q4" s="2236"/>
      <c r="R4" s="223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Lincolnshire-Prairieview SD 103</v>
      </c>
      <c r="E7" s="368"/>
      <c r="G7" s="247"/>
      <c r="H7" s="364"/>
      <c r="I7" s="364"/>
      <c r="J7" s="364"/>
      <c r="K7" s="364"/>
      <c r="L7" s="307"/>
      <c r="M7" s="307"/>
      <c r="N7" s="307"/>
      <c r="O7" s="307"/>
      <c r="P7" s="307"/>
    </row>
    <row r="8" spans="1:18" ht="12.75" x14ac:dyDescent="0.2">
      <c r="A8" s="307"/>
      <c r="B8" s="307"/>
      <c r="C8" s="366" t="s">
        <v>1113</v>
      </c>
      <c r="D8" s="369">
        <f>COVER!A13</f>
        <v>34049103002</v>
      </c>
      <c r="E8" s="370"/>
      <c r="G8" s="307"/>
      <c r="H8" s="307"/>
      <c r="I8" s="307"/>
      <c r="J8" s="307"/>
      <c r="K8" s="307"/>
      <c r="L8" s="307"/>
      <c r="M8" s="307"/>
      <c r="N8" s="307"/>
      <c r="O8" s="307"/>
      <c r="P8" s="307"/>
    </row>
    <row r="9" spans="1:18" ht="12.75" x14ac:dyDescent="0.2">
      <c r="A9" s="307"/>
      <c r="B9" s="307"/>
      <c r="C9" s="366" t="s">
        <v>706</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50" t="str">
        <f>IF(K12&gt;0.24999,"4",IF(K12&gt;0.09999,"3",IF(K12&gt;=0,"2",1)))</f>
        <v>4</v>
      </c>
      <c r="P11" s="211"/>
      <c r="Q11" s="211"/>
    </row>
    <row r="12" spans="1:18" s="382" customFormat="1" ht="11.25" x14ac:dyDescent="0.2">
      <c r="A12" s="213"/>
      <c r="B12" s="377"/>
      <c r="C12" s="213" t="s">
        <v>1347</v>
      </c>
      <c r="D12" s="213"/>
      <c r="E12" s="213"/>
      <c r="F12" s="213" t="s">
        <v>1080</v>
      </c>
      <c r="G12" s="378"/>
      <c r="H12" s="1540">
        <f>SUM('Acct Summary 7-8'!C81+'Acct Summary 7-8'!D81+'Acct Summary 7-8'!F81+'Acct Summary 7-8'!I81+IF('Acct Summary 7-8'!G81&lt;0,'Acct Summary 7-8'!G81,"0")+IF('Acct Summary 7-8'!J81&lt;0,'Acct Summary 7-8'!J81,"0"))</f>
        <v>22408203</v>
      </c>
      <c r="I12" s="380"/>
      <c r="J12" s="380"/>
      <c r="K12" s="1548">
        <f>TRUNC((H12/H13*100000),5)/100000</f>
        <v>0.72703112800000003</v>
      </c>
      <c r="L12" s="381"/>
      <c r="M12" s="337" t="s">
        <v>1132</v>
      </c>
      <c r="N12" s="337"/>
      <c r="O12" s="1551">
        <v>0.35</v>
      </c>
      <c r="P12" s="213"/>
      <c r="Q12" s="213"/>
    </row>
    <row r="13" spans="1:18" s="382" customFormat="1" ht="12.75" x14ac:dyDescent="0.2">
      <c r="A13" s="213"/>
      <c r="B13" s="377"/>
      <c r="C13" s="2232" t="s">
        <v>1311</v>
      </c>
      <c r="D13" s="2233"/>
      <c r="E13" s="213"/>
      <c r="F13" s="383" t="s">
        <v>786</v>
      </c>
      <c r="G13" s="378"/>
      <c r="H13" s="1540">
        <f>SUM('Acct Summary 7-8'!C8+'Acct Summary 7-8'!D8+'Acct Summary 7-8'!F8+'Acct Summary 7-8'!I8)+H14</f>
        <v>30821518</v>
      </c>
      <c r="I13" s="380"/>
      <c r="J13" s="380"/>
      <c r="K13" s="1547"/>
      <c r="L13" s="213"/>
      <c r="M13" s="337" t="s">
        <v>1133</v>
      </c>
      <c r="N13" s="337"/>
      <c r="O13" s="1552">
        <f>(O11*O12)</f>
        <v>1.4</v>
      </c>
      <c r="P13" s="213"/>
      <c r="Q13" s="213"/>
      <c r="R13" s="385"/>
    </row>
    <row r="14" spans="1:18" s="382" customFormat="1" ht="12.75" x14ac:dyDescent="0.2">
      <c r="A14" s="213"/>
      <c r="B14" s="377"/>
      <c r="C14" s="235" t="s">
        <v>1376</v>
      </c>
      <c r="D14" s="386"/>
      <c r="E14" s="213"/>
      <c r="F14" s="383" t="s">
        <v>788</v>
      </c>
      <c r="G14" s="378"/>
      <c r="H14" s="1540">
        <f>-SUM('Acct Summary 7-8'!C54:D56,'Acct Summary 7-8'!C58:D60,'Acct Summary 7-8'!C62:D64,'Acct Summary 7-8'!C66:D68,'Acct Summary 7-8'!C70:D72,'Acct Summary 7-8'!C74:D74)</f>
        <v>-124052</v>
      </c>
      <c r="I14" s="380"/>
      <c r="J14" s="380"/>
      <c r="K14" s="1547"/>
      <c r="L14" s="213"/>
      <c r="M14" s="337"/>
      <c r="N14" s="337"/>
      <c r="O14" s="1552"/>
      <c r="P14" s="213"/>
      <c r="Q14" s="213"/>
      <c r="R14" s="385"/>
    </row>
    <row r="15" spans="1:18" ht="11.45" customHeight="1" x14ac:dyDescent="0.2">
      <c r="A15" s="211"/>
      <c r="B15" s="373"/>
      <c r="C15" s="213" t="s">
        <v>1390</v>
      </c>
      <c r="D15" s="211"/>
      <c r="E15" s="211"/>
      <c r="F15" s="213"/>
      <c r="G15" s="387"/>
      <c r="H15" s="1541"/>
      <c r="I15" s="211"/>
      <c r="J15" s="211"/>
      <c r="K15" s="1541"/>
      <c r="L15" s="211"/>
      <c r="M15" s="388"/>
      <c r="N15" s="388"/>
      <c r="O15" s="1553"/>
      <c r="P15" s="211"/>
      <c r="Q15" s="211"/>
      <c r="R15" s="361"/>
    </row>
    <row r="16" spans="1:18" ht="12.75" x14ac:dyDescent="0.2">
      <c r="A16" s="211"/>
      <c r="B16" s="374" t="s">
        <v>975</v>
      </c>
      <c r="C16" s="375" t="s">
        <v>1134</v>
      </c>
      <c r="D16" s="211"/>
      <c r="E16" s="211"/>
      <c r="F16" s="211"/>
      <c r="G16" s="211"/>
      <c r="H16" s="1542" t="s">
        <v>155</v>
      </c>
      <c r="I16" s="314"/>
      <c r="J16" s="314"/>
      <c r="K16" s="1549" t="s">
        <v>1130</v>
      </c>
      <c r="L16" s="314"/>
      <c r="M16" s="314" t="s">
        <v>1131</v>
      </c>
      <c r="N16" s="314"/>
      <c r="O16" s="1550" t="str">
        <f>IF(K17&gt;1.2,"1",IF(K17&gt;1.1,"2",IF(K17&gt;1,"3",4)))</f>
        <v>3</v>
      </c>
      <c r="P16" s="211"/>
      <c r="R16" s="361"/>
    </row>
    <row r="17" spans="1:18" s="382" customFormat="1" ht="11.25" x14ac:dyDescent="0.2">
      <c r="A17" s="213"/>
      <c r="B17" s="377"/>
      <c r="C17" s="213" t="s">
        <v>790</v>
      </c>
      <c r="D17" s="213"/>
      <c r="E17" s="213"/>
      <c r="F17" s="213" t="s">
        <v>440</v>
      </c>
      <c r="G17" s="378"/>
      <c r="H17" s="1540">
        <f>SUM('Acct Summary 7-8'!C17+'Acct Summary 7-8'!D17+'Acct Summary 7-8'!F17)</f>
        <v>30890270</v>
      </c>
      <c r="I17" s="380"/>
      <c r="J17" s="389"/>
      <c r="K17" s="1548">
        <f>TRUNC((H17/H18*100000),5)/100000</f>
        <v>1.0022306492999999</v>
      </c>
      <c r="L17" s="381"/>
      <c r="M17" s="390" t="s">
        <v>1159</v>
      </c>
      <c r="O17" s="1554" t="str">
        <f>IF(AND(O16="2", J20 &gt; 2),"1",IF(AND(O16 = "1", J20 &gt; 2),"2",IF(AND(O16="1", J20 &gt;1),"1","0")))</f>
        <v>0</v>
      </c>
      <c r="P17" s="213"/>
    </row>
    <row r="18" spans="1:18" s="382" customFormat="1" ht="11.25" x14ac:dyDescent="0.2">
      <c r="A18" s="213"/>
      <c r="B18" s="377"/>
      <c r="C18" s="2232" t="s">
        <v>1304</v>
      </c>
      <c r="D18" s="2233"/>
      <c r="E18" s="213"/>
      <c r="F18" s="391" t="s">
        <v>787</v>
      </c>
      <c r="G18" s="378"/>
      <c r="H18" s="1540">
        <f>SUM('Acct Summary 7-8'!C8+'Acct Summary 7-8'!D8+'Acct Summary 7-8'!F8+'Acct Summary 7-8'!I8)+H19</f>
        <v>30821518</v>
      </c>
      <c r="I18" s="380"/>
      <c r="J18" s="380"/>
      <c r="K18" s="1547"/>
      <c r="L18" s="213"/>
      <c r="M18" s="337" t="s">
        <v>1132</v>
      </c>
      <c r="N18" s="337"/>
      <c r="O18" s="1547">
        <v>0.35</v>
      </c>
      <c r="P18" s="213"/>
    </row>
    <row r="19" spans="1:18" s="382" customFormat="1" ht="11.25" x14ac:dyDescent="0.2">
      <c r="A19" s="213"/>
      <c r="B19" s="377"/>
      <c r="C19" s="235" t="s">
        <v>1376</v>
      </c>
      <c r="D19" s="386"/>
      <c r="E19" s="213"/>
      <c r="F19" s="391" t="s">
        <v>788</v>
      </c>
      <c r="G19" s="378"/>
      <c r="H19" s="1540">
        <f>-SUM('Acct Summary 7-8'!C54:D56,'Acct Summary 7-8'!C58:D60,'Acct Summary 7-8'!C62:D64,'Acct Summary 7-8'!C66:D68,'Acct Summary 7-8'!C70:D72,'Acct Summary 7-8'!C74:D74)</f>
        <v>-124052</v>
      </c>
      <c r="I19" s="380"/>
      <c r="J19" s="380"/>
      <c r="K19" s="1547"/>
      <c r="L19" s="213"/>
      <c r="M19" s="337"/>
      <c r="N19" s="337"/>
      <c r="O19" s="1547"/>
      <c r="P19" s="213"/>
    </row>
    <row r="20" spans="1:18" s="382" customFormat="1" ht="12.75" x14ac:dyDescent="0.2">
      <c r="A20" s="213"/>
      <c r="B20" s="377"/>
      <c r="C20" s="213" t="s">
        <v>1390</v>
      </c>
      <c r="D20" s="213"/>
      <c r="E20" s="213"/>
      <c r="F20" s="213"/>
      <c r="G20" s="378"/>
      <c r="H20" s="1543"/>
      <c r="I20" s="380"/>
      <c r="J20" s="393">
        <f>IF(K17&lt;=1,"0",TRUNC(((K12-0.1)/(K17-1)*100),5)/100)</f>
        <v>281.0980318</v>
      </c>
      <c r="K20" s="1548" t="str">
        <f>IF(K17&lt;=1,"0",IF(AND(O16="2", J20 &gt; 2),TRUNC(((K12-0.1)/(K17-1)*100),5)/100,IF(AND(O16 = "1", J20 &gt; 2),TRUNC(((K12-0.1)/(K17-1)*100),5)/100,IF(AND(O16="1", J20 &gt;1),TRUNC(((K12-0.1)/(K17-1)*100),5)/100,""))))</f>
        <v/>
      </c>
      <c r="L20" s="213"/>
      <c r="M20" s="337" t="s">
        <v>1133</v>
      </c>
      <c r="N20" s="337"/>
      <c r="O20" s="1552">
        <f>(O16+O17)*O18</f>
        <v>1.0499999999999998</v>
      </c>
      <c r="P20" s="213"/>
      <c r="R20" s="385"/>
    </row>
    <row r="21" spans="1:18" ht="11.45" customHeight="1" x14ac:dyDescent="0.2">
      <c r="A21" s="211"/>
      <c r="B21" s="373"/>
      <c r="C21" s="213" t="s">
        <v>471</v>
      </c>
      <c r="D21" s="211"/>
      <c r="E21" s="211"/>
      <c r="F21" s="211"/>
      <c r="G21" s="387"/>
      <c r="H21" s="1541"/>
      <c r="I21" s="211"/>
      <c r="J21" s="211"/>
      <c r="K21" s="1541"/>
      <c r="L21" s="211"/>
      <c r="M21" s="388"/>
      <c r="N21" s="388"/>
      <c r="O21" s="1553"/>
      <c r="P21" s="211"/>
      <c r="R21" s="361"/>
    </row>
    <row r="22" spans="1:18" ht="11.45" customHeight="1" x14ac:dyDescent="0.2">
      <c r="A22" s="211"/>
      <c r="B22" s="373"/>
      <c r="C22" s="213"/>
      <c r="D22" s="211"/>
      <c r="E22" s="211"/>
      <c r="F22" s="211"/>
      <c r="G22" s="387"/>
      <c r="H22" s="1541"/>
      <c r="I22" s="211"/>
      <c r="J22" s="211"/>
      <c r="K22" s="1541"/>
      <c r="L22" s="211"/>
      <c r="M22" s="388"/>
      <c r="N22" s="388"/>
      <c r="O22" s="1553"/>
      <c r="P22" s="211"/>
      <c r="R22" s="361"/>
    </row>
    <row r="23" spans="1:18" ht="12.75" x14ac:dyDescent="0.2">
      <c r="A23" s="211"/>
      <c r="B23" s="374" t="s">
        <v>601</v>
      </c>
      <c r="C23" s="375" t="s">
        <v>1135</v>
      </c>
      <c r="D23" s="211"/>
      <c r="E23" s="211"/>
      <c r="F23" s="211"/>
      <c r="G23" s="211"/>
      <c r="H23" s="1542" t="s">
        <v>155</v>
      </c>
      <c r="I23" s="314"/>
      <c r="J23" s="314"/>
      <c r="K23" s="1549" t="s">
        <v>1136</v>
      </c>
      <c r="L23" s="314"/>
      <c r="M23" s="314" t="s">
        <v>1131</v>
      </c>
      <c r="N23" s="314"/>
      <c r="O23" s="1550" t="str">
        <f>IF(K24&gt;=180,"4",IF(K24&gt;=90,"3",IF(K24&gt;=30,"2",1)))</f>
        <v>4</v>
      </c>
      <c r="P23" s="211"/>
      <c r="R23" s="361"/>
    </row>
    <row r="24" spans="1:18" s="382" customFormat="1" ht="11.25" x14ac:dyDescent="0.2">
      <c r="A24" s="213"/>
      <c r="B24" s="377"/>
      <c r="C24" s="2229" t="s">
        <v>1391</v>
      </c>
      <c r="D24" s="2229"/>
      <c r="E24" s="213"/>
      <c r="F24" s="213" t="s">
        <v>441</v>
      </c>
      <c r="G24" s="378"/>
      <c r="H24" s="1540">
        <f>SUM('Assets-Liab 5-6'!C4+'Assets-Liab 5-6'!D4+'Assets-Liab 5-6'!F4+'Assets-Liab 5-6'!I4+'Assets-Liab 5-6'!C5+'Assets-Liab 5-6'!D5+'Assets-Liab 5-6'!F5+'Assets-Liab 5-6'!I5)</f>
        <v>22433165</v>
      </c>
      <c r="I24" s="394"/>
      <c r="J24" s="394"/>
      <c r="K24" s="1544">
        <f>TRUNC(((H24/H25*100000)/100000),2)</f>
        <v>261.43</v>
      </c>
      <c r="L24" s="395"/>
      <c r="M24" s="337" t="s">
        <v>1132</v>
      </c>
      <c r="N24" s="337"/>
      <c r="O24" s="1552">
        <v>0.1</v>
      </c>
      <c r="P24" s="213"/>
    </row>
    <row r="25" spans="1:18" s="382" customFormat="1" ht="12.75" x14ac:dyDescent="0.2">
      <c r="A25" s="213"/>
      <c r="B25" s="377"/>
      <c r="C25" s="213" t="s">
        <v>791</v>
      </c>
      <c r="D25" s="213"/>
      <c r="E25" s="213"/>
      <c r="F25" s="213" t="s">
        <v>442</v>
      </c>
      <c r="G25" s="378"/>
      <c r="H25" s="1544">
        <f>ROUND((H17/360),5)</f>
        <v>85806.305559999993</v>
      </c>
      <c r="I25" s="396"/>
      <c r="J25" s="396"/>
      <c r="K25" s="1547"/>
      <c r="L25" s="213"/>
      <c r="M25" s="337" t="s">
        <v>1133</v>
      </c>
      <c r="N25" s="337"/>
      <c r="O25" s="1552">
        <f>O23*O24</f>
        <v>0.4</v>
      </c>
      <c r="P25" s="213"/>
      <c r="R25" s="385"/>
    </row>
    <row r="26" spans="1:18" ht="12.2" customHeight="1" x14ac:dyDescent="0.2">
      <c r="A26" s="211"/>
      <c r="B26" s="373"/>
      <c r="C26" s="211"/>
      <c r="D26" s="211"/>
      <c r="E26" s="211"/>
      <c r="F26" s="211"/>
      <c r="G26" s="211"/>
      <c r="H26" s="1541"/>
      <c r="I26" s="211"/>
      <c r="J26" s="211"/>
      <c r="K26" s="1541"/>
      <c r="L26" s="211"/>
      <c r="M26" s="388"/>
      <c r="N26" s="388"/>
      <c r="O26" s="1553"/>
      <c r="P26" s="211"/>
    </row>
    <row r="27" spans="1:18" ht="12.75" x14ac:dyDescent="0.2">
      <c r="A27" s="211"/>
      <c r="B27" s="374" t="s">
        <v>486</v>
      </c>
      <c r="C27" s="375"/>
      <c r="D27" s="211"/>
      <c r="E27" s="211"/>
      <c r="F27" s="211"/>
      <c r="G27" s="211"/>
      <c r="H27" s="1542" t="s">
        <v>155</v>
      </c>
      <c r="I27" s="314"/>
      <c r="J27" s="314"/>
      <c r="K27" s="1549" t="s">
        <v>487</v>
      </c>
      <c r="L27" s="314"/>
      <c r="M27" s="314" t="s">
        <v>1131</v>
      </c>
      <c r="N27" s="314"/>
      <c r="O27" s="1555" t="str">
        <f>IF(K28&gt;=75,"4",IF(K28&gt;=50,"3",IF(K28&gt;=25,"2",1)))</f>
        <v>4</v>
      </c>
      <c r="P27" s="211"/>
    </row>
    <row r="28" spans="1:18" s="382" customFormat="1" ht="11.25" x14ac:dyDescent="0.2">
      <c r="A28" s="213"/>
      <c r="B28" s="377"/>
      <c r="C28" s="213" t="s">
        <v>1889</v>
      </c>
      <c r="D28" s="213"/>
      <c r="E28" s="213"/>
      <c r="F28" s="213" t="s">
        <v>440</v>
      </c>
      <c r="G28" s="378"/>
      <c r="H28" s="1545">
        <f>SUM('Short-Term Long-Term Debt 24'!F6,'Short-Term Long-Term Debt 24'!F7,'Short-Term Long-Term Debt 24'!F11)</f>
        <v>0</v>
      </c>
      <c r="I28" s="397"/>
      <c r="J28" s="397"/>
      <c r="K28" s="1544">
        <f>TRUNC(100-((((H28/H29*100))*100)/100),2)</f>
        <v>100</v>
      </c>
      <c r="L28" s="398"/>
      <c r="M28" s="337" t="s">
        <v>1132</v>
      </c>
      <c r="N28" s="337"/>
      <c r="O28" s="1556">
        <v>0.1</v>
      </c>
      <c r="P28" s="213"/>
    </row>
    <row r="29" spans="1:18" s="382" customFormat="1" ht="11.25" x14ac:dyDescent="0.2">
      <c r="A29" s="213"/>
      <c r="B29" s="377"/>
      <c r="C29" s="213" t="s">
        <v>789</v>
      </c>
      <c r="D29" s="213"/>
      <c r="E29" s="213"/>
      <c r="F29" s="213" t="s">
        <v>793</v>
      </c>
      <c r="G29" s="378"/>
      <c r="H29" s="1546">
        <f>ROUND((0.85*'FP Info 3'!J7*'FP Info 3'!J10),5)</f>
        <v>24776351.95152</v>
      </c>
      <c r="I29" s="397"/>
      <c r="J29" s="397"/>
      <c r="K29" s="1547"/>
      <c r="L29" s="213"/>
      <c r="M29" s="337" t="s">
        <v>1133</v>
      </c>
      <c r="N29" s="337"/>
      <c r="O29" s="1552">
        <f>O27*O28</f>
        <v>0.4</v>
      </c>
      <c r="P29" s="213"/>
    </row>
    <row r="30" spans="1:18" s="382" customFormat="1" ht="11.25" x14ac:dyDescent="0.2">
      <c r="A30" s="213"/>
      <c r="B30" s="377"/>
      <c r="C30" s="213"/>
      <c r="D30" s="213"/>
      <c r="E30" s="213"/>
      <c r="F30" s="399"/>
      <c r="G30" s="378"/>
      <c r="H30" s="1547"/>
      <c r="I30" s="384"/>
      <c r="J30" s="384"/>
      <c r="K30" s="1547"/>
      <c r="L30" s="213"/>
      <c r="M30" s="400"/>
      <c r="N30" s="400"/>
      <c r="O30" s="1547"/>
      <c r="P30" s="213"/>
    </row>
    <row r="31" spans="1:18" ht="12.75" x14ac:dyDescent="0.2">
      <c r="A31" s="211"/>
      <c r="B31" s="374" t="s">
        <v>557</v>
      </c>
      <c r="C31" s="375"/>
      <c r="D31" s="211"/>
      <c r="E31" s="211"/>
      <c r="F31" s="211"/>
      <c r="G31" s="387"/>
      <c r="H31" s="1542" t="s">
        <v>155</v>
      </c>
      <c r="I31" s="314"/>
      <c r="J31" s="314"/>
      <c r="K31" s="1549" t="s">
        <v>487</v>
      </c>
      <c r="L31" s="314"/>
      <c r="M31" s="314" t="s">
        <v>1131</v>
      </c>
      <c r="N31" s="314"/>
      <c r="O31" s="1550" t="str">
        <f>IF(K32&gt;=75,"4",IF(K32&gt;=50,"3",IF(K32&gt;=25,"2",1)))</f>
        <v>4</v>
      </c>
      <c r="P31" s="211"/>
    </row>
    <row r="32" spans="1:18" s="382" customFormat="1" ht="11.25" x14ac:dyDescent="0.2">
      <c r="A32" s="213"/>
      <c r="B32" s="377"/>
      <c r="C32" s="213" t="s">
        <v>840</v>
      </c>
      <c r="D32" s="213"/>
      <c r="E32" s="213"/>
      <c r="F32" s="213"/>
      <c r="G32" s="378"/>
      <c r="H32" s="1540">
        <f>'FP Info 3'!H37</f>
        <v>11359688</v>
      </c>
      <c r="I32" s="392"/>
      <c r="J32" s="392"/>
      <c r="K32" s="1544">
        <f>TRUNC(100-((((H32/H33*100))*100)/100),2)</f>
        <v>84.37</v>
      </c>
      <c r="L32" s="381"/>
      <c r="M32" s="337" t="s">
        <v>1132</v>
      </c>
      <c r="N32" s="337"/>
      <c r="O32" s="1557">
        <v>0.1</v>
      </c>
    </row>
    <row r="33" spans="1:17" s="382" customFormat="1" ht="11.25" x14ac:dyDescent="0.2">
      <c r="A33" s="213"/>
      <c r="B33" s="377"/>
      <c r="C33" s="213" t="s">
        <v>792</v>
      </c>
      <c r="D33" s="213"/>
      <c r="E33" s="213"/>
      <c r="F33" s="213"/>
      <c r="G33" s="378"/>
      <c r="H33" s="379">
        <f>IF('FP Info 3'!H31="Enter X in a or b"," ",'FP Info 3'!H31)</f>
        <v>72687271.611000001</v>
      </c>
      <c r="I33" s="392"/>
      <c r="J33" s="392"/>
      <c r="K33" s="379"/>
      <c r="L33" s="213"/>
      <c r="M33" s="401" t="s">
        <v>1133</v>
      </c>
      <c r="N33" s="401"/>
      <c r="O33" s="1557">
        <f>(O31*O32)</f>
        <v>0.4</v>
      </c>
    </row>
    <row r="34" spans="1:17" ht="12.2" customHeight="1" x14ac:dyDescent="0.2">
      <c r="A34" s="211"/>
      <c r="B34" s="373"/>
      <c r="C34" s="211"/>
      <c r="D34" s="211"/>
      <c r="E34" s="211"/>
      <c r="F34" s="211"/>
      <c r="G34" s="211"/>
      <c r="H34" s="372"/>
      <c r="I34" s="211"/>
      <c r="J34" s="211"/>
      <c r="K34" s="372"/>
      <c r="L34" s="211"/>
      <c r="M34" s="388"/>
      <c r="N34" s="388"/>
      <c r="O34" s="1541"/>
    </row>
    <row r="35" spans="1:17" ht="14.25" customHeight="1" x14ac:dyDescent="0.25">
      <c r="A35" s="211"/>
      <c r="B35" s="373"/>
      <c r="C35" s="211"/>
      <c r="D35" s="211"/>
      <c r="E35" s="211"/>
      <c r="F35" s="211"/>
      <c r="G35" s="211"/>
      <c r="H35" s="402"/>
      <c r="I35" s="387"/>
      <c r="J35" s="387"/>
      <c r="K35" s="211"/>
      <c r="L35" s="403"/>
      <c r="M35" s="404" t="s">
        <v>291</v>
      </c>
      <c r="N35" s="387"/>
      <c r="O35" s="155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5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6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workbookViewId="0">
      <selection activeCell="F7" sqref="F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7"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238"/>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239" t="s">
        <v>965</v>
      </c>
      <c r="B3" s="2240"/>
      <c r="C3" s="1299"/>
      <c r="D3" s="1300"/>
      <c r="E3" s="1300"/>
      <c r="F3" s="1300"/>
      <c r="G3" s="1300"/>
      <c r="H3" s="1300"/>
      <c r="I3" s="1300"/>
      <c r="J3" s="1300"/>
      <c r="K3" s="1300"/>
      <c r="L3" s="1300"/>
      <c r="M3" s="1301"/>
      <c r="N3" s="1302"/>
    </row>
    <row r="4" spans="1:14" ht="13.5" customHeight="1" x14ac:dyDescent="0.2">
      <c r="A4" s="427" t="s">
        <v>1628</v>
      </c>
      <c r="B4" s="428"/>
      <c r="C4" s="1906">
        <v>16745463</v>
      </c>
      <c r="D4" s="1901">
        <v>547983</v>
      </c>
      <c r="E4" s="1901">
        <v>2819</v>
      </c>
      <c r="F4" s="1901">
        <v>1578195</v>
      </c>
      <c r="G4" s="1901">
        <v>756580</v>
      </c>
      <c r="H4" s="1901">
        <v>1937</v>
      </c>
      <c r="I4" s="1901">
        <v>448117</v>
      </c>
      <c r="J4" s="1902">
        <v>0</v>
      </c>
      <c r="K4" s="1907">
        <v>0</v>
      </c>
      <c r="L4" s="1900">
        <v>35269</v>
      </c>
      <c r="M4" s="1563"/>
      <c r="N4" s="1564"/>
    </row>
    <row r="5" spans="1:14" x14ac:dyDescent="0.2">
      <c r="A5" s="427" t="s">
        <v>983</v>
      </c>
      <c r="B5" s="429">
        <v>120</v>
      </c>
      <c r="C5" s="1906">
        <v>2698545</v>
      </c>
      <c r="D5" s="1901">
        <v>88310</v>
      </c>
      <c r="E5" s="1901">
        <v>454</v>
      </c>
      <c r="F5" s="1901">
        <v>254335</v>
      </c>
      <c r="G5" s="1901">
        <v>121927</v>
      </c>
      <c r="H5" s="1901">
        <v>312</v>
      </c>
      <c r="I5" s="1901">
        <v>72217</v>
      </c>
      <c r="J5" s="1902"/>
      <c r="K5" s="1907"/>
      <c r="L5" s="1566"/>
      <c r="M5" s="1563"/>
      <c r="N5" s="1564"/>
    </row>
    <row r="6" spans="1:14" ht="13.5" customHeight="1" x14ac:dyDescent="0.2">
      <c r="A6" s="430" t="s">
        <v>413</v>
      </c>
      <c r="B6" s="429">
        <v>130</v>
      </c>
      <c r="C6" s="1906">
        <v>0</v>
      </c>
      <c r="D6" s="1901">
        <v>0</v>
      </c>
      <c r="E6" s="1901">
        <v>0</v>
      </c>
      <c r="F6" s="1901">
        <v>0</v>
      </c>
      <c r="G6" s="1907">
        <v>0</v>
      </c>
      <c r="H6" s="1907">
        <v>0</v>
      </c>
      <c r="I6" s="1901">
        <v>0</v>
      </c>
      <c r="J6" s="1908">
        <v>0</v>
      </c>
      <c r="K6" s="1907">
        <v>0</v>
      </c>
      <c r="L6" s="1568"/>
      <c r="M6" s="1563"/>
      <c r="N6" s="1564"/>
    </row>
    <row r="7" spans="1:14" ht="13.5" customHeight="1" x14ac:dyDescent="0.2">
      <c r="A7" s="430" t="s">
        <v>414</v>
      </c>
      <c r="B7" s="429">
        <v>140</v>
      </c>
      <c r="C7" s="1909">
        <v>0</v>
      </c>
      <c r="D7" s="1902">
        <v>0</v>
      </c>
      <c r="E7" s="1909">
        <v>0</v>
      </c>
      <c r="F7" s="1902">
        <v>0</v>
      </c>
      <c r="G7" s="1902">
        <v>0</v>
      </c>
      <c r="H7" s="1902">
        <v>0</v>
      </c>
      <c r="I7" s="1902">
        <v>0</v>
      </c>
      <c r="J7" s="1902">
        <v>0</v>
      </c>
      <c r="K7" s="1902">
        <v>0</v>
      </c>
      <c r="L7" s="1569"/>
      <c r="M7" s="1563"/>
      <c r="N7" s="1564"/>
    </row>
    <row r="8" spans="1:14" ht="13.5" customHeight="1" x14ac:dyDescent="0.2">
      <c r="A8" s="430" t="s">
        <v>266</v>
      </c>
      <c r="B8" s="429">
        <v>150</v>
      </c>
      <c r="C8" s="1909">
        <v>0</v>
      </c>
      <c r="D8" s="1902">
        <v>0</v>
      </c>
      <c r="E8" s="1909">
        <v>0</v>
      </c>
      <c r="F8" s="1902">
        <v>0</v>
      </c>
      <c r="G8" s="1903">
        <v>0</v>
      </c>
      <c r="H8" s="1902">
        <v>0</v>
      </c>
      <c r="I8" s="1908">
        <v>0</v>
      </c>
      <c r="J8" s="1908">
        <v>0</v>
      </c>
      <c r="K8" s="1904">
        <v>0</v>
      </c>
      <c r="L8" s="1572"/>
      <c r="M8" s="1563"/>
      <c r="N8" s="1564"/>
    </row>
    <row r="9" spans="1:14" ht="13.5" customHeight="1" x14ac:dyDescent="0.2">
      <c r="A9" s="430" t="s">
        <v>267</v>
      </c>
      <c r="B9" s="429">
        <v>160</v>
      </c>
      <c r="C9" s="1909">
        <v>0</v>
      </c>
      <c r="D9" s="1902">
        <v>0</v>
      </c>
      <c r="E9" s="1909">
        <v>0</v>
      </c>
      <c r="F9" s="1902">
        <v>0</v>
      </c>
      <c r="G9" s="1902">
        <v>0</v>
      </c>
      <c r="H9" s="1903">
        <v>0</v>
      </c>
      <c r="I9" s="1902">
        <v>0</v>
      </c>
      <c r="J9" s="1902">
        <v>0</v>
      </c>
      <c r="K9" s="1902">
        <v>0</v>
      </c>
      <c r="L9" s="1562"/>
      <c r="M9" s="1563"/>
      <c r="N9" s="1564"/>
    </row>
    <row r="10" spans="1:14" ht="13.5" customHeight="1" x14ac:dyDescent="0.2">
      <c r="A10" s="430" t="s">
        <v>982</v>
      </c>
      <c r="B10" s="429">
        <v>170</v>
      </c>
      <c r="C10" s="1906">
        <v>0</v>
      </c>
      <c r="D10" s="1901">
        <v>0</v>
      </c>
      <c r="E10" s="1902">
        <v>0</v>
      </c>
      <c r="F10" s="1901">
        <v>0</v>
      </c>
      <c r="G10" s="1903">
        <v>0</v>
      </c>
      <c r="H10" s="1905">
        <v>0</v>
      </c>
      <c r="I10" s="1902">
        <v>0</v>
      </c>
      <c r="J10" s="1902">
        <v>0</v>
      </c>
      <c r="K10" s="1905">
        <v>0</v>
      </c>
      <c r="L10" s="1573"/>
      <c r="M10" s="1564"/>
      <c r="N10" s="1564"/>
    </row>
    <row r="11" spans="1:14" ht="13.5" customHeight="1" x14ac:dyDescent="0.2">
      <c r="A11" s="430" t="s">
        <v>268</v>
      </c>
      <c r="B11" s="429">
        <v>180</v>
      </c>
      <c r="C11" s="1909">
        <v>0</v>
      </c>
      <c r="D11" s="1902">
        <v>0</v>
      </c>
      <c r="E11" s="1902">
        <v>0</v>
      </c>
      <c r="F11" s="1902">
        <v>0</v>
      </c>
      <c r="G11" s="1902">
        <v>0</v>
      </c>
      <c r="H11" s="1902">
        <v>0</v>
      </c>
      <c r="I11" s="1903">
        <v>0</v>
      </c>
      <c r="J11" s="1903">
        <v>0</v>
      </c>
      <c r="K11" s="1902">
        <v>0</v>
      </c>
      <c r="L11" s="1562"/>
      <c r="M11" s="1564"/>
      <c r="N11" s="1564"/>
    </row>
    <row r="12" spans="1:14" ht="13.5" customHeight="1" x14ac:dyDescent="0.2">
      <c r="A12" s="430" t="s">
        <v>415</v>
      </c>
      <c r="B12" s="429">
        <v>190</v>
      </c>
      <c r="C12" s="1906">
        <v>0</v>
      </c>
      <c r="D12" s="1901">
        <v>49</v>
      </c>
      <c r="E12" s="1901">
        <v>0</v>
      </c>
      <c r="F12" s="1901">
        <v>900</v>
      </c>
      <c r="G12" s="1901">
        <v>0</v>
      </c>
      <c r="H12" s="1901">
        <v>0</v>
      </c>
      <c r="I12" s="1901">
        <v>0</v>
      </c>
      <c r="J12" s="1902">
        <v>0</v>
      </c>
      <c r="K12" s="1901">
        <v>0</v>
      </c>
      <c r="L12" s="1561"/>
      <c r="M12" s="1564"/>
      <c r="N12" s="1564"/>
    </row>
    <row r="13" spans="1:14" ht="13.5" customHeight="1" thickBot="1" x14ac:dyDescent="0.25">
      <c r="A13" s="1419" t="s">
        <v>638</v>
      </c>
      <c r="B13" s="1400"/>
      <c r="C13" s="1574">
        <f>SUM(C4:C12)</f>
        <v>19444008</v>
      </c>
      <c r="D13" s="1574">
        <f t="shared" ref="D13:L13" si="0">SUM(D4:D12)</f>
        <v>636342</v>
      </c>
      <c r="E13" s="1574">
        <f t="shared" si="0"/>
        <v>3273</v>
      </c>
      <c r="F13" s="1574">
        <f t="shared" si="0"/>
        <v>1833430</v>
      </c>
      <c r="G13" s="1574">
        <f t="shared" si="0"/>
        <v>878507</v>
      </c>
      <c r="H13" s="1574">
        <f t="shared" si="0"/>
        <v>2249</v>
      </c>
      <c r="I13" s="1574">
        <f t="shared" si="0"/>
        <v>520334</v>
      </c>
      <c r="J13" s="1574">
        <f t="shared" si="0"/>
        <v>0</v>
      </c>
      <c r="K13" s="1574">
        <f t="shared" si="0"/>
        <v>0</v>
      </c>
      <c r="L13" s="1574">
        <f t="shared" si="0"/>
        <v>35269</v>
      </c>
      <c r="M13" s="1563"/>
      <c r="N13" s="1564"/>
    </row>
    <row r="14" spans="1:14" ht="18" customHeight="1" thickTop="1" x14ac:dyDescent="0.2">
      <c r="A14" s="2241" t="s">
        <v>146</v>
      </c>
      <c r="B14" s="2242"/>
      <c r="C14" s="1575"/>
      <c r="D14" s="1576"/>
      <c r="E14" s="1576"/>
      <c r="F14" s="1576"/>
      <c r="G14" s="1576"/>
      <c r="H14" s="1576"/>
      <c r="I14" s="1576"/>
      <c r="J14" s="1576"/>
      <c r="K14" s="1576"/>
      <c r="L14" s="1576"/>
      <c r="M14" s="1577"/>
      <c r="N14" s="1578"/>
    </row>
    <row r="15" spans="1:14" s="433" customFormat="1" ht="12.75" customHeight="1" x14ac:dyDescent="0.2">
      <c r="A15" s="431" t="s">
        <v>1380</v>
      </c>
      <c r="B15" s="432">
        <v>210</v>
      </c>
      <c r="C15" s="1569"/>
      <c r="D15" s="1569"/>
      <c r="E15" s="1569"/>
      <c r="F15" s="1569"/>
      <c r="G15" s="1569"/>
      <c r="H15" s="1569"/>
      <c r="I15" s="1569"/>
      <c r="J15" s="1569"/>
      <c r="K15" s="1569"/>
      <c r="L15" s="1569"/>
      <c r="M15" s="1570"/>
      <c r="N15" s="1579"/>
    </row>
    <row r="16" spans="1:14" s="433" customFormat="1" ht="12.75" customHeight="1" x14ac:dyDescent="0.2">
      <c r="A16" s="431" t="s">
        <v>1381</v>
      </c>
      <c r="B16" s="432">
        <v>220</v>
      </c>
      <c r="C16" s="1569"/>
      <c r="D16" s="1569"/>
      <c r="E16" s="1569"/>
      <c r="F16" s="1569"/>
      <c r="G16" s="1569"/>
      <c r="H16" s="1569"/>
      <c r="I16" s="1569"/>
      <c r="J16" s="1569"/>
      <c r="K16" s="1569"/>
      <c r="L16" s="1569"/>
      <c r="M16" s="1562">
        <v>1853080</v>
      </c>
      <c r="N16" s="1579"/>
    </row>
    <row r="17" spans="1:14" s="433" customFormat="1" ht="12.75" customHeight="1" x14ac:dyDescent="0.2">
      <c r="A17" s="431" t="s">
        <v>1382</v>
      </c>
      <c r="B17" s="432">
        <v>230</v>
      </c>
      <c r="C17" s="1569"/>
      <c r="D17" s="1569"/>
      <c r="E17" s="1569"/>
      <c r="F17" s="1569"/>
      <c r="G17" s="1569"/>
      <c r="H17" s="1569"/>
      <c r="I17" s="1569"/>
      <c r="J17" s="1569"/>
      <c r="K17" s="1569"/>
      <c r="L17" s="1569"/>
      <c r="M17" s="1562">
        <v>42545334</v>
      </c>
      <c r="N17" s="1579"/>
    </row>
    <row r="18" spans="1:14" s="433" customFormat="1" ht="12.75" customHeight="1" x14ac:dyDescent="0.2">
      <c r="A18" s="431" t="s">
        <v>1383</v>
      </c>
      <c r="B18" s="432">
        <v>240</v>
      </c>
      <c r="C18" s="1569"/>
      <c r="D18" s="1569"/>
      <c r="E18" s="1569"/>
      <c r="F18" s="1569"/>
      <c r="G18" s="1569"/>
      <c r="H18" s="1569"/>
      <c r="I18" s="1569"/>
      <c r="J18" s="1569"/>
      <c r="K18" s="1569"/>
      <c r="L18" s="1569"/>
      <c r="M18" s="1562">
        <v>3453459</v>
      </c>
      <c r="N18" s="1579"/>
    </row>
    <row r="19" spans="1:14" s="433" customFormat="1" ht="12.75" customHeight="1" x14ac:dyDescent="0.2">
      <c r="A19" s="431" t="s">
        <v>1384</v>
      </c>
      <c r="B19" s="432">
        <v>250</v>
      </c>
      <c r="C19" s="1569"/>
      <c r="D19" s="1569"/>
      <c r="E19" s="1569"/>
      <c r="F19" s="1569"/>
      <c r="G19" s="1569"/>
      <c r="H19" s="1569"/>
      <c r="I19" s="1569"/>
      <c r="J19" s="1569"/>
      <c r="K19" s="1569"/>
      <c r="L19" s="1569"/>
      <c r="M19" s="1562">
        <v>5207712</v>
      </c>
      <c r="N19" s="1579"/>
    </row>
    <row r="20" spans="1:14" s="433" customFormat="1" ht="12.75" customHeight="1" x14ac:dyDescent="0.2">
      <c r="A20" s="431" t="s">
        <v>1385</v>
      </c>
      <c r="B20" s="432">
        <v>260</v>
      </c>
      <c r="C20" s="1569"/>
      <c r="D20" s="1569"/>
      <c r="E20" s="1569"/>
      <c r="F20" s="1569"/>
      <c r="G20" s="1569"/>
      <c r="H20" s="1569"/>
      <c r="I20" s="1569"/>
      <c r="J20" s="1569"/>
      <c r="K20" s="1569"/>
      <c r="L20" s="1569"/>
      <c r="M20" s="1562">
        <v>4484990</v>
      </c>
      <c r="N20" s="1579"/>
    </row>
    <row r="21" spans="1:14" s="433" customFormat="1" ht="12.75" customHeight="1" x14ac:dyDescent="0.2">
      <c r="A21" s="431" t="s">
        <v>1386</v>
      </c>
      <c r="B21" s="432">
        <v>340</v>
      </c>
      <c r="C21" s="1569"/>
      <c r="D21" s="1569"/>
      <c r="E21" s="1569"/>
      <c r="F21" s="1569"/>
      <c r="G21" s="1569"/>
      <c r="H21" s="1569"/>
      <c r="I21" s="1569"/>
      <c r="J21" s="1569"/>
      <c r="K21" s="1569"/>
      <c r="L21" s="1569"/>
      <c r="M21" s="1580"/>
      <c r="N21" s="1562">
        <v>3273</v>
      </c>
    </row>
    <row r="22" spans="1:14" s="433" customFormat="1" ht="12.75" customHeight="1" x14ac:dyDescent="0.2">
      <c r="A22" s="431" t="s">
        <v>1387</v>
      </c>
      <c r="B22" s="432">
        <v>350</v>
      </c>
      <c r="C22" s="1569"/>
      <c r="D22" s="1569"/>
      <c r="E22" s="1569"/>
      <c r="F22" s="1569"/>
      <c r="G22" s="1569"/>
      <c r="H22" s="1569"/>
      <c r="I22" s="1569"/>
      <c r="J22" s="1569"/>
      <c r="K22" s="1569"/>
      <c r="L22" s="1569"/>
      <c r="M22" s="1580"/>
      <c r="N22" s="1593">
        <f>'Short-Term Long-Term Debt 24'!J49</f>
        <v>11356415</v>
      </c>
    </row>
    <row r="23" spans="1:14" ht="13.5" customHeight="1" thickBot="1" x14ac:dyDescent="0.25">
      <c r="A23" s="1419" t="s">
        <v>637</v>
      </c>
      <c r="B23" s="1422"/>
      <c r="C23" s="1563"/>
      <c r="D23" s="1563"/>
      <c r="E23" s="1563"/>
      <c r="F23" s="1563"/>
      <c r="G23" s="1563"/>
      <c r="H23" s="1563"/>
      <c r="I23" s="1563"/>
      <c r="J23" s="1563"/>
      <c r="K23" s="1563"/>
      <c r="L23" s="1563"/>
      <c r="M23" s="1581">
        <f>SUM(M15:M22)</f>
        <v>57544575</v>
      </c>
      <c r="N23" s="1581">
        <f>SUM(N21:N22)</f>
        <v>11359688</v>
      </c>
    </row>
    <row r="24" spans="1:14" ht="18" customHeight="1" thickTop="1" x14ac:dyDescent="0.2">
      <c r="A24" s="2243" t="s">
        <v>593</v>
      </c>
      <c r="B24" s="2244"/>
      <c r="C24" s="1582"/>
      <c r="D24" s="1577"/>
      <c r="E24" s="1577"/>
      <c r="F24" s="1577"/>
      <c r="G24" s="1577"/>
      <c r="H24" s="1577"/>
      <c r="I24" s="1577"/>
      <c r="J24" s="1577"/>
      <c r="K24" s="1577"/>
      <c r="L24" s="1577"/>
      <c r="M24" s="1576"/>
      <c r="N24" s="1583"/>
    </row>
    <row r="25" spans="1:14" x14ac:dyDescent="0.2">
      <c r="A25" s="430" t="s">
        <v>639</v>
      </c>
      <c r="B25" s="429">
        <v>410</v>
      </c>
      <c r="C25" s="1903">
        <v>0</v>
      </c>
      <c r="D25" s="1903">
        <v>0</v>
      </c>
      <c r="E25" s="1903">
        <v>0</v>
      </c>
      <c r="F25" s="1903">
        <v>0</v>
      </c>
      <c r="G25" s="1903">
        <v>0</v>
      </c>
      <c r="H25" s="1904">
        <v>0</v>
      </c>
      <c r="I25" s="1563"/>
      <c r="J25" s="1570">
        <v>0</v>
      </c>
      <c r="K25" s="1570">
        <v>0</v>
      </c>
      <c r="L25" s="1563"/>
      <c r="M25" s="1563"/>
      <c r="N25" s="1563"/>
    </row>
    <row r="26" spans="1:14" x14ac:dyDescent="0.2">
      <c r="A26" s="430" t="s">
        <v>640</v>
      </c>
      <c r="B26" s="429">
        <v>420</v>
      </c>
      <c r="C26" s="1902">
        <v>0</v>
      </c>
      <c r="D26" s="1902">
        <v>0</v>
      </c>
      <c r="E26" s="1902">
        <v>0</v>
      </c>
      <c r="F26" s="1902">
        <v>0</v>
      </c>
      <c r="G26" s="1902">
        <v>0</v>
      </c>
      <c r="H26" s="1902">
        <v>0</v>
      </c>
      <c r="I26" s="1913">
        <v>0</v>
      </c>
      <c r="J26" s="1916">
        <v>0</v>
      </c>
      <c r="K26" s="1913">
        <v>0</v>
      </c>
      <c r="L26" s="1563"/>
      <c r="M26" s="1563"/>
      <c r="N26" s="1563"/>
    </row>
    <row r="27" spans="1:14" ht="13.5" customHeight="1" x14ac:dyDescent="0.2">
      <c r="A27" s="430" t="s">
        <v>641</v>
      </c>
      <c r="B27" s="429">
        <v>430</v>
      </c>
      <c r="C27" s="1902">
        <v>25911</v>
      </c>
      <c r="D27" s="1902">
        <v>0</v>
      </c>
      <c r="E27" s="1902">
        <v>0</v>
      </c>
      <c r="F27" s="1902">
        <v>0</v>
      </c>
      <c r="G27" s="1902">
        <v>0</v>
      </c>
      <c r="H27" s="1902">
        <v>0</v>
      </c>
      <c r="I27" s="1913">
        <v>0</v>
      </c>
      <c r="J27" s="1913">
        <v>0</v>
      </c>
      <c r="K27" s="1913">
        <v>0</v>
      </c>
      <c r="L27" s="1563"/>
      <c r="M27" s="1563"/>
      <c r="N27" s="1563"/>
    </row>
    <row r="28" spans="1:14" ht="13.5" customHeight="1" x14ac:dyDescent="0.2">
      <c r="A28" s="430" t="s">
        <v>642</v>
      </c>
      <c r="B28" s="429">
        <v>440</v>
      </c>
      <c r="C28" s="1902">
        <v>0</v>
      </c>
      <c r="D28" s="1902">
        <v>0</v>
      </c>
      <c r="E28" s="1908">
        <v>0</v>
      </c>
      <c r="F28" s="1902">
        <v>0</v>
      </c>
      <c r="G28" s="1908">
        <v>0</v>
      </c>
      <c r="H28" s="1908">
        <v>0</v>
      </c>
      <c r="I28" s="1913">
        <v>0</v>
      </c>
      <c r="J28" s="1913">
        <v>0</v>
      </c>
      <c r="K28" s="1915">
        <v>0</v>
      </c>
      <c r="L28" s="1563"/>
      <c r="M28" s="1563"/>
      <c r="N28" s="1563"/>
    </row>
    <row r="29" spans="1:14" ht="13.5" customHeight="1" x14ac:dyDescent="0.2">
      <c r="A29" s="430" t="s">
        <v>643</v>
      </c>
      <c r="B29" s="429">
        <v>460</v>
      </c>
      <c r="C29" s="1910">
        <v>0</v>
      </c>
      <c r="D29" s="1911">
        <v>0</v>
      </c>
      <c r="E29" s="1908">
        <v>0</v>
      </c>
      <c r="F29" s="1902">
        <v>0</v>
      </c>
      <c r="G29" s="1908">
        <v>0</v>
      </c>
      <c r="H29" s="1908">
        <v>0</v>
      </c>
      <c r="I29" s="1916">
        <v>0</v>
      </c>
      <c r="J29" s="1916">
        <v>0</v>
      </c>
      <c r="K29" s="1913">
        <v>0</v>
      </c>
      <c r="L29" s="1563"/>
      <c r="M29" s="1563"/>
      <c r="N29" s="1563"/>
    </row>
    <row r="30" spans="1:14" ht="13.5" customHeight="1" x14ac:dyDescent="0.2">
      <c r="A30" s="430" t="s">
        <v>644</v>
      </c>
      <c r="B30" s="429">
        <v>470</v>
      </c>
      <c r="C30" s="1902">
        <v>0</v>
      </c>
      <c r="D30" s="1908">
        <v>0</v>
      </c>
      <c r="E30" s="1902">
        <v>0</v>
      </c>
      <c r="F30" s="1902">
        <v>0</v>
      </c>
      <c r="G30" s="1902">
        <v>0</v>
      </c>
      <c r="H30" s="1902">
        <v>0</v>
      </c>
      <c r="I30" s="1913">
        <v>0</v>
      </c>
      <c r="J30" s="1913">
        <v>0</v>
      </c>
      <c r="K30" s="1914">
        <v>0</v>
      </c>
      <c r="L30" s="1563"/>
      <c r="M30" s="1563"/>
      <c r="N30" s="1563"/>
    </row>
    <row r="31" spans="1:14" ht="13.5" customHeight="1" x14ac:dyDescent="0.2">
      <c r="A31" s="430" t="s">
        <v>645</v>
      </c>
      <c r="B31" s="429">
        <v>480</v>
      </c>
      <c r="C31" s="1901">
        <v>0</v>
      </c>
      <c r="D31" s="1902">
        <v>0</v>
      </c>
      <c r="E31" s="1902">
        <v>0</v>
      </c>
      <c r="F31" s="1901">
        <v>0</v>
      </c>
      <c r="G31" s="1902">
        <v>0</v>
      </c>
      <c r="H31" s="1902">
        <v>0</v>
      </c>
      <c r="I31" s="1913">
        <v>0</v>
      </c>
      <c r="J31" s="1913">
        <v>0</v>
      </c>
      <c r="K31" s="1913">
        <v>0</v>
      </c>
      <c r="L31" s="1563"/>
      <c r="M31" s="1563"/>
      <c r="N31" s="1563"/>
    </row>
    <row r="32" spans="1:14" ht="13.5" customHeight="1" x14ac:dyDescent="0.2">
      <c r="A32" s="434" t="s">
        <v>646</v>
      </c>
      <c r="B32" s="435">
        <v>490</v>
      </c>
      <c r="C32" s="1912">
        <v>0</v>
      </c>
      <c r="D32" s="1912">
        <v>0</v>
      </c>
      <c r="E32" s="1908">
        <v>0</v>
      </c>
      <c r="F32" s="1908">
        <v>0</v>
      </c>
      <c r="G32" s="1908">
        <v>0</v>
      </c>
      <c r="H32" s="1908">
        <v>0</v>
      </c>
      <c r="I32" s="1916">
        <v>0</v>
      </c>
      <c r="J32" s="1916">
        <v>0</v>
      </c>
      <c r="K32" s="1915">
        <v>0</v>
      </c>
      <c r="L32" s="1563"/>
      <c r="M32" s="1563"/>
      <c r="N32" s="1563"/>
    </row>
    <row r="33" spans="1:14" ht="13.5" customHeight="1" x14ac:dyDescent="0.2">
      <c r="A33" s="436" t="s">
        <v>299</v>
      </c>
      <c r="B33" s="435">
        <v>493</v>
      </c>
      <c r="C33" s="1902">
        <v>0</v>
      </c>
      <c r="D33" s="1902">
        <v>0</v>
      </c>
      <c r="E33" s="1902">
        <v>0</v>
      </c>
      <c r="F33" s="1902">
        <v>0</v>
      </c>
      <c r="G33" s="1902">
        <v>0</v>
      </c>
      <c r="H33" s="1902">
        <v>0</v>
      </c>
      <c r="I33" s="1913">
        <v>0</v>
      </c>
      <c r="J33" s="1913">
        <v>0</v>
      </c>
      <c r="K33" s="1913">
        <v>0</v>
      </c>
      <c r="L33" s="1917">
        <v>35269</v>
      </c>
      <c r="M33" s="1563"/>
      <c r="N33" s="1564"/>
    </row>
    <row r="34" spans="1:14" ht="13.5" customHeight="1" thickBot="1" x14ac:dyDescent="0.25">
      <c r="A34" s="1420" t="s">
        <v>648</v>
      </c>
      <c r="B34" s="1421"/>
      <c r="C34" s="1586">
        <f>SUM(C25:C33)</f>
        <v>25911</v>
      </c>
      <c r="D34" s="1586">
        <f t="shared" ref="D34:K34" si="1">SUM(D25:D33)</f>
        <v>0</v>
      </c>
      <c r="E34" s="1586">
        <f t="shared" si="1"/>
        <v>0</v>
      </c>
      <c r="F34" s="1586">
        <f t="shared" si="1"/>
        <v>0</v>
      </c>
      <c r="G34" s="1586">
        <f t="shared" si="1"/>
        <v>0</v>
      </c>
      <c r="H34" s="1586">
        <f t="shared" si="1"/>
        <v>0</v>
      </c>
      <c r="I34" s="1586">
        <f t="shared" si="1"/>
        <v>0</v>
      </c>
      <c r="J34" s="1586">
        <f t="shared" si="1"/>
        <v>0</v>
      </c>
      <c r="K34" s="1586">
        <f t="shared" si="1"/>
        <v>0</v>
      </c>
      <c r="L34" s="1587">
        <f>SUM(L33)</f>
        <v>35269</v>
      </c>
      <c r="M34" s="1563"/>
      <c r="N34" s="1572"/>
    </row>
    <row r="35" spans="1:14" ht="18" customHeight="1" thickTop="1" x14ac:dyDescent="0.2">
      <c r="A35" s="2245" t="s">
        <v>525</v>
      </c>
      <c r="B35" s="2246"/>
      <c r="C35" s="1588"/>
      <c r="D35" s="1589"/>
      <c r="E35" s="1589"/>
      <c r="F35" s="1589"/>
      <c r="G35" s="1589"/>
      <c r="H35" s="1589"/>
      <c r="I35" s="1589"/>
      <c r="J35" s="1589"/>
      <c r="K35" s="1589"/>
      <c r="L35" s="1589"/>
      <c r="M35" s="1577"/>
      <c r="N35" s="1583"/>
    </row>
    <row r="36" spans="1:14" x14ac:dyDescent="0.2">
      <c r="A36" s="437" t="s">
        <v>1</v>
      </c>
      <c r="B36" s="429">
        <v>511</v>
      </c>
      <c r="C36" s="1569"/>
      <c r="D36" s="1569"/>
      <c r="E36" s="1569"/>
      <c r="F36" s="1569"/>
      <c r="G36" s="1569"/>
      <c r="H36" s="1569"/>
      <c r="I36" s="1569"/>
      <c r="J36" s="1569"/>
      <c r="K36" s="1569"/>
      <c r="L36" s="1563"/>
      <c r="M36" s="1563"/>
      <c r="N36" s="1592">
        <f>'Short-Term Long-Term Debt 24'!I49</f>
        <v>11359688</v>
      </c>
    </row>
    <row r="37" spans="1:14" ht="13.5" thickBot="1" x14ac:dyDescent="0.25">
      <c r="A37" s="1419" t="s">
        <v>647</v>
      </c>
      <c r="B37" s="1422"/>
      <c r="C37" s="1569"/>
      <c r="D37" s="1569"/>
      <c r="E37" s="1569"/>
      <c r="F37" s="1569"/>
      <c r="G37" s="1569"/>
      <c r="H37" s="1569"/>
      <c r="I37" s="1569"/>
      <c r="J37" s="1569"/>
      <c r="K37" s="1569"/>
      <c r="L37" s="1572"/>
      <c r="M37" s="1563"/>
      <c r="N37" s="1581">
        <f>SUM(N36:N36)</f>
        <v>11359688</v>
      </c>
    </row>
    <row r="38" spans="1:14" s="307" customFormat="1" ht="13.5" customHeight="1" thickTop="1" x14ac:dyDescent="0.2">
      <c r="A38" s="438" t="s">
        <v>416</v>
      </c>
      <c r="B38" s="432">
        <v>714</v>
      </c>
      <c r="C38" s="1561"/>
      <c r="D38" s="1561"/>
      <c r="E38" s="1561"/>
      <c r="F38" s="1561"/>
      <c r="G38" s="1561">
        <v>60472</v>
      </c>
      <c r="H38" s="1561"/>
      <c r="I38" s="1561"/>
      <c r="J38" s="1562"/>
      <c r="K38" s="1561"/>
      <c r="L38" s="1573"/>
      <c r="M38" s="1590"/>
      <c r="N38" s="1590"/>
    </row>
    <row r="39" spans="1:14" s="307" customFormat="1" ht="13.5" customHeight="1" x14ac:dyDescent="0.2">
      <c r="A39" s="438" t="s">
        <v>338</v>
      </c>
      <c r="B39" s="432">
        <v>730</v>
      </c>
      <c r="C39" s="1561">
        <v>19418097</v>
      </c>
      <c r="D39" s="1561">
        <v>636342</v>
      </c>
      <c r="E39" s="1561">
        <v>3273</v>
      </c>
      <c r="F39" s="1561">
        <v>1833430</v>
      </c>
      <c r="G39" s="1561">
        <v>818035</v>
      </c>
      <c r="H39" s="1561">
        <v>2249</v>
      </c>
      <c r="I39" s="1561">
        <v>520334</v>
      </c>
      <c r="J39" s="1562">
        <v>0</v>
      </c>
      <c r="K39" s="1561">
        <v>0</v>
      </c>
      <c r="L39" s="1561">
        <v>0</v>
      </c>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v>57544575</v>
      </c>
      <c r="N40" s="1590"/>
    </row>
    <row r="41" spans="1:14" ht="13.5" customHeight="1" thickBot="1" x14ac:dyDescent="0.25">
      <c r="A41" s="1419" t="s">
        <v>649</v>
      </c>
      <c r="B41" s="1398"/>
      <c r="C41" s="1581">
        <f>(SUM(C34,C37,C38,C39))</f>
        <v>19444008</v>
      </c>
      <c r="D41" s="1581">
        <f t="shared" ref="D41:L41" si="2">SUM(D34,D37,D38:D39)</f>
        <v>636342</v>
      </c>
      <c r="E41" s="1581">
        <f t="shared" si="2"/>
        <v>3273</v>
      </c>
      <c r="F41" s="1581">
        <f t="shared" si="2"/>
        <v>1833430</v>
      </c>
      <c r="G41" s="1581">
        <f t="shared" si="2"/>
        <v>878507</v>
      </c>
      <c r="H41" s="1581">
        <f t="shared" si="2"/>
        <v>2249</v>
      </c>
      <c r="I41" s="1581">
        <f t="shared" si="2"/>
        <v>520334</v>
      </c>
      <c r="J41" s="1581">
        <f t="shared" si="2"/>
        <v>0</v>
      </c>
      <c r="K41" s="1581">
        <f t="shared" si="2"/>
        <v>0</v>
      </c>
      <c r="L41" s="1581">
        <f t="shared" si="2"/>
        <v>35269</v>
      </c>
      <c r="M41" s="1581">
        <f>SUM(M40)</f>
        <v>57544575</v>
      </c>
      <c r="N41" s="1581">
        <f>SUM(N37)</f>
        <v>11359688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1" gridLinesSet="0"/>
  <pageMargins left="0.3" right="0.15" top="1.01" bottom="0" header="0.42" footer="0.1"/>
  <pageSetup scale="73"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topLeftCell="A55" workbookViewId="0">
      <selection activeCell="H9" sqref="H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5"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56"/>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67" t="s">
        <v>1163</v>
      </c>
      <c r="B3" s="2268"/>
      <c r="C3" s="1304"/>
      <c r="D3" s="1305"/>
      <c r="E3" s="1305"/>
      <c r="F3" s="1305"/>
      <c r="G3" s="1305"/>
      <c r="H3" s="1305"/>
      <c r="I3" s="1305"/>
      <c r="J3" s="1305"/>
      <c r="K3" s="1306"/>
      <c r="L3" s="446"/>
    </row>
    <row r="4" spans="1:13" ht="15.75" customHeight="1" x14ac:dyDescent="0.2">
      <c r="A4" s="1526" t="s">
        <v>1478</v>
      </c>
      <c r="B4" s="1527">
        <v>1000</v>
      </c>
      <c r="C4" s="1592">
        <f>'Revenues 9-14'!C109</f>
        <v>25208374</v>
      </c>
      <c r="D4" s="1592">
        <f>'Revenues 9-14'!D109</f>
        <v>1864660</v>
      </c>
      <c r="E4" s="1592">
        <f>'Revenues 9-14'!E109</f>
        <v>360219</v>
      </c>
      <c r="F4" s="1592">
        <f>'Revenues 9-14'!F109</f>
        <v>1355206</v>
      </c>
      <c r="G4" s="1592">
        <f>'Revenues 9-14'!G109</f>
        <v>1206546</v>
      </c>
      <c r="H4" s="1592">
        <f>'Revenues 9-14'!H109</f>
        <v>0</v>
      </c>
      <c r="I4" s="1592">
        <f>'Revenues 9-14'!I109</f>
        <v>21110</v>
      </c>
      <c r="J4" s="1592">
        <f>'Revenues 9-14'!J109</f>
        <v>0</v>
      </c>
      <c r="K4" s="1592">
        <f>'Revenues 9-14'!K109</f>
        <v>0</v>
      </c>
      <c r="L4" s="325"/>
    </row>
    <row r="5" spans="1:13" ht="15.75" customHeight="1" x14ac:dyDescent="0.2">
      <c r="A5" s="1307" t="s">
        <v>1479</v>
      </c>
      <c r="B5" s="1308">
        <v>2000</v>
      </c>
      <c r="C5" s="1593">
        <f>'Revenues 9-14'!C114</f>
        <v>0</v>
      </c>
      <c r="D5" s="1593">
        <f>'Revenues 9-14'!D114</f>
        <v>0</v>
      </c>
      <c r="E5" s="1594"/>
      <c r="F5" s="1593">
        <f>'Revenues 9-14'!F114</f>
        <v>0</v>
      </c>
      <c r="G5" s="1593">
        <f>'Revenues 9-14'!G114</f>
        <v>0</v>
      </c>
      <c r="H5" s="1595" t="s">
        <v>1157</v>
      </c>
      <c r="I5" s="1596" t="s">
        <v>1157</v>
      </c>
      <c r="J5" s="1597" t="s">
        <v>1157</v>
      </c>
      <c r="K5" s="1598" t="s">
        <v>1157</v>
      </c>
      <c r="L5" s="325"/>
    </row>
    <row r="6" spans="1:13" ht="15.75" customHeight="1" x14ac:dyDescent="0.2">
      <c r="A6" s="1307" t="s">
        <v>1480</v>
      </c>
      <c r="B6" s="1309">
        <v>3000</v>
      </c>
      <c r="C6" s="1593">
        <f>'Revenues 9-14'!C170</f>
        <v>1191609</v>
      </c>
      <c r="D6" s="1593">
        <f>'Revenues 9-14'!D170</f>
        <v>50000</v>
      </c>
      <c r="E6" s="1593">
        <f>'Revenues 9-14'!E170</f>
        <v>0</v>
      </c>
      <c r="F6" s="1593">
        <f>'Revenues 9-14'!F170</f>
        <v>797091</v>
      </c>
      <c r="G6" s="1593">
        <f>'Revenues 9-14'!G170</f>
        <v>0</v>
      </c>
      <c r="H6" s="1593">
        <f>'Revenues 9-14'!H170</f>
        <v>0</v>
      </c>
      <c r="I6" s="1593">
        <f>'Revenues 9-14'!I170</f>
        <v>0</v>
      </c>
      <c r="J6" s="1593">
        <f>'Revenues 9-14'!J170</f>
        <v>0</v>
      </c>
      <c r="K6" s="1593">
        <f>'Revenues 9-14'!K170</f>
        <v>0</v>
      </c>
      <c r="L6" s="325"/>
      <c r="M6" s="448"/>
    </row>
    <row r="7" spans="1:13" ht="15.75" customHeight="1" x14ac:dyDescent="0.2">
      <c r="A7" s="1307" t="s">
        <v>1481</v>
      </c>
      <c r="B7" s="1309">
        <v>4000</v>
      </c>
      <c r="C7" s="1593">
        <f>'Revenues 9-14'!C267</f>
        <v>457520</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9" t="s">
        <v>1160</v>
      </c>
      <c r="B8" s="1400"/>
      <c r="C8" s="1581">
        <f>SUM(C4:C7)</f>
        <v>26857503</v>
      </c>
      <c r="D8" s="1581">
        <f t="shared" ref="D8:K8" si="0">SUM(D4:D7)</f>
        <v>1914660</v>
      </c>
      <c r="E8" s="1581">
        <f t="shared" si="0"/>
        <v>360219</v>
      </c>
      <c r="F8" s="1581">
        <f t="shared" si="0"/>
        <v>2152297</v>
      </c>
      <c r="G8" s="1581">
        <f t="shared" si="0"/>
        <v>1206546</v>
      </c>
      <c r="H8" s="1581">
        <f t="shared" si="0"/>
        <v>0</v>
      </c>
      <c r="I8" s="1581">
        <f t="shared" si="0"/>
        <v>21110</v>
      </c>
      <c r="J8" s="1581">
        <f t="shared" si="0"/>
        <v>0</v>
      </c>
      <c r="K8" s="1581">
        <f t="shared" si="0"/>
        <v>0</v>
      </c>
      <c r="L8" s="325"/>
    </row>
    <row r="9" spans="1:13" ht="15.75" thickTop="1" x14ac:dyDescent="0.2">
      <c r="A9" s="449" t="s">
        <v>1630</v>
      </c>
      <c r="B9" s="450">
        <v>3998</v>
      </c>
      <c r="C9" s="1573">
        <v>12612996</v>
      </c>
      <c r="D9" s="1599">
        <v>0</v>
      </c>
      <c r="E9" s="1573">
        <v>0</v>
      </c>
      <c r="F9" s="1573">
        <v>0</v>
      </c>
      <c r="G9" s="1600">
        <v>0</v>
      </c>
      <c r="H9" s="1573">
        <v>0</v>
      </c>
      <c r="I9" s="1595" t="s">
        <v>1157</v>
      </c>
      <c r="J9" s="1570">
        <v>0</v>
      </c>
      <c r="K9" s="1573">
        <v>0</v>
      </c>
      <c r="L9" s="325"/>
    </row>
    <row r="10" spans="1:13" s="452" customFormat="1" ht="13.5" thickBot="1" x14ac:dyDescent="0.25">
      <c r="A10" s="1419" t="s">
        <v>1161</v>
      </c>
      <c r="B10" s="1400"/>
      <c r="C10" s="1581">
        <f>SUM(C8:C9)</f>
        <v>39470499</v>
      </c>
      <c r="D10" s="1581">
        <f t="shared" ref="D10:K10" si="1">SUM(D8:D9)</f>
        <v>1914660</v>
      </c>
      <c r="E10" s="1581">
        <f t="shared" si="1"/>
        <v>360219</v>
      </c>
      <c r="F10" s="1581">
        <f t="shared" si="1"/>
        <v>2152297</v>
      </c>
      <c r="G10" s="1581">
        <f t="shared" si="1"/>
        <v>1206546</v>
      </c>
      <c r="H10" s="1581">
        <f t="shared" si="1"/>
        <v>0</v>
      </c>
      <c r="I10" s="1581">
        <f t="shared" si="1"/>
        <v>21110</v>
      </c>
      <c r="J10" s="1581">
        <f t="shared" si="1"/>
        <v>0</v>
      </c>
      <c r="K10" s="1581">
        <f t="shared" si="1"/>
        <v>0</v>
      </c>
      <c r="L10" s="451"/>
    </row>
    <row r="11" spans="1:13" s="452" customFormat="1" ht="16.7" customHeight="1" thickTop="1" x14ac:dyDescent="0.2">
      <c r="A11" s="2241" t="s">
        <v>1164</v>
      </c>
      <c r="B11" s="2242"/>
      <c r="C11" s="1588"/>
      <c r="D11" s="1589"/>
      <c r="E11" s="1589"/>
      <c r="F11" s="1589"/>
      <c r="G11" s="1589"/>
      <c r="H11" s="1589"/>
      <c r="I11" s="1589"/>
      <c r="J11" s="1589"/>
      <c r="K11" s="1601"/>
      <c r="L11" s="451"/>
    </row>
    <row r="12" spans="1:13" ht="15.75" customHeight="1" x14ac:dyDescent="0.2">
      <c r="A12" s="1307" t="s">
        <v>452</v>
      </c>
      <c r="B12" s="1309">
        <v>1000</v>
      </c>
      <c r="C12" s="1592">
        <f>'Expenditures 15-22'!K33</f>
        <v>16786768</v>
      </c>
      <c r="D12" s="1602" t="s">
        <v>1157</v>
      </c>
      <c r="E12" s="1563" t="s">
        <v>1157</v>
      </c>
      <c r="F12" s="1563" t="s">
        <v>1157</v>
      </c>
      <c r="G12" s="1592">
        <f>'Expenditures 15-22'!K229</f>
        <v>364899</v>
      </c>
      <c r="H12" s="1603"/>
      <c r="I12" s="1563" t="s">
        <v>1157</v>
      </c>
      <c r="J12" s="1563" t="s">
        <v>1157</v>
      </c>
      <c r="K12" s="1603" t="s">
        <v>1157</v>
      </c>
      <c r="L12" s="325"/>
    </row>
    <row r="13" spans="1:13" ht="15.75" customHeight="1" x14ac:dyDescent="0.2">
      <c r="A13" s="1307" t="s">
        <v>453</v>
      </c>
      <c r="B13" s="1309">
        <v>2000</v>
      </c>
      <c r="C13" s="1593">
        <f>'Expenditures 15-22'!K74</f>
        <v>8849933</v>
      </c>
      <c r="D13" s="1593">
        <f>'Expenditures 15-22'!K129</f>
        <v>2212611</v>
      </c>
      <c r="E13" s="1564" t="s">
        <v>1157</v>
      </c>
      <c r="F13" s="1593">
        <f>'Expenditures 15-22'!K184</f>
        <v>2054463</v>
      </c>
      <c r="G13" s="1593">
        <f>'Expenditures 15-22'!K279</f>
        <v>733386</v>
      </c>
      <c r="H13" s="1593">
        <f>'Expenditures 15-22'!K303</f>
        <v>3923539</v>
      </c>
      <c r="I13" s="1563" t="s">
        <v>1157</v>
      </c>
      <c r="J13" s="1593">
        <f>'Expenditures 15-22'!K330</f>
        <v>0</v>
      </c>
      <c r="K13" s="1604">
        <f>'Expenditures 15-22'!K352</f>
        <v>0</v>
      </c>
      <c r="L13" s="325"/>
    </row>
    <row r="14" spans="1:13" ht="15.75" customHeight="1" x14ac:dyDescent="0.2">
      <c r="A14" s="1307" t="s">
        <v>445</v>
      </c>
      <c r="B14" s="1309">
        <v>3000</v>
      </c>
      <c r="C14" s="1593">
        <f>'Expenditures 15-22'!K75</f>
        <v>327845</v>
      </c>
      <c r="D14" s="1593">
        <f>'Expenditures 15-22'!K130</f>
        <v>0</v>
      </c>
      <c r="E14" s="1602" t="s">
        <v>1157</v>
      </c>
      <c r="F14" s="1593">
        <f>'Expenditures 15-22'!K185</f>
        <v>0</v>
      </c>
      <c r="G14" s="1593">
        <f>'Expenditures 15-22'!K280</f>
        <v>38430</v>
      </c>
      <c r="H14" s="1598"/>
      <c r="I14" s="1563" t="s">
        <v>1157</v>
      </c>
      <c r="J14" s="1563" t="s">
        <v>1157</v>
      </c>
      <c r="K14" s="1598" t="s">
        <v>1157</v>
      </c>
      <c r="L14" s="325"/>
    </row>
    <row r="15" spans="1:13" ht="15.75" customHeight="1" x14ac:dyDescent="0.2">
      <c r="A15" s="1307" t="s">
        <v>107</v>
      </c>
      <c r="B15" s="1309">
        <v>4000</v>
      </c>
      <c r="C15" s="1593">
        <f>'Expenditures 15-22'!K102</f>
        <v>658650</v>
      </c>
      <c r="D15" s="1593">
        <f>'Expenditures 15-22'!K139</f>
        <v>0</v>
      </c>
      <c r="E15" s="1593">
        <f>'Expenditures 15-22'!K160</f>
        <v>0</v>
      </c>
      <c r="F15" s="1593">
        <f>'Expenditures 15-22'!K196</f>
        <v>0</v>
      </c>
      <c r="G15" s="1593">
        <f>'Expenditures 15-22'!K285</f>
        <v>0</v>
      </c>
      <c r="H15" s="1593">
        <f>'Expenditures 15-22'!K310</f>
        <v>0</v>
      </c>
      <c r="I15" s="1563" t="s">
        <v>1157</v>
      </c>
      <c r="J15" s="1605">
        <f>'Expenditures 15-22'!K334</f>
        <v>0</v>
      </c>
      <c r="K15" s="1593">
        <f>'Expenditures 15-22'!K357</f>
        <v>0</v>
      </c>
      <c r="L15" s="325"/>
    </row>
    <row r="16" spans="1:13" ht="15.75" customHeight="1" x14ac:dyDescent="0.2">
      <c r="A16" s="1307" t="s">
        <v>446</v>
      </c>
      <c r="B16" s="1309">
        <v>5000</v>
      </c>
      <c r="C16" s="1593">
        <f>'Expenditures 15-22'!K112</f>
        <v>0</v>
      </c>
      <c r="D16" s="1593">
        <f>'Expenditures 15-22'!K149</f>
        <v>0</v>
      </c>
      <c r="E16" s="1593">
        <f>'Expenditures 15-22'!K172</f>
        <v>1154987</v>
      </c>
      <c r="F16" s="1593">
        <f>'Expenditures 15-22'!K208</f>
        <v>0</v>
      </c>
      <c r="G16" s="1593">
        <f>'Expenditures 15-22'!K293</f>
        <v>0</v>
      </c>
      <c r="H16" s="1606"/>
      <c r="I16" s="1563" t="s">
        <v>1157</v>
      </c>
      <c r="J16" s="1607">
        <f>'Expenditures 15-22'!K340</f>
        <v>0</v>
      </c>
      <c r="K16" s="1593">
        <f>'Expenditures 15-22'!K365</f>
        <v>0</v>
      </c>
      <c r="L16" s="325"/>
    </row>
    <row r="17" spans="1:12" ht="13.5" thickBot="1" x14ac:dyDescent="0.25">
      <c r="A17" s="1399" t="s">
        <v>48</v>
      </c>
      <c r="B17" s="1400"/>
      <c r="C17" s="1581">
        <f t="shared" ref="C17:H17" si="2">SUM(C12:C16)</f>
        <v>26623196</v>
      </c>
      <c r="D17" s="1581">
        <f t="shared" si="2"/>
        <v>2212611</v>
      </c>
      <c r="E17" s="1581">
        <f t="shared" si="2"/>
        <v>1154987</v>
      </c>
      <c r="F17" s="1581">
        <f t="shared" si="2"/>
        <v>2054463</v>
      </c>
      <c r="G17" s="1581">
        <f t="shared" si="2"/>
        <v>1136715</v>
      </c>
      <c r="H17" s="1581">
        <f t="shared" si="2"/>
        <v>3923539</v>
      </c>
      <c r="I17" s="1563"/>
      <c r="J17" s="1581">
        <f>SUM(J12:J16)</f>
        <v>0</v>
      </c>
      <c r="K17" s="1581">
        <f>SUM(K12:K16)</f>
        <v>0</v>
      </c>
      <c r="L17" s="325"/>
    </row>
    <row r="18" spans="1:12" ht="15" customHeight="1" thickTop="1" x14ac:dyDescent="0.2">
      <c r="A18" s="1423" t="s">
        <v>1631</v>
      </c>
      <c r="B18" s="1424">
        <v>4180</v>
      </c>
      <c r="C18" s="1592">
        <f t="shared" ref="C18:H18" si="3">C9</f>
        <v>12612996</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9" t="s">
        <v>501</v>
      </c>
      <c r="B19" s="1400"/>
      <c r="C19" s="1581">
        <f t="shared" ref="C19:H19" si="4">SUM(C17:C18)</f>
        <v>39236192</v>
      </c>
      <c r="D19" s="1581">
        <f t="shared" si="4"/>
        <v>2212611</v>
      </c>
      <c r="E19" s="1581">
        <f t="shared" si="4"/>
        <v>1154987</v>
      </c>
      <c r="F19" s="1581">
        <f t="shared" si="4"/>
        <v>2054463</v>
      </c>
      <c r="G19" s="1581">
        <f t="shared" si="4"/>
        <v>1136715</v>
      </c>
      <c r="H19" s="1581">
        <f t="shared" si="4"/>
        <v>3923539</v>
      </c>
      <c r="I19" s="1563"/>
      <c r="J19" s="1581">
        <f>SUM(J17:J18)</f>
        <v>0</v>
      </c>
      <c r="K19" s="1581">
        <f>SUM(K17:K18)</f>
        <v>0</v>
      </c>
      <c r="L19" s="325"/>
    </row>
    <row r="20" spans="1:12" ht="16.5" thickTop="1" thickBot="1" x14ac:dyDescent="0.25">
      <c r="A20" s="2257" t="s">
        <v>1632</v>
      </c>
      <c r="B20" s="2258"/>
      <c r="C20" s="1608">
        <f>C8-C17</f>
        <v>234307</v>
      </c>
      <c r="D20" s="1608">
        <f t="shared" ref="D20:K20" si="5">D8-D17</f>
        <v>-297951</v>
      </c>
      <c r="E20" s="1608">
        <f t="shared" si="5"/>
        <v>-794768</v>
      </c>
      <c r="F20" s="1608">
        <f t="shared" si="5"/>
        <v>97834</v>
      </c>
      <c r="G20" s="1608">
        <f t="shared" si="5"/>
        <v>69831</v>
      </c>
      <c r="H20" s="1608">
        <f t="shared" si="5"/>
        <v>-3923539</v>
      </c>
      <c r="I20" s="1608">
        <f t="shared" si="5"/>
        <v>21110</v>
      </c>
      <c r="J20" s="1608">
        <f t="shared" si="5"/>
        <v>0</v>
      </c>
      <c r="K20" s="1608">
        <f t="shared" si="5"/>
        <v>0</v>
      </c>
      <c r="L20" s="325"/>
    </row>
    <row r="21" spans="1:12" ht="16.7" customHeight="1" thickTop="1" x14ac:dyDescent="0.2">
      <c r="A21" s="2269" t="s">
        <v>590</v>
      </c>
      <c r="B21" s="2270"/>
      <c r="C21" s="1588"/>
      <c r="D21" s="1589"/>
      <c r="E21" s="1589"/>
      <c r="F21" s="1589"/>
      <c r="G21" s="1589"/>
      <c r="H21" s="1589"/>
      <c r="I21" s="1589"/>
      <c r="J21" s="1589"/>
      <c r="K21" s="1601"/>
      <c r="L21" s="453"/>
    </row>
    <row r="22" spans="1:12" ht="15.75" customHeight="1" collapsed="1" x14ac:dyDescent="0.2">
      <c r="A22" s="2265" t="s">
        <v>591</v>
      </c>
      <c r="B22" s="2266"/>
      <c r="C22" s="1569"/>
      <c r="D22" s="1569"/>
      <c r="E22" s="1569"/>
      <c r="F22" s="1569"/>
      <c r="G22" s="1569"/>
      <c r="H22" s="1569"/>
      <c r="I22" s="1569"/>
      <c r="J22" s="1569"/>
      <c r="K22" s="1569"/>
      <c r="L22" s="325"/>
    </row>
    <row r="23" spans="1:12" s="433" customFormat="1" ht="15.75" customHeight="1" x14ac:dyDescent="0.2">
      <c r="A23" s="2261" t="s">
        <v>289</v>
      </c>
      <c r="B23" s="2262"/>
      <c r="C23" s="1572"/>
      <c r="D23" s="1569"/>
      <c r="E23" s="1569"/>
      <c r="F23" s="1569"/>
      <c r="G23" s="1569"/>
      <c r="H23" s="1569"/>
      <c r="I23" s="1569"/>
      <c r="J23" s="1569"/>
      <c r="K23" s="1569"/>
      <c r="L23" s="453"/>
    </row>
    <row r="24" spans="1:12" s="433" customFormat="1" ht="13.5" customHeight="1" x14ac:dyDescent="0.2">
      <c r="A24" s="1253" t="s">
        <v>1633</v>
      </c>
      <c r="B24" s="454">
        <v>7110</v>
      </c>
      <c r="C24" s="1562"/>
      <c r="D24" s="1569"/>
      <c r="E24" s="1569"/>
      <c r="F24" s="1569"/>
      <c r="G24" s="1569"/>
      <c r="H24" s="1569"/>
      <c r="I24" s="1569"/>
      <c r="J24" s="1569"/>
      <c r="K24" s="1569"/>
      <c r="L24" s="453"/>
    </row>
    <row r="25" spans="1:12" s="433" customFormat="1" ht="13.5" customHeight="1" x14ac:dyDescent="0.2">
      <c r="A25" s="1253" t="s">
        <v>1634</v>
      </c>
      <c r="B25" s="454">
        <v>7110</v>
      </c>
      <c r="C25" s="1562">
        <v>0</v>
      </c>
      <c r="D25" s="1562">
        <v>0</v>
      </c>
      <c r="E25" s="1562">
        <v>0</v>
      </c>
      <c r="F25" s="1562">
        <v>0</v>
      </c>
      <c r="G25" s="1562">
        <v>0</v>
      </c>
      <c r="H25" s="1562">
        <v>0</v>
      </c>
      <c r="I25" s="1569"/>
      <c r="J25" s="1562">
        <v>0</v>
      </c>
      <c r="K25" s="1562">
        <v>0</v>
      </c>
      <c r="L25" s="453"/>
    </row>
    <row r="26" spans="1:12" s="433" customFormat="1" ht="13.5" customHeight="1" x14ac:dyDescent="0.2">
      <c r="A26" s="1253" t="s">
        <v>183</v>
      </c>
      <c r="B26" s="432">
        <v>7120</v>
      </c>
      <c r="C26" s="1562">
        <v>0</v>
      </c>
      <c r="D26" s="1562">
        <v>21110</v>
      </c>
      <c r="E26" s="1562">
        <v>0</v>
      </c>
      <c r="F26" s="1562">
        <v>0</v>
      </c>
      <c r="G26" s="1562">
        <v>0</v>
      </c>
      <c r="H26" s="1562">
        <v>0</v>
      </c>
      <c r="I26" s="1569"/>
      <c r="J26" s="1562">
        <v>0</v>
      </c>
      <c r="K26" s="1562">
        <v>0</v>
      </c>
      <c r="L26" s="453"/>
    </row>
    <row r="27" spans="1:12" s="433" customFormat="1" ht="13.5" customHeight="1" x14ac:dyDescent="0.2">
      <c r="A27" s="1253" t="s">
        <v>184</v>
      </c>
      <c r="B27" s="432">
        <v>7130</v>
      </c>
      <c r="C27" s="1562">
        <v>0</v>
      </c>
      <c r="D27" s="1562">
        <v>3925000</v>
      </c>
      <c r="E27" s="1609"/>
      <c r="F27" s="1562">
        <v>0</v>
      </c>
      <c r="G27" s="1572"/>
      <c r="H27" s="1572"/>
      <c r="I27" s="1572"/>
      <c r="J27" s="1572"/>
      <c r="K27" s="1572"/>
      <c r="L27" s="453"/>
    </row>
    <row r="28" spans="1:12" s="433" customFormat="1" ht="13.5" customHeight="1" x14ac:dyDescent="0.2">
      <c r="A28" s="1253" t="s">
        <v>1377</v>
      </c>
      <c r="B28" s="432">
        <v>7140</v>
      </c>
      <c r="C28" s="1562">
        <v>0</v>
      </c>
      <c r="D28" s="1562">
        <v>1141</v>
      </c>
      <c r="E28" s="1562">
        <v>0</v>
      </c>
      <c r="F28" s="1562">
        <v>0</v>
      </c>
      <c r="G28" s="1562">
        <v>0</v>
      </c>
      <c r="H28" s="1562">
        <v>0</v>
      </c>
      <c r="I28" s="1562">
        <v>0</v>
      </c>
      <c r="J28" s="1562">
        <v>0</v>
      </c>
      <c r="K28" s="1562">
        <v>0</v>
      </c>
      <c r="L28" s="453"/>
    </row>
    <row r="29" spans="1:12" s="433" customFormat="1" ht="13.5" customHeight="1" x14ac:dyDescent="0.2">
      <c r="A29" s="1253" t="s">
        <v>290</v>
      </c>
      <c r="B29" s="432">
        <v>7150</v>
      </c>
      <c r="C29" s="1568"/>
      <c r="D29" s="1562">
        <v>0</v>
      </c>
      <c r="E29" s="1568"/>
      <c r="F29" s="1568"/>
      <c r="G29" s="1568"/>
      <c r="H29" s="1568"/>
      <c r="I29" s="1568"/>
      <c r="J29" s="1568"/>
      <c r="K29" s="1568"/>
      <c r="L29" s="453"/>
    </row>
    <row r="30" spans="1:12" s="433" customFormat="1" ht="26.25" x14ac:dyDescent="0.2">
      <c r="A30" s="1253" t="s">
        <v>1767</v>
      </c>
      <c r="B30" s="455">
        <v>7160</v>
      </c>
      <c r="C30" s="1569"/>
      <c r="D30" s="1562">
        <v>0</v>
      </c>
      <c r="E30" s="1569"/>
      <c r="F30" s="1569"/>
      <c r="G30" s="1569"/>
      <c r="H30" s="1569"/>
      <c r="I30" s="1569"/>
      <c r="J30" s="1569"/>
      <c r="K30" s="1569"/>
      <c r="L30" s="453"/>
    </row>
    <row r="31" spans="1:12" s="433" customFormat="1" ht="26.25" x14ac:dyDescent="0.2">
      <c r="A31" s="1253" t="s">
        <v>1771</v>
      </c>
      <c r="B31" s="455">
        <v>7170</v>
      </c>
      <c r="C31" s="1569"/>
      <c r="D31" s="1569"/>
      <c r="E31" s="1567">
        <v>0</v>
      </c>
      <c r="F31" s="1569"/>
      <c r="G31" s="1569"/>
      <c r="H31" s="1569"/>
      <c r="I31" s="1569"/>
      <c r="J31" s="1569"/>
      <c r="K31" s="1569"/>
      <c r="L31" s="453"/>
    </row>
    <row r="32" spans="1:12" s="433" customFormat="1" ht="15.75" customHeight="1" x14ac:dyDescent="0.2">
      <c r="A32" s="2263" t="s">
        <v>972</v>
      </c>
      <c r="B32" s="2264"/>
      <c r="C32" s="1569"/>
      <c r="D32" s="1569"/>
      <c r="E32" s="1568"/>
      <c r="F32" s="1569"/>
      <c r="G32" s="1569"/>
      <c r="H32" s="1569"/>
      <c r="I32" s="1569"/>
      <c r="J32" s="1569"/>
      <c r="K32" s="1569"/>
      <c r="L32" s="453"/>
    </row>
    <row r="33" spans="1:12" s="433" customFormat="1" x14ac:dyDescent="0.2">
      <c r="A33" s="1253" t="s">
        <v>408</v>
      </c>
      <c r="B33" s="454">
        <v>7210</v>
      </c>
      <c r="C33" s="1562">
        <v>0</v>
      </c>
      <c r="D33" s="1562">
        <v>0</v>
      </c>
      <c r="E33" s="1562">
        <v>0</v>
      </c>
      <c r="F33" s="1562">
        <v>0</v>
      </c>
      <c r="G33" s="1569"/>
      <c r="H33" s="1562">
        <v>0</v>
      </c>
      <c r="I33" s="1562">
        <v>0</v>
      </c>
      <c r="J33" s="1562">
        <v>0</v>
      </c>
      <c r="K33" s="1562">
        <v>0</v>
      </c>
      <c r="L33" s="453"/>
    </row>
    <row r="34" spans="1:12" s="433" customFormat="1" x14ac:dyDescent="0.2">
      <c r="A34" s="1253" t="s">
        <v>992</v>
      </c>
      <c r="B34" s="454">
        <v>7220</v>
      </c>
      <c r="C34" s="1562">
        <v>0</v>
      </c>
      <c r="D34" s="1562">
        <v>0</v>
      </c>
      <c r="E34" s="1562">
        <v>0</v>
      </c>
      <c r="F34" s="1562">
        <v>0</v>
      </c>
      <c r="G34" s="1569"/>
      <c r="H34" s="1570">
        <v>0</v>
      </c>
      <c r="I34" s="1570">
        <v>0</v>
      </c>
      <c r="J34" s="1570">
        <v>0</v>
      </c>
      <c r="K34" s="1570">
        <v>0</v>
      </c>
      <c r="L34" s="453"/>
    </row>
    <row r="35" spans="1:12" s="433" customFormat="1" x14ac:dyDescent="0.2">
      <c r="A35" s="1253" t="s">
        <v>981</v>
      </c>
      <c r="B35" s="454">
        <v>7230</v>
      </c>
      <c r="C35" s="1562">
        <v>0</v>
      </c>
      <c r="D35" s="1562">
        <v>0</v>
      </c>
      <c r="E35" s="1562">
        <v>0</v>
      </c>
      <c r="F35" s="1562">
        <v>0</v>
      </c>
      <c r="G35" s="1572"/>
      <c r="H35" s="1562">
        <v>0</v>
      </c>
      <c r="I35" s="1562">
        <v>0</v>
      </c>
      <c r="J35" s="1562">
        <v>0</v>
      </c>
      <c r="K35" s="1562">
        <v>0</v>
      </c>
      <c r="L35" s="453"/>
    </row>
    <row r="36" spans="1:12" s="433" customFormat="1" ht="15" x14ac:dyDescent="0.2">
      <c r="A36" s="1253" t="s">
        <v>1635</v>
      </c>
      <c r="B36" s="454">
        <v>7300</v>
      </c>
      <c r="C36" s="1562">
        <v>0</v>
      </c>
      <c r="D36" s="1562">
        <v>0</v>
      </c>
      <c r="E36" s="1562">
        <v>0</v>
      </c>
      <c r="F36" s="1562">
        <v>0</v>
      </c>
      <c r="G36" s="1562">
        <v>0</v>
      </c>
      <c r="H36" s="1562">
        <v>0</v>
      </c>
      <c r="I36" s="1568"/>
      <c r="J36" s="1562">
        <v>0</v>
      </c>
      <c r="K36" s="1562">
        <v>0</v>
      </c>
      <c r="L36" s="453"/>
    </row>
    <row r="37" spans="1:12" s="433" customFormat="1" x14ac:dyDescent="0.2">
      <c r="A37" s="1253" t="s">
        <v>437</v>
      </c>
      <c r="B37" s="454">
        <v>7400</v>
      </c>
      <c r="C37" s="1568"/>
      <c r="D37" s="1568"/>
      <c r="E37" s="1593">
        <f>SUM(C54:D57,H54:H57)</f>
        <v>119156</v>
      </c>
      <c r="F37" s="1568"/>
      <c r="G37" s="1568"/>
      <c r="H37" s="1568"/>
      <c r="I37" s="1569"/>
      <c r="J37" s="1568"/>
      <c r="K37" s="1568"/>
      <c r="L37" s="453"/>
    </row>
    <row r="38" spans="1:12" s="433" customFormat="1" x14ac:dyDescent="0.2">
      <c r="A38" s="1253" t="s">
        <v>438</v>
      </c>
      <c r="B38" s="454">
        <v>7500</v>
      </c>
      <c r="C38" s="1569"/>
      <c r="D38" s="1569"/>
      <c r="E38" s="1593">
        <f>SUM(C58:D61,H58:H61)</f>
        <v>4896</v>
      </c>
      <c r="F38" s="1569"/>
      <c r="G38" s="1569"/>
      <c r="H38" s="1569"/>
      <c r="I38" s="1569"/>
      <c r="J38" s="1569"/>
      <c r="K38" s="1569"/>
      <c r="L38" s="453"/>
    </row>
    <row r="39" spans="1:12" s="433" customFormat="1" x14ac:dyDescent="0.2">
      <c r="A39" s="1253" t="s">
        <v>439</v>
      </c>
      <c r="B39" s="454">
        <v>7600</v>
      </c>
      <c r="C39" s="1569"/>
      <c r="D39" s="1569"/>
      <c r="E39" s="1593">
        <f>SUM(C62:D65)</f>
        <v>0</v>
      </c>
      <c r="F39" s="1569"/>
      <c r="G39" s="1569"/>
      <c r="H39" s="1569"/>
      <c r="I39" s="1569"/>
      <c r="J39" s="1569"/>
      <c r="K39" s="1569"/>
      <c r="L39" s="453"/>
    </row>
    <row r="40" spans="1:12" s="433" customFormat="1" ht="13.5" customHeight="1" x14ac:dyDescent="0.2">
      <c r="A40" s="1253" t="s">
        <v>636</v>
      </c>
      <c r="B40" s="432">
        <v>7700</v>
      </c>
      <c r="C40" s="1569"/>
      <c r="D40" s="1569"/>
      <c r="E40" s="1593">
        <f>SUM(C66:D69)</f>
        <v>0</v>
      </c>
      <c r="F40" s="1569"/>
      <c r="G40" s="1569"/>
      <c r="H40" s="1572"/>
      <c r="I40" s="1569"/>
      <c r="J40" s="1569"/>
      <c r="K40" s="1569"/>
      <c r="L40" s="453"/>
    </row>
    <row r="41" spans="1:12" s="433" customFormat="1" ht="13.5" customHeight="1" x14ac:dyDescent="0.2">
      <c r="A41" s="1253" t="s">
        <v>634</v>
      </c>
      <c r="B41" s="432">
        <v>7800</v>
      </c>
      <c r="C41" s="1572"/>
      <c r="D41" s="1572"/>
      <c r="E41" s="1609"/>
      <c r="F41" s="1572"/>
      <c r="G41" s="1572"/>
      <c r="H41" s="1593">
        <f>SUM(C70:D73)</f>
        <v>3925000</v>
      </c>
      <c r="I41" s="1569"/>
      <c r="J41" s="1569"/>
      <c r="K41" s="1572"/>
      <c r="L41" s="453"/>
    </row>
    <row r="42" spans="1:12" s="433" customFormat="1" ht="13.5" customHeight="1" x14ac:dyDescent="0.2">
      <c r="A42" s="1253" t="s">
        <v>635</v>
      </c>
      <c r="B42" s="432">
        <v>7900</v>
      </c>
      <c r="C42" s="1562">
        <v>0</v>
      </c>
      <c r="D42" s="1562">
        <v>0</v>
      </c>
      <c r="E42" s="1562">
        <v>0</v>
      </c>
      <c r="F42" s="1562">
        <v>0</v>
      </c>
      <c r="G42" s="1562">
        <v>0</v>
      </c>
      <c r="H42" s="1562">
        <v>0</v>
      </c>
      <c r="I42" s="1572"/>
      <c r="J42" s="1572"/>
      <c r="K42" s="1562">
        <v>0</v>
      </c>
      <c r="L42" s="453"/>
    </row>
    <row r="43" spans="1:12" s="433" customFormat="1" ht="13.5" customHeight="1" x14ac:dyDescent="0.2">
      <c r="A43" s="1253" t="s">
        <v>369</v>
      </c>
      <c r="B43" s="432">
        <v>7990</v>
      </c>
      <c r="C43" s="1562">
        <v>0</v>
      </c>
      <c r="D43" s="1562">
        <v>0</v>
      </c>
      <c r="E43" s="1562">
        <v>588613</v>
      </c>
      <c r="F43" s="1562">
        <v>0</v>
      </c>
      <c r="G43" s="1562">
        <v>0</v>
      </c>
      <c r="H43" s="1562">
        <v>0</v>
      </c>
      <c r="I43" s="1562">
        <v>0</v>
      </c>
      <c r="J43" s="1562">
        <v>0</v>
      </c>
      <c r="K43" s="1562">
        <v>0</v>
      </c>
      <c r="L43" s="453"/>
    </row>
    <row r="44" spans="1:12" s="433" customFormat="1" ht="13.5" customHeight="1" thickBot="1" x14ac:dyDescent="0.25">
      <c r="A44" s="2271" t="s">
        <v>370</v>
      </c>
      <c r="B44" s="2272"/>
      <c r="C44" s="1610">
        <f>SUM(C24:C43)</f>
        <v>0</v>
      </c>
      <c r="D44" s="1610">
        <f t="shared" ref="D44:K44" si="6">SUM(D24:D43)</f>
        <v>3947251</v>
      </c>
      <c r="E44" s="1610">
        <f t="shared" si="6"/>
        <v>712665</v>
      </c>
      <c r="F44" s="1610">
        <f t="shared" si="6"/>
        <v>0</v>
      </c>
      <c r="G44" s="1610">
        <f t="shared" si="6"/>
        <v>0</v>
      </c>
      <c r="H44" s="1610">
        <f t="shared" si="6"/>
        <v>3925000</v>
      </c>
      <c r="I44" s="1610">
        <f t="shared" si="6"/>
        <v>0</v>
      </c>
      <c r="J44" s="1610">
        <f t="shared" si="6"/>
        <v>0</v>
      </c>
      <c r="K44" s="1610">
        <f t="shared" si="6"/>
        <v>0</v>
      </c>
      <c r="L44" s="453"/>
    </row>
    <row r="45" spans="1:12" ht="15.75" customHeight="1" thickTop="1" x14ac:dyDescent="0.2">
      <c r="A45" s="2265" t="s">
        <v>108</v>
      </c>
      <c r="B45" s="2266"/>
      <c r="C45" s="1611"/>
      <c r="D45" s="1611"/>
      <c r="E45" s="1611"/>
      <c r="F45" s="1611"/>
      <c r="G45" s="1611"/>
      <c r="H45" s="1611"/>
      <c r="I45" s="1611"/>
      <c r="J45" s="1611"/>
      <c r="K45" s="1611"/>
      <c r="L45" s="325"/>
    </row>
    <row r="46" spans="1:12" s="433" customFormat="1" ht="15.75" customHeight="1" x14ac:dyDescent="0.2">
      <c r="A46" s="2273" t="s">
        <v>109</v>
      </c>
      <c r="B46" s="2274"/>
      <c r="C46" s="1569"/>
      <c r="D46" s="1569"/>
      <c r="E46" s="1569"/>
      <c r="F46" s="1569"/>
      <c r="G46" s="1569"/>
      <c r="H46" s="1569"/>
      <c r="I46" s="1572"/>
      <c r="J46" s="1569"/>
      <c r="K46" s="1569"/>
      <c r="L46" s="456"/>
    </row>
    <row r="47" spans="1:12" s="433" customFormat="1" ht="15" x14ac:dyDescent="0.2">
      <c r="A47" s="1254" t="s">
        <v>1636</v>
      </c>
      <c r="B47" s="432">
        <v>8110</v>
      </c>
      <c r="C47" s="1569"/>
      <c r="D47" s="1569"/>
      <c r="E47" s="1569"/>
      <c r="F47" s="1569"/>
      <c r="G47" s="1569"/>
      <c r="H47" s="1569"/>
      <c r="I47" s="1593">
        <f>SUM(C24,C25:H25,J25:K25)</f>
        <v>0</v>
      </c>
      <c r="J47" s="1569"/>
      <c r="K47" s="1569"/>
      <c r="L47" s="456"/>
    </row>
    <row r="48" spans="1:12" s="433" customFormat="1" ht="15" x14ac:dyDescent="0.2">
      <c r="A48" s="1254" t="s">
        <v>1637</v>
      </c>
      <c r="B48" s="432">
        <v>8120</v>
      </c>
      <c r="C48" s="1572"/>
      <c r="D48" s="1572"/>
      <c r="E48" s="1569"/>
      <c r="F48" s="1572"/>
      <c r="G48" s="1569"/>
      <c r="H48" s="1569"/>
      <c r="I48" s="1593">
        <f>SUM(C26:H26,J26,K26)</f>
        <v>21110</v>
      </c>
      <c r="J48" s="1569"/>
      <c r="K48" s="1569"/>
      <c r="L48" s="456"/>
    </row>
    <row r="49" spans="1:12" s="433" customFormat="1" x14ac:dyDescent="0.2">
      <c r="A49" s="1254" t="s">
        <v>184</v>
      </c>
      <c r="B49" s="432">
        <v>8130</v>
      </c>
      <c r="C49" s="1562">
        <v>3925000</v>
      </c>
      <c r="D49" s="1562">
        <v>0</v>
      </c>
      <c r="E49" s="1572"/>
      <c r="F49" s="1562">
        <v>0</v>
      </c>
      <c r="G49" s="1572"/>
      <c r="H49" s="1572"/>
      <c r="I49" s="1569"/>
      <c r="J49" s="1572"/>
      <c r="K49" s="1569"/>
      <c r="L49" s="453"/>
    </row>
    <row r="50" spans="1:12" s="433" customFormat="1" x14ac:dyDescent="0.2">
      <c r="A50" s="1254" t="s">
        <v>1377</v>
      </c>
      <c r="B50" s="432">
        <v>8140</v>
      </c>
      <c r="C50" s="1562">
        <v>0</v>
      </c>
      <c r="D50" s="1562">
        <v>0</v>
      </c>
      <c r="E50" s="1562">
        <v>1141</v>
      </c>
      <c r="F50" s="1562">
        <v>0</v>
      </c>
      <c r="G50" s="1562">
        <v>0</v>
      </c>
      <c r="H50" s="1562">
        <v>0</v>
      </c>
      <c r="I50" s="1569"/>
      <c r="J50" s="1562">
        <v>0</v>
      </c>
      <c r="K50" s="1569"/>
      <c r="L50" s="453"/>
    </row>
    <row r="51" spans="1:12" s="433" customFormat="1" x14ac:dyDescent="0.2">
      <c r="A51" s="1254" t="s">
        <v>290</v>
      </c>
      <c r="B51" s="432">
        <v>8150</v>
      </c>
      <c r="C51" s="1568"/>
      <c r="D51" s="1568"/>
      <c r="E51" s="1568"/>
      <c r="F51" s="1568"/>
      <c r="G51" s="1568"/>
      <c r="H51" s="1593">
        <f>SUM(D29)</f>
        <v>0</v>
      </c>
      <c r="I51" s="1569"/>
      <c r="J51" s="1568"/>
      <c r="K51" s="1572"/>
      <c r="L51" s="453"/>
    </row>
    <row r="52" spans="1:12" s="433" customFormat="1" ht="26.25" x14ac:dyDescent="0.2">
      <c r="A52" s="1254" t="s">
        <v>1770</v>
      </c>
      <c r="B52" s="432">
        <v>8160</v>
      </c>
      <c r="C52" s="1569"/>
      <c r="D52" s="1569"/>
      <c r="E52" s="1569"/>
      <c r="F52" s="1569"/>
      <c r="G52" s="1569"/>
      <c r="H52" s="1569"/>
      <c r="I52" s="1569"/>
      <c r="J52" s="1569"/>
      <c r="K52" s="1593">
        <f>D30</f>
        <v>0</v>
      </c>
      <c r="L52" s="453"/>
    </row>
    <row r="53" spans="1:12" s="433" customFormat="1" ht="26.25" x14ac:dyDescent="0.2">
      <c r="A53" s="1254" t="s">
        <v>1769</v>
      </c>
      <c r="B53" s="432">
        <v>8170</v>
      </c>
      <c r="C53" s="1572"/>
      <c r="D53" s="1572"/>
      <c r="E53" s="1569"/>
      <c r="F53" s="1569"/>
      <c r="G53" s="1569"/>
      <c r="H53" s="1572"/>
      <c r="I53" s="1569"/>
      <c r="J53" s="1569"/>
      <c r="K53" s="1593">
        <f>E31</f>
        <v>0</v>
      </c>
      <c r="L53" s="453"/>
    </row>
    <row r="54" spans="1:12" s="433" customFormat="1" ht="13.5" thickBot="1" x14ac:dyDescent="0.25">
      <c r="A54" s="1254" t="s">
        <v>685</v>
      </c>
      <c r="B54" s="432">
        <v>8410</v>
      </c>
      <c r="C54" s="1612">
        <v>119156</v>
      </c>
      <c r="D54" s="1612">
        <v>0</v>
      </c>
      <c r="E54" s="1569"/>
      <c r="F54" s="1569"/>
      <c r="G54" s="1569"/>
      <c r="H54" s="1612">
        <v>0</v>
      </c>
      <c r="I54" s="1569"/>
      <c r="J54" s="1569"/>
      <c r="K54" s="1568"/>
      <c r="L54" s="453"/>
    </row>
    <row r="55" spans="1:12" s="433" customFormat="1" ht="14.25" thickTop="1" thickBot="1" x14ac:dyDescent="0.25">
      <c r="A55" s="1255" t="s">
        <v>686</v>
      </c>
      <c r="B55" s="432">
        <v>8420</v>
      </c>
      <c r="C55" s="1613">
        <v>0</v>
      </c>
      <c r="D55" s="1613">
        <v>0</v>
      </c>
      <c r="E55" s="1569"/>
      <c r="F55" s="1569"/>
      <c r="G55" s="1569"/>
      <c r="H55" s="1612">
        <v>0</v>
      </c>
      <c r="I55" s="1569"/>
      <c r="J55" s="1569"/>
      <c r="K55" s="1569"/>
      <c r="L55" s="453"/>
    </row>
    <row r="56" spans="1:12" s="433" customFormat="1" ht="14.25" thickTop="1" thickBot="1" x14ac:dyDescent="0.25">
      <c r="A56" s="1254" t="s">
        <v>576</v>
      </c>
      <c r="B56" s="432">
        <v>8430</v>
      </c>
      <c r="C56" s="1613">
        <v>0</v>
      </c>
      <c r="D56" s="1613">
        <v>0</v>
      </c>
      <c r="E56" s="1569"/>
      <c r="F56" s="1569"/>
      <c r="G56" s="1569"/>
      <c r="H56" s="1612">
        <v>0</v>
      </c>
      <c r="I56" s="1569"/>
      <c r="J56" s="1569"/>
      <c r="K56" s="1569"/>
      <c r="L56" s="453"/>
    </row>
    <row r="57" spans="1:12" s="433" customFormat="1" ht="14.25" thickTop="1" thickBot="1" x14ac:dyDescent="0.25">
      <c r="A57" s="1255" t="s">
        <v>573</v>
      </c>
      <c r="B57" s="432">
        <v>8440</v>
      </c>
      <c r="C57" s="1613">
        <v>0</v>
      </c>
      <c r="D57" s="1613">
        <v>0</v>
      </c>
      <c r="E57" s="1569"/>
      <c r="F57" s="1569"/>
      <c r="G57" s="1569"/>
      <c r="H57" s="1612">
        <v>0</v>
      </c>
      <c r="I57" s="1569"/>
      <c r="J57" s="1569"/>
      <c r="K57" s="1569"/>
      <c r="L57" s="453"/>
    </row>
    <row r="58" spans="1:12" s="433" customFormat="1" ht="14.25" thickTop="1" thickBot="1" x14ac:dyDescent="0.25">
      <c r="A58" s="1254" t="s">
        <v>574</v>
      </c>
      <c r="B58" s="432">
        <v>8510</v>
      </c>
      <c r="C58" s="1613">
        <v>4896</v>
      </c>
      <c r="D58" s="1613">
        <v>0</v>
      </c>
      <c r="E58" s="1569"/>
      <c r="F58" s="1569"/>
      <c r="G58" s="1569"/>
      <c r="H58" s="1612">
        <v>0</v>
      </c>
      <c r="I58" s="1569"/>
      <c r="J58" s="1569"/>
      <c r="K58" s="1569"/>
      <c r="L58" s="453"/>
    </row>
    <row r="59" spans="1:12" s="433" customFormat="1" ht="14.25" thickTop="1" thickBot="1" x14ac:dyDescent="0.25">
      <c r="A59" s="1256" t="s">
        <v>687</v>
      </c>
      <c r="B59" s="432">
        <v>8520</v>
      </c>
      <c r="C59" s="1613">
        <v>0</v>
      </c>
      <c r="D59" s="1613">
        <v>0</v>
      </c>
      <c r="E59" s="1569"/>
      <c r="F59" s="1569"/>
      <c r="G59" s="1569"/>
      <c r="H59" s="1612">
        <v>0</v>
      </c>
      <c r="I59" s="1569"/>
      <c r="J59" s="1569"/>
      <c r="K59" s="1569"/>
      <c r="L59" s="453"/>
    </row>
    <row r="60" spans="1:12" s="433" customFormat="1" ht="14.25" thickTop="1" thickBot="1" x14ac:dyDescent="0.25">
      <c r="A60" s="1254" t="s">
        <v>575</v>
      </c>
      <c r="B60" s="432">
        <v>8530</v>
      </c>
      <c r="C60" s="1613">
        <v>0</v>
      </c>
      <c r="D60" s="1613">
        <v>0</v>
      </c>
      <c r="E60" s="1569"/>
      <c r="F60" s="1569"/>
      <c r="G60" s="1569"/>
      <c r="H60" s="1612">
        <v>0</v>
      </c>
      <c r="I60" s="1569"/>
      <c r="J60" s="1569"/>
      <c r="K60" s="1569"/>
      <c r="L60" s="453"/>
    </row>
    <row r="61" spans="1:12" s="433" customFormat="1" ht="14.25" thickTop="1" thickBot="1" x14ac:dyDescent="0.25">
      <c r="A61" s="1255" t="s">
        <v>736</v>
      </c>
      <c r="B61" s="432">
        <v>8540</v>
      </c>
      <c r="C61" s="1613">
        <v>0</v>
      </c>
      <c r="D61" s="1613">
        <v>0</v>
      </c>
      <c r="E61" s="1569"/>
      <c r="F61" s="1569"/>
      <c r="G61" s="1569"/>
      <c r="H61" s="1612">
        <v>0</v>
      </c>
      <c r="I61" s="1569"/>
      <c r="J61" s="1569"/>
      <c r="K61" s="1569"/>
      <c r="L61" s="453"/>
    </row>
    <row r="62" spans="1:12" s="433" customFormat="1" ht="13.5" customHeight="1" thickTop="1" thickBot="1" x14ac:dyDescent="0.25">
      <c r="A62" s="1254" t="s">
        <v>737</v>
      </c>
      <c r="B62" s="432">
        <v>8610</v>
      </c>
      <c r="C62" s="1613">
        <v>0</v>
      </c>
      <c r="D62" s="1613">
        <v>0</v>
      </c>
      <c r="E62" s="1569"/>
      <c r="F62" s="1569"/>
      <c r="G62" s="1569"/>
      <c r="H62" s="1569"/>
      <c r="I62" s="1569"/>
      <c r="J62" s="1569"/>
      <c r="K62" s="1569"/>
      <c r="L62" s="453"/>
    </row>
    <row r="63" spans="1:12" s="433" customFormat="1" ht="14.25" thickTop="1" thickBot="1" x14ac:dyDescent="0.25">
      <c r="A63" s="1255" t="s">
        <v>688</v>
      </c>
      <c r="B63" s="432">
        <v>8620</v>
      </c>
      <c r="C63" s="1613">
        <v>0</v>
      </c>
      <c r="D63" s="1613">
        <v>0</v>
      </c>
      <c r="E63" s="1569"/>
      <c r="F63" s="1569"/>
      <c r="G63" s="1569"/>
      <c r="H63" s="1569"/>
      <c r="I63" s="1569"/>
      <c r="J63" s="1569"/>
      <c r="K63" s="1569"/>
      <c r="L63" s="453"/>
    </row>
    <row r="64" spans="1:12" s="433" customFormat="1" ht="13.5" customHeight="1" thickTop="1" thickBot="1" x14ac:dyDescent="0.25">
      <c r="A64" s="1254" t="s">
        <v>738</v>
      </c>
      <c r="B64" s="432">
        <v>8630</v>
      </c>
      <c r="C64" s="1613">
        <v>0</v>
      </c>
      <c r="D64" s="1613">
        <v>0</v>
      </c>
      <c r="E64" s="1569"/>
      <c r="F64" s="1569"/>
      <c r="G64" s="1569"/>
      <c r="H64" s="1569"/>
      <c r="I64" s="1569"/>
      <c r="J64" s="1569"/>
      <c r="K64" s="1569"/>
      <c r="L64" s="453"/>
    </row>
    <row r="65" spans="1:12" s="433" customFormat="1" ht="14.25" thickTop="1" thickBot="1" x14ac:dyDescent="0.25">
      <c r="A65" s="1255" t="s">
        <v>739</v>
      </c>
      <c r="B65" s="432">
        <v>8640</v>
      </c>
      <c r="C65" s="1613">
        <v>0</v>
      </c>
      <c r="D65" s="1613">
        <v>0</v>
      </c>
      <c r="E65" s="1569"/>
      <c r="F65" s="1569"/>
      <c r="G65" s="1569"/>
      <c r="H65" s="1569"/>
      <c r="I65" s="1569"/>
      <c r="J65" s="1569"/>
      <c r="K65" s="1569"/>
      <c r="L65" s="453"/>
    </row>
    <row r="66" spans="1:12" s="433" customFormat="1" ht="14.25" thickTop="1" thickBot="1" x14ac:dyDescent="0.25">
      <c r="A66" s="1254" t="s">
        <v>740</v>
      </c>
      <c r="B66" s="432">
        <v>8710</v>
      </c>
      <c r="C66" s="1613">
        <v>0</v>
      </c>
      <c r="D66" s="1613">
        <v>0</v>
      </c>
      <c r="E66" s="1569"/>
      <c r="F66" s="1569"/>
      <c r="G66" s="1569"/>
      <c r="H66" s="1569"/>
      <c r="I66" s="1569"/>
      <c r="J66" s="1569"/>
      <c r="K66" s="1569"/>
      <c r="L66" s="453"/>
    </row>
    <row r="67" spans="1:12" s="433" customFormat="1" ht="14.25" thickTop="1" thickBot="1" x14ac:dyDescent="0.25">
      <c r="A67" s="1255" t="s">
        <v>689</v>
      </c>
      <c r="B67" s="432">
        <v>8720</v>
      </c>
      <c r="C67" s="1613">
        <v>0</v>
      </c>
      <c r="D67" s="1613">
        <v>0</v>
      </c>
      <c r="E67" s="1569"/>
      <c r="F67" s="1569"/>
      <c r="G67" s="1569"/>
      <c r="H67" s="1569"/>
      <c r="I67" s="1569"/>
      <c r="J67" s="1569"/>
      <c r="K67" s="1569"/>
      <c r="L67" s="453"/>
    </row>
    <row r="68" spans="1:12" s="433" customFormat="1" ht="14.25" thickTop="1" thickBot="1" x14ac:dyDescent="0.25">
      <c r="A68" s="1256" t="s">
        <v>741</v>
      </c>
      <c r="B68" s="432">
        <v>8730</v>
      </c>
      <c r="C68" s="1613">
        <v>0</v>
      </c>
      <c r="D68" s="1613">
        <v>0</v>
      </c>
      <c r="E68" s="1569"/>
      <c r="F68" s="1569"/>
      <c r="G68" s="1569"/>
      <c r="H68" s="1569"/>
      <c r="I68" s="1569"/>
      <c r="J68" s="1569"/>
      <c r="K68" s="1569"/>
      <c r="L68" s="453"/>
    </row>
    <row r="69" spans="1:12" s="433" customFormat="1" ht="14.25" thickTop="1" thickBot="1" x14ac:dyDescent="0.25">
      <c r="A69" s="1255" t="s">
        <v>742</v>
      </c>
      <c r="B69" s="432">
        <v>8740</v>
      </c>
      <c r="C69" s="1613">
        <v>0</v>
      </c>
      <c r="D69" s="1613">
        <v>0</v>
      </c>
      <c r="E69" s="1569"/>
      <c r="F69" s="1569"/>
      <c r="G69" s="1569"/>
      <c r="H69" s="1569"/>
      <c r="I69" s="1569"/>
      <c r="J69" s="1569"/>
      <c r="K69" s="1569"/>
      <c r="L69" s="453"/>
    </row>
    <row r="70" spans="1:12" s="433" customFormat="1" ht="14.25" thickTop="1" thickBot="1" x14ac:dyDescent="0.25">
      <c r="A70" s="1254" t="s">
        <v>743</v>
      </c>
      <c r="B70" s="432">
        <v>8810</v>
      </c>
      <c r="C70" s="1613">
        <v>0</v>
      </c>
      <c r="D70" s="1613">
        <v>0</v>
      </c>
      <c r="E70" s="1569"/>
      <c r="F70" s="1569"/>
      <c r="G70" s="1569"/>
      <c r="H70" s="1569"/>
      <c r="I70" s="1569"/>
      <c r="J70" s="1569"/>
      <c r="K70" s="1569"/>
      <c r="L70" s="453"/>
    </row>
    <row r="71" spans="1:12" s="433" customFormat="1" ht="14.25" thickTop="1" thickBot="1" x14ac:dyDescent="0.25">
      <c r="A71" s="1254" t="s">
        <v>747</v>
      </c>
      <c r="B71" s="432">
        <v>8820</v>
      </c>
      <c r="C71" s="1613">
        <v>0</v>
      </c>
      <c r="D71" s="1613">
        <v>0</v>
      </c>
      <c r="E71" s="1569"/>
      <c r="F71" s="1569"/>
      <c r="G71" s="1569"/>
      <c r="H71" s="1569"/>
      <c r="I71" s="1569"/>
      <c r="J71" s="1569"/>
      <c r="K71" s="1569"/>
      <c r="L71" s="453"/>
    </row>
    <row r="72" spans="1:12" s="433" customFormat="1" ht="14.25" thickTop="1" thickBot="1" x14ac:dyDescent="0.25">
      <c r="A72" s="1254" t="s">
        <v>744</v>
      </c>
      <c r="B72" s="432">
        <v>8830</v>
      </c>
      <c r="C72" s="1613">
        <v>0</v>
      </c>
      <c r="D72" s="1613">
        <v>0</v>
      </c>
      <c r="E72" s="1569"/>
      <c r="F72" s="1569"/>
      <c r="G72" s="1569"/>
      <c r="H72" s="1569"/>
      <c r="I72" s="1569"/>
      <c r="J72" s="1569"/>
      <c r="K72" s="1569"/>
      <c r="L72" s="453"/>
    </row>
    <row r="73" spans="1:12" s="433" customFormat="1" ht="14.25" thickTop="1" thickBot="1" x14ac:dyDescent="0.25">
      <c r="A73" s="1254" t="s">
        <v>745</v>
      </c>
      <c r="B73" s="432">
        <v>8840</v>
      </c>
      <c r="C73" s="1613">
        <v>0</v>
      </c>
      <c r="D73" s="1613">
        <v>3925000</v>
      </c>
      <c r="E73" s="1569"/>
      <c r="F73" s="1569"/>
      <c r="G73" s="1569"/>
      <c r="H73" s="1569"/>
      <c r="I73" s="1569"/>
      <c r="J73" s="1569"/>
      <c r="K73" s="1572"/>
      <c r="L73" s="453"/>
    </row>
    <row r="74" spans="1:12" s="433" customFormat="1" ht="14.25" thickTop="1" thickBot="1" x14ac:dyDescent="0.25">
      <c r="A74" s="1254" t="s">
        <v>371</v>
      </c>
      <c r="B74" s="432">
        <v>8910</v>
      </c>
      <c r="C74" s="1613">
        <v>0</v>
      </c>
      <c r="D74" s="1613">
        <v>0</v>
      </c>
      <c r="E74" s="1572"/>
      <c r="F74" s="1612">
        <v>0</v>
      </c>
      <c r="G74" s="1612">
        <v>0</v>
      </c>
      <c r="H74" s="1612">
        <v>0</v>
      </c>
      <c r="I74" s="1572"/>
      <c r="J74" s="1572"/>
      <c r="K74" s="1612">
        <v>0</v>
      </c>
      <c r="L74" s="453"/>
    </row>
    <row r="75" spans="1:12" s="433" customFormat="1" ht="14.25" thickTop="1" thickBot="1" x14ac:dyDescent="0.25">
      <c r="A75" s="1257" t="s">
        <v>435</v>
      </c>
      <c r="B75" s="432">
        <v>8990</v>
      </c>
      <c r="C75" s="1613">
        <v>588613</v>
      </c>
      <c r="D75" s="1613">
        <v>0</v>
      </c>
      <c r="E75" s="1612">
        <v>0</v>
      </c>
      <c r="F75" s="1614">
        <v>0</v>
      </c>
      <c r="G75" s="1614">
        <v>0</v>
      </c>
      <c r="H75" s="1614">
        <v>0</v>
      </c>
      <c r="I75" s="1612">
        <v>0</v>
      </c>
      <c r="J75" s="1612">
        <v>0</v>
      </c>
      <c r="K75" s="1614">
        <v>0</v>
      </c>
      <c r="L75" s="453"/>
    </row>
    <row r="76" spans="1:12" s="433" customFormat="1" ht="14.25" thickTop="1" thickBot="1" x14ac:dyDescent="0.25">
      <c r="A76" s="2247" t="s">
        <v>436</v>
      </c>
      <c r="B76" s="2248"/>
      <c r="C76" s="1610">
        <f t="shared" ref="C76:K76" si="7">SUM(C47:C75)</f>
        <v>4637665</v>
      </c>
      <c r="D76" s="1610">
        <f t="shared" si="7"/>
        <v>3925000</v>
      </c>
      <c r="E76" s="1610">
        <f t="shared" si="7"/>
        <v>1141</v>
      </c>
      <c r="F76" s="1610">
        <f t="shared" si="7"/>
        <v>0</v>
      </c>
      <c r="G76" s="1610">
        <f t="shared" si="7"/>
        <v>0</v>
      </c>
      <c r="H76" s="1610">
        <f t="shared" si="7"/>
        <v>0</v>
      </c>
      <c r="I76" s="1610">
        <f t="shared" si="7"/>
        <v>21110</v>
      </c>
      <c r="J76" s="1610">
        <f t="shared" si="7"/>
        <v>0</v>
      </c>
      <c r="K76" s="1610">
        <f t="shared" si="7"/>
        <v>0</v>
      </c>
      <c r="L76" s="453"/>
    </row>
    <row r="77" spans="1:12" ht="14.25" thickTop="1" thickBot="1" x14ac:dyDescent="0.25">
      <c r="A77" s="2249" t="s">
        <v>1165</v>
      </c>
      <c r="B77" s="2250"/>
      <c r="C77" s="1610">
        <f t="shared" ref="C77:K77" si="8">C44-C76</f>
        <v>-4637665</v>
      </c>
      <c r="D77" s="1610">
        <f t="shared" si="8"/>
        <v>22251</v>
      </c>
      <c r="E77" s="1610">
        <f t="shared" si="8"/>
        <v>711524</v>
      </c>
      <c r="F77" s="1610">
        <f t="shared" si="8"/>
        <v>0</v>
      </c>
      <c r="G77" s="1610">
        <f t="shared" si="8"/>
        <v>0</v>
      </c>
      <c r="H77" s="1610">
        <f t="shared" si="8"/>
        <v>3925000</v>
      </c>
      <c r="I77" s="1610">
        <f t="shared" si="8"/>
        <v>-21110</v>
      </c>
      <c r="J77" s="1610">
        <f t="shared" si="8"/>
        <v>0</v>
      </c>
      <c r="K77" s="1610">
        <f t="shared" si="8"/>
        <v>0</v>
      </c>
      <c r="L77" s="325"/>
    </row>
    <row r="78" spans="1:12" ht="21.75" customHeight="1" thickTop="1" thickBot="1" x14ac:dyDescent="0.25">
      <c r="A78" s="2253" t="s">
        <v>592</v>
      </c>
      <c r="B78" s="2254"/>
      <c r="C78" s="1615">
        <f t="shared" ref="C78:K78" si="9">C20+C77</f>
        <v>-4403358</v>
      </c>
      <c r="D78" s="1615">
        <f t="shared" si="9"/>
        <v>-275700</v>
      </c>
      <c r="E78" s="1615">
        <f t="shared" si="9"/>
        <v>-83244</v>
      </c>
      <c r="F78" s="1615">
        <f t="shared" si="9"/>
        <v>97834</v>
      </c>
      <c r="G78" s="1615">
        <f t="shared" si="9"/>
        <v>69831</v>
      </c>
      <c r="H78" s="1615">
        <f t="shared" si="9"/>
        <v>1461</v>
      </c>
      <c r="I78" s="1615">
        <f t="shared" si="9"/>
        <v>0</v>
      </c>
      <c r="J78" s="1615">
        <f t="shared" si="9"/>
        <v>0</v>
      </c>
      <c r="K78" s="1615">
        <f t="shared" si="9"/>
        <v>0</v>
      </c>
      <c r="L78" s="457"/>
    </row>
    <row r="79" spans="1:12" ht="13.5" thickTop="1" x14ac:dyDescent="0.2">
      <c r="A79" s="1828" t="str">
        <f>"Fund Balances - July 1, "&amp;'AFR20'!E2-1</f>
        <v>Fund Balances - July 1, 2019</v>
      </c>
      <c r="B79" s="458"/>
      <c r="C79" s="1570">
        <v>23821455</v>
      </c>
      <c r="D79" s="1616">
        <v>912042</v>
      </c>
      <c r="E79" s="1616">
        <v>86517</v>
      </c>
      <c r="F79" s="1616">
        <v>1735596</v>
      </c>
      <c r="G79" s="1616">
        <v>808676</v>
      </c>
      <c r="H79" s="1616">
        <v>788</v>
      </c>
      <c r="I79" s="1616">
        <v>520334</v>
      </c>
      <c r="J79" s="1616"/>
      <c r="K79" s="1616"/>
      <c r="L79" s="325"/>
    </row>
    <row r="80" spans="1:12" x14ac:dyDescent="0.2">
      <c r="A80" s="2259" t="s">
        <v>1768</v>
      </c>
      <c r="B80" s="2260"/>
      <c r="C80" s="1562"/>
      <c r="D80" s="1562"/>
      <c r="E80" s="1562"/>
      <c r="F80" s="1562"/>
      <c r="G80" s="1562"/>
      <c r="H80" s="1562"/>
      <c r="I80" s="1562"/>
      <c r="J80" s="1562"/>
      <c r="K80" s="1562"/>
      <c r="L80" s="325"/>
    </row>
    <row r="81" spans="1:12" ht="13.5" thickBot="1" x14ac:dyDescent="0.25">
      <c r="A81" s="2251" t="str">
        <f>"Fund Balances - June 30, "&amp;'AFR20'!E2</f>
        <v>Fund Balances - June 30, 2020</v>
      </c>
      <c r="B81" s="2252"/>
      <c r="C81" s="1581">
        <f>(SUM(C78:C80))</f>
        <v>19418097</v>
      </c>
      <c r="D81" s="1581">
        <f>SUM(D78:D80)</f>
        <v>636342</v>
      </c>
      <c r="E81" s="1581">
        <f t="shared" ref="E81:K81" si="10">SUM(E78:E80)</f>
        <v>3273</v>
      </c>
      <c r="F81" s="1581">
        <f t="shared" si="10"/>
        <v>1833430</v>
      </c>
      <c r="G81" s="1581">
        <f t="shared" si="10"/>
        <v>878507</v>
      </c>
      <c r="H81" s="1581">
        <f t="shared" si="10"/>
        <v>2249</v>
      </c>
      <c r="I81" s="1581">
        <f t="shared" si="10"/>
        <v>520334</v>
      </c>
      <c r="J81" s="1581">
        <f t="shared" si="10"/>
        <v>0</v>
      </c>
      <c r="K81" s="1581">
        <f t="shared" si="10"/>
        <v>0</v>
      </c>
      <c r="L81" s="325"/>
    </row>
    <row r="82" spans="1:12" ht="0.75" customHeight="1" thickTop="1" thickBot="1" x14ac:dyDescent="0.25">
      <c r="A82" s="459" t="s">
        <v>339</v>
      </c>
      <c r="B82" s="460"/>
      <c r="C82" s="461">
        <f>(C81-C79)</f>
        <v>-4403358</v>
      </c>
      <c r="D82" s="461">
        <f t="shared" ref="D82:K82" si="11">(D81-D79)</f>
        <v>-275700</v>
      </c>
      <c r="E82" s="461">
        <f t="shared" si="11"/>
        <v>-83244</v>
      </c>
      <c r="F82" s="461">
        <f t="shared" si="11"/>
        <v>97834</v>
      </c>
      <c r="G82" s="461">
        <f t="shared" si="11"/>
        <v>69831</v>
      </c>
      <c r="H82" s="461">
        <f t="shared" si="11"/>
        <v>1461</v>
      </c>
      <c r="I82" s="461">
        <f t="shared" si="11"/>
        <v>0</v>
      </c>
      <c r="J82" s="461">
        <f t="shared" si="11"/>
        <v>0</v>
      </c>
      <c r="K82" s="461">
        <f t="shared" si="11"/>
        <v>0</v>
      </c>
    </row>
    <row r="83" spans="1:12" ht="14.25" hidden="1" thickTop="1" thickBot="1" x14ac:dyDescent="0.25">
      <c r="A83" s="462" t="s">
        <v>340</v>
      </c>
      <c r="B83" s="428"/>
      <c r="C83" s="463">
        <f>C82/C81</f>
        <v>-0.22676568151863696</v>
      </c>
      <c r="D83" s="463">
        <f t="shared" ref="D83:K83" si="12">D82/D81</f>
        <v>-0.43325758790084579</v>
      </c>
      <c r="E83" s="463">
        <f t="shared" si="12"/>
        <v>-25.433547204399634</v>
      </c>
      <c r="F83" s="463">
        <f t="shared" si="12"/>
        <v>5.3361186410171103E-2</v>
      </c>
      <c r="G83" s="463">
        <f t="shared" si="12"/>
        <v>7.9488268164055603E-2</v>
      </c>
      <c r="H83" s="463">
        <f t="shared" si="12"/>
        <v>0.64962205424633168</v>
      </c>
      <c r="I83" s="463">
        <f t="shared" si="12"/>
        <v>0</v>
      </c>
      <c r="J83" s="463" t="e">
        <f t="shared" si="12"/>
        <v>#DIV/0!</v>
      </c>
      <c r="K83" s="463" t="e">
        <f t="shared" si="12"/>
        <v>#DIV/0!</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topLeftCell="A178" zoomScale="110" zoomScaleNormal="110" workbookViewId="0">
      <selection activeCell="C192" sqref="C19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5" t="s">
        <v>1775</v>
      </c>
      <c r="B1" s="416"/>
      <c r="C1" s="417" t="s">
        <v>421</v>
      </c>
      <c r="D1" s="417" t="s">
        <v>422</v>
      </c>
      <c r="E1" s="417" t="s">
        <v>423</v>
      </c>
      <c r="F1" s="417" t="s">
        <v>424</v>
      </c>
      <c r="G1" s="417" t="s">
        <v>425</v>
      </c>
      <c r="H1" s="417" t="s">
        <v>426</v>
      </c>
      <c r="I1" s="417" t="s">
        <v>427</v>
      </c>
      <c r="J1" s="417" t="s">
        <v>428</v>
      </c>
      <c r="K1" s="417" t="s">
        <v>749</v>
      </c>
    </row>
    <row r="2" spans="1:12" ht="36" x14ac:dyDescent="0.2">
      <c r="A2" s="2256"/>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375</v>
      </c>
      <c r="B4" s="1322">
        <v>1100</v>
      </c>
      <c r="C4" s="466"/>
      <c r="D4" s="466"/>
      <c r="E4" s="466"/>
      <c r="F4" s="467"/>
      <c r="G4" s="468"/>
      <c r="H4" s="469"/>
      <c r="I4" s="469"/>
      <c r="J4" s="469"/>
      <c r="K4" s="469"/>
    </row>
    <row r="5" spans="1:12" ht="15" x14ac:dyDescent="0.2">
      <c r="A5" s="436" t="s">
        <v>1638</v>
      </c>
      <c r="B5" s="470"/>
      <c r="C5" s="1573">
        <v>22979324</v>
      </c>
      <c r="D5" s="1573">
        <v>1699378</v>
      </c>
      <c r="E5" s="1561">
        <v>359078</v>
      </c>
      <c r="F5" s="1617">
        <v>1307666</v>
      </c>
      <c r="G5" s="1561">
        <v>506119</v>
      </c>
      <c r="H5" s="1561">
        <v>0</v>
      </c>
      <c r="I5" s="1561">
        <v>0</v>
      </c>
      <c r="J5" s="1562">
        <v>0</v>
      </c>
      <c r="K5" s="1561">
        <v>0</v>
      </c>
    </row>
    <row r="6" spans="1:12" ht="15" x14ac:dyDescent="0.2">
      <c r="A6" s="427" t="s">
        <v>1639</v>
      </c>
      <c r="B6" s="429">
        <v>1130</v>
      </c>
      <c r="C6" s="1561">
        <v>0</v>
      </c>
      <c r="D6" s="1561">
        <v>0</v>
      </c>
      <c r="E6" s="1568"/>
      <c r="F6" s="1568"/>
      <c r="G6" s="1563"/>
      <c r="H6" s="1563"/>
      <c r="I6" s="1563"/>
      <c r="J6" s="1563"/>
      <c r="K6" s="1563"/>
    </row>
    <row r="7" spans="1:12" x14ac:dyDescent="0.2">
      <c r="A7" s="427" t="s">
        <v>110</v>
      </c>
      <c r="B7" s="471">
        <v>1140</v>
      </c>
      <c r="C7" s="1561">
        <v>0</v>
      </c>
      <c r="D7" s="1561">
        <v>0</v>
      </c>
      <c r="E7" s="1563"/>
      <c r="F7" s="1562">
        <v>0</v>
      </c>
      <c r="G7" s="1562">
        <v>0</v>
      </c>
      <c r="H7" s="1562">
        <v>0</v>
      </c>
      <c r="I7" s="1563"/>
      <c r="J7" s="1563"/>
      <c r="K7" s="1563"/>
    </row>
    <row r="8" spans="1:12" x14ac:dyDescent="0.2">
      <c r="A8" s="427" t="s">
        <v>409</v>
      </c>
      <c r="B8" s="429">
        <v>1150</v>
      </c>
      <c r="C8" s="1568"/>
      <c r="D8" s="1568"/>
      <c r="E8" s="1569"/>
      <c r="F8" s="1569"/>
      <c r="G8" s="1573">
        <v>654890</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9"/>
      <c r="E10" s="1609"/>
      <c r="F10" s="1564"/>
      <c r="G10" s="1563"/>
      <c r="H10" s="1563"/>
      <c r="I10" s="1563"/>
      <c r="J10" s="1563"/>
      <c r="K10" s="1563"/>
    </row>
    <row r="11" spans="1:12" x14ac:dyDescent="0.2">
      <c r="A11" s="430" t="s">
        <v>410</v>
      </c>
      <c r="B11" s="472">
        <v>1190</v>
      </c>
      <c r="C11" s="1618">
        <v>0</v>
      </c>
      <c r="D11" s="1561">
        <v>0</v>
      </c>
      <c r="E11" s="1561">
        <v>0</v>
      </c>
      <c r="F11" s="1561">
        <v>0</v>
      </c>
      <c r="G11" s="1561">
        <v>0</v>
      </c>
      <c r="H11" s="1561">
        <v>0</v>
      </c>
      <c r="I11" s="1561">
        <v>0</v>
      </c>
      <c r="J11" s="1562">
        <v>0</v>
      </c>
      <c r="K11" s="1561">
        <v>0</v>
      </c>
      <c r="L11" s="473"/>
    </row>
    <row r="12" spans="1:12" ht="12.75" customHeight="1" thickBot="1" x14ac:dyDescent="0.25">
      <c r="A12" s="1397" t="s">
        <v>29</v>
      </c>
      <c r="B12" s="1398"/>
      <c r="C12" s="1619">
        <f t="shared" ref="C12:K12" si="0">SUM(C5:C11)</f>
        <v>22979324</v>
      </c>
      <c r="D12" s="1619">
        <f t="shared" si="0"/>
        <v>1699378</v>
      </c>
      <c r="E12" s="1619">
        <f t="shared" si="0"/>
        <v>359078</v>
      </c>
      <c r="F12" s="1619">
        <f t="shared" si="0"/>
        <v>1307666</v>
      </c>
      <c r="G12" s="1619">
        <f t="shared" si="0"/>
        <v>1161009</v>
      </c>
      <c r="H12" s="1619">
        <f t="shared" si="0"/>
        <v>0</v>
      </c>
      <c r="I12" s="1619">
        <f t="shared" si="0"/>
        <v>0</v>
      </c>
      <c r="J12" s="1619">
        <f t="shared" si="0"/>
        <v>0</v>
      </c>
      <c r="K12" s="1581">
        <f t="shared" si="0"/>
        <v>0</v>
      </c>
    </row>
    <row r="13" spans="1:12" ht="15.75" customHeight="1" thickTop="1" x14ac:dyDescent="0.2">
      <c r="A13" s="1323" t="s">
        <v>447</v>
      </c>
      <c r="B13" s="1324">
        <v>1200</v>
      </c>
      <c r="C13" s="1620"/>
      <c r="D13" s="1620"/>
      <c r="E13" s="1620"/>
      <c r="F13" s="1620"/>
      <c r="G13" s="1620"/>
      <c r="H13" s="1620"/>
      <c r="I13" s="1620"/>
      <c r="J13" s="1620"/>
      <c r="K13" s="1563"/>
    </row>
    <row r="14" spans="1:12" x14ac:dyDescent="0.2">
      <c r="A14" s="427" t="s">
        <v>3</v>
      </c>
      <c r="B14" s="429">
        <v>1210</v>
      </c>
      <c r="C14" s="1618">
        <v>0</v>
      </c>
      <c r="D14" s="1561">
        <v>0</v>
      </c>
      <c r="E14" s="1561">
        <v>0</v>
      </c>
      <c r="F14" s="1561">
        <v>0</v>
      </c>
      <c r="G14" s="1561">
        <v>0</v>
      </c>
      <c r="H14" s="1561">
        <v>0</v>
      </c>
      <c r="I14" s="1561">
        <v>0</v>
      </c>
      <c r="J14" s="1562">
        <v>0</v>
      </c>
      <c r="K14" s="1561">
        <v>0</v>
      </c>
    </row>
    <row r="15" spans="1:12" ht="12.75" customHeight="1" x14ac:dyDescent="0.2">
      <c r="A15" s="427" t="s">
        <v>95</v>
      </c>
      <c r="B15" s="429">
        <v>1220</v>
      </c>
      <c r="C15" s="1618">
        <v>0</v>
      </c>
      <c r="D15" s="1561">
        <v>0</v>
      </c>
      <c r="E15" s="1561">
        <v>0</v>
      </c>
      <c r="F15" s="1561">
        <v>0</v>
      </c>
      <c r="G15" s="1561">
        <v>0</v>
      </c>
      <c r="H15" s="1561">
        <v>0</v>
      </c>
      <c r="I15" s="1561">
        <v>0</v>
      </c>
      <c r="J15" s="1562">
        <v>0</v>
      </c>
      <c r="K15" s="1561">
        <v>0</v>
      </c>
    </row>
    <row r="16" spans="1:12" ht="15" customHeight="1" x14ac:dyDescent="0.2">
      <c r="A16" s="427" t="s">
        <v>1640</v>
      </c>
      <c r="B16" s="471">
        <v>1230</v>
      </c>
      <c r="C16" s="1618">
        <v>79555</v>
      </c>
      <c r="D16" s="1561">
        <v>0</v>
      </c>
      <c r="E16" s="1561">
        <v>0</v>
      </c>
      <c r="F16" s="1561">
        <v>0</v>
      </c>
      <c r="G16" s="1561">
        <v>35870</v>
      </c>
      <c r="H16" s="1561">
        <v>0</v>
      </c>
      <c r="I16" s="1561">
        <v>0</v>
      </c>
      <c r="J16" s="1562">
        <v>0</v>
      </c>
      <c r="K16" s="1561">
        <v>0</v>
      </c>
    </row>
    <row r="17" spans="1:11" ht="12.75" customHeight="1" x14ac:dyDescent="0.2">
      <c r="A17" s="427" t="s">
        <v>800</v>
      </c>
      <c r="B17" s="429">
        <v>1290</v>
      </c>
      <c r="C17" s="1618">
        <v>0</v>
      </c>
      <c r="D17" s="1561">
        <v>0</v>
      </c>
      <c r="E17" s="1561">
        <v>0</v>
      </c>
      <c r="F17" s="1561">
        <v>0</v>
      </c>
      <c r="G17" s="1561">
        <v>0</v>
      </c>
      <c r="H17" s="1561">
        <v>0</v>
      </c>
      <c r="I17" s="1561">
        <v>0</v>
      </c>
      <c r="J17" s="1562">
        <v>0</v>
      </c>
      <c r="K17" s="1561">
        <v>0</v>
      </c>
    </row>
    <row r="18" spans="1:11" ht="12.75" customHeight="1" thickBot="1" x14ac:dyDescent="0.25">
      <c r="A18" s="1399" t="s">
        <v>533</v>
      </c>
      <c r="B18" s="1400"/>
      <c r="C18" s="1621">
        <f>SUM(C14:C17)</f>
        <v>79555</v>
      </c>
      <c r="D18" s="1621">
        <f t="shared" ref="D18:K18" si="1">SUM(D14:D17)</f>
        <v>0</v>
      </c>
      <c r="E18" s="1621">
        <f t="shared" si="1"/>
        <v>0</v>
      </c>
      <c r="F18" s="1621">
        <f t="shared" si="1"/>
        <v>0</v>
      </c>
      <c r="G18" s="1621">
        <f t="shared" si="1"/>
        <v>35870</v>
      </c>
      <c r="H18" s="1621">
        <f t="shared" si="1"/>
        <v>0</v>
      </c>
      <c r="I18" s="1621">
        <f t="shared" si="1"/>
        <v>0</v>
      </c>
      <c r="J18" s="1621">
        <f t="shared" si="1"/>
        <v>0</v>
      </c>
      <c r="K18" s="1622">
        <f t="shared" si="1"/>
        <v>0</v>
      </c>
    </row>
    <row r="19" spans="1:11" ht="15.75" customHeight="1" thickTop="1" x14ac:dyDescent="0.2">
      <c r="A19" s="1323" t="s">
        <v>448</v>
      </c>
      <c r="B19" s="1324">
        <v>1300</v>
      </c>
      <c r="C19" s="1623"/>
      <c r="D19" s="1623"/>
      <c r="E19" s="1623"/>
      <c r="F19" s="1623"/>
      <c r="G19" s="1620"/>
      <c r="H19" s="1623"/>
      <c r="I19" s="1623"/>
      <c r="J19" s="1623"/>
      <c r="K19" s="1624"/>
    </row>
    <row r="20" spans="1:11" x14ac:dyDescent="0.2">
      <c r="A20" s="427" t="s">
        <v>1062</v>
      </c>
      <c r="B20" s="429">
        <v>1311</v>
      </c>
      <c r="C20" s="1561">
        <v>356359</v>
      </c>
      <c r="D20" s="1563"/>
      <c r="E20" s="1563"/>
      <c r="F20" s="1563"/>
      <c r="G20" s="1563"/>
      <c r="H20" s="1563"/>
      <c r="I20" s="1563"/>
      <c r="J20" s="1563"/>
      <c r="K20" s="1563"/>
    </row>
    <row r="21" spans="1:11" ht="12.75" customHeight="1" x14ac:dyDescent="0.2">
      <c r="A21" s="427" t="s">
        <v>825</v>
      </c>
      <c r="B21" s="429">
        <v>1312</v>
      </c>
      <c r="C21" s="1618">
        <v>0</v>
      </c>
      <c r="D21" s="1563"/>
      <c r="E21" s="1563"/>
      <c r="F21" s="1563"/>
      <c r="G21" s="1563"/>
      <c r="H21" s="1563"/>
      <c r="I21" s="1563"/>
      <c r="J21" s="1563"/>
      <c r="K21" s="1563"/>
    </row>
    <row r="22" spans="1:11" ht="12.75" customHeight="1" x14ac:dyDescent="0.2">
      <c r="A22" s="427" t="s">
        <v>1063</v>
      </c>
      <c r="B22" s="429">
        <v>1313</v>
      </c>
      <c r="C22" s="1618">
        <v>0</v>
      </c>
      <c r="D22" s="1563"/>
      <c r="E22" s="1563"/>
      <c r="F22" s="1563"/>
      <c r="G22" s="1563"/>
      <c r="H22" s="1563"/>
      <c r="I22" s="1563"/>
      <c r="J22" s="1563"/>
      <c r="K22" s="1563"/>
    </row>
    <row r="23" spans="1:11" ht="12.75" customHeight="1" x14ac:dyDescent="0.2">
      <c r="A23" s="427" t="s">
        <v>1064</v>
      </c>
      <c r="B23" s="429">
        <v>1314</v>
      </c>
      <c r="C23" s="1584">
        <v>0</v>
      </c>
      <c r="D23" s="1563"/>
      <c r="E23" s="1563"/>
      <c r="F23" s="1563"/>
      <c r="G23" s="1563"/>
      <c r="H23" s="1563"/>
      <c r="I23" s="1563"/>
      <c r="J23" s="1563"/>
      <c r="K23" s="1563"/>
    </row>
    <row r="24" spans="1:11" ht="12.75" customHeight="1" x14ac:dyDescent="0.2">
      <c r="A24" s="427" t="s">
        <v>1018</v>
      </c>
      <c r="B24" s="429">
        <v>1321</v>
      </c>
      <c r="C24" s="1618">
        <v>46800</v>
      </c>
      <c r="D24" s="1563"/>
      <c r="E24" s="1563"/>
      <c r="F24" s="1563"/>
      <c r="G24" s="1563"/>
      <c r="H24" s="1563"/>
      <c r="I24" s="1563"/>
      <c r="J24" s="1563"/>
      <c r="K24" s="1563"/>
    </row>
    <row r="25" spans="1:11" ht="12.75" customHeight="1" x14ac:dyDescent="0.2">
      <c r="A25" s="427" t="s">
        <v>826</v>
      </c>
      <c r="B25" s="429">
        <v>1322</v>
      </c>
      <c r="C25" s="1618">
        <v>0</v>
      </c>
      <c r="D25" s="1563"/>
      <c r="E25" s="1563"/>
      <c r="F25" s="1563"/>
      <c r="G25" s="1563"/>
      <c r="H25" s="1563"/>
      <c r="I25" s="1563"/>
      <c r="J25" s="1563"/>
      <c r="K25" s="1563"/>
    </row>
    <row r="26" spans="1:11" ht="12.75" customHeight="1" x14ac:dyDescent="0.2">
      <c r="A26" s="427" t="s">
        <v>1090</v>
      </c>
      <c r="B26" s="429">
        <v>1323</v>
      </c>
      <c r="C26" s="1618">
        <v>0</v>
      </c>
      <c r="D26" s="1563"/>
      <c r="E26" s="1563"/>
      <c r="F26" s="1563"/>
      <c r="G26" s="1563"/>
      <c r="H26" s="1563"/>
      <c r="I26" s="1563"/>
      <c r="J26" s="1563"/>
      <c r="K26" s="1563"/>
    </row>
    <row r="27" spans="1:11" ht="12.75" customHeight="1" x14ac:dyDescent="0.2">
      <c r="A27" s="427" t="s">
        <v>1014</v>
      </c>
      <c r="B27" s="429">
        <v>1324</v>
      </c>
      <c r="C27" s="1584">
        <v>0</v>
      </c>
      <c r="D27" s="1563"/>
      <c r="E27" s="1563"/>
      <c r="F27" s="1563"/>
      <c r="G27" s="1563"/>
      <c r="H27" s="1563"/>
      <c r="I27" s="1563"/>
      <c r="J27" s="1563"/>
      <c r="K27" s="1563"/>
    </row>
    <row r="28" spans="1:11" ht="12.75" customHeight="1" x14ac:dyDescent="0.2">
      <c r="A28" s="427" t="s">
        <v>1015</v>
      </c>
      <c r="B28" s="429">
        <v>1331</v>
      </c>
      <c r="C28" s="1618">
        <v>0</v>
      </c>
      <c r="D28" s="1563"/>
      <c r="E28" s="1563"/>
      <c r="F28" s="1563"/>
      <c r="G28" s="1563"/>
      <c r="H28" s="1563"/>
      <c r="I28" s="1563"/>
      <c r="J28" s="1563"/>
      <c r="K28" s="1563"/>
    </row>
    <row r="29" spans="1:11" ht="12.75" customHeight="1" x14ac:dyDescent="0.2">
      <c r="A29" s="427" t="s">
        <v>827</v>
      </c>
      <c r="B29" s="429">
        <v>1332</v>
      </c>
      <c r="C29" s="1618">
        <v>0</v>
      </c>
      <c r="D29" s="1563"/>
      <c r="E29" s="1563"/>
      <c r="F29" s="1563"/>
      <c r="G29" s="1563"/>
      <c r="H29" s="1563"/>
      <c r="I29" s="1563"/>
      <c r="J29" s="1563"/>
      <c r="K29" s="1563"/>
    </row>
    <row r="30" spans="1:11" ht="12.75" customHeight="1" x14ac:dyDescent="0.2">
      <c r="A30" s="427" t="s">
        <v>1017</v>
      </c>
      <c r="B30" s="429">
        <v>1333</v>
      </c>
      <c r="C30" s="1618">
        <v>0</v>
      </c>
      <c r="D30" s="1563"/>
      <c r="E30" s="1563"/>
      <c r="F30" s="1563"/>
      <c r="G30" s="1563"/>
      <c r="H30" s="1563"/>
      <c r="I30" s="1563"/>
      <c r="J30" s="1563"/>
      <c r="K30" s="1563"/>
    </row>
    <row r="31" spans="1:11" ht="12.75" customHeight="1" x14ac:dyDescent="0.2">
      <c r="A31" s="427" t="s">
        <v>1016</v>
      </c>
      <c r="B31" s="429">
        <v>1334</v>
      </c>
      <c r="C31" s="1584">
        <v>0</v>
      </c>
      <c r="D31" s="1563"/>
      <c r="E31" s="1563"/>
      <c r="F31" s="1563"/>
      <c r="G31" s="1563"/>
      <c r="H31" s="1563"/>
      <c r="I31" s="1563"/>
      <c r="J31" s="1563"/>
      <c r="K31" s="1563"/>
    </row>
    <row r="32" spans="1:11" ht="12.75" customHeight="1" x14ac:dyDescent="0.2">
      <c r="A32" s="427" t="s">
        <v>490</v>
      </c>
      <c r="B32" s="429">
        <v>1341</v>
      </c>
      <c r="C32" s="1618">
        <v>0</v>
      </c>
      <c r="D32" s="1563"/>
      <c r="E32" s="1563"/>
      <c r="F32" s="1563"/>
      <c r="G32" s="1563"/>
      <c r="H32" s="1563"/>
      <c r="I32" s="1563"/>
      <c r="J32" s="1563"/>
      <c r="K32" s="1563"/>
    </row>
    <row r="33" spans="1:11" ht="12.75" customHeight="1" x14ac:dyDescent="0.2">
      <c r="A33" s="427" t="s">
        <v>828</v>
      </c>
      <c r="B33" s="429">
        <v>1342</v>
      </c>
      <c r="C33" s="1618">
        <v>0</v>
      </c>
      <c r="D33" s="1563"/>
      <c r="E33" s="1563"/>
      <c r="F33" s="1563"/>
      <c r="G33" s="1563"/>
      <c r="H33" s="1563"/>
      <c r="I33" s="1563"/>
      <c r="J33" s="1563"/>
      <c r="K33" s="1563"/>
    </row>
    <row r="34" spans="1:11" ht="12.75" customHeight="1" x14ac:dyDescent="0.2">
      <c r="A34" s="427" t="s">
        <v>491</v>
      </c>
      <c r="B34" s="429">
        <v>1343</v>
      </c>
      <c r="C34" s="1618">
        <v>0</v>
      </c>
      <c r="D34" s="1563"/>
      <c r="E34" s="1563"/>
      <c r="F34" s="1563"/>
      <c r="G34" s="1563"/>
      <c r="H34" s="1563"/>
      <c r="I34" s="1563"/>
      <c r="J34" s="1563"/>
      <c r="K34" s="1563"/>
    </row>
    <row r="35" spans="1:11" ht="12.75" customHeight="1" x14ac:dyDescent="0.2">
      <c r="A35" s="427" t="s">
        <v>489</v>
      </c>
      <c r="B35" s="429">
        <v>1344</v>
      </c>
      <c r="C35" s="1584">
        <v>0</v>
      </c>
      <c r="D35" s="1563"/>
      <c r="E35" s="1563"/>
      <c r="F35" s="1563"/>
      <c r="G35" s="1563"/>
      <c r="H35" s="1563"/>
      <c r="I35" s="1563"/>
      <c r="J35" s="1563"/>
      <c r="K35" s="1563"/>
    </row>
    <row r="36" spans="1:11" ht="12.75" customHeight="1" x14ac:dyDescent="0.2">
      <c r="A36" s="427" t="s">
        <v>824</v>
      </c>
      <c r="B36" s="429">
        <v>1351</v>
      </c>
      <c r="C36" s="1618">
        <v>0</v>
      </c>
      <c r="D36" s="1563"/>
      <c r="E36" s="1563"/>
      <c r="F36" s="1563"/>
      <c r="G36" s="1563"/>
      <c r="H36" s="1563"/>
      <c r="I36" s="1563"/>
      <c r="J36" s="1563"/>
      <c r="K36" s="1563"/>
    </row>
    <row r="37" spans="1:11" ht="12.75" customHeight="1" x14ac:dyDescent="0.2">
      <c r="A37" s="427" t="s">
        <v>829</v>
      </c>
      <c r="B37" s="429">
        <v>1352</v>
      </c>
      <c r="C37" s="1618">
        <v>0</v>
      </c>
      <c r="D37" s="1563"/>
      <c r="E37" s="1563"/>
      <c r="F37" s="1563"/>
      <c r="G37" s="1563"/>
      <c r="H37" s="1563"/>
      <c r="I37" s="1563"/>
      <c r="J37" s="1563"/>
      <c r="K37" s="1563"/>
    </row>
    <row r="38" spans="1:11" ht="12.75" customHeight="1" x14ac:dyDescent="0.2">
      <c r="A38" s="427" t="s">
        <v>588</v>
      </c>
      <c r="B38" s="429">
        <v>1353</v>
      </c>
      <c r="C38" s="1618">
        <v>0</v>
      </c>
      <c r="D38" s="1563"/>
      <c r="E38" s="1563"/>
      <c r="F38" s="1563"/>
      <c r="G38" s="1563"/>
      <c r="H38" s="1563"/>
      <c r="I38" s="1563"/>
      <c r="J38" s="1563"/>
      <c r="K38" s="1563"/>
    </row>
    <row r="39" spans="1:11" ht="12.75" customHeight="1" x14ac:dyDescent="0.2">
      <c r="A39" s="1258" t="s">
        <v>589</v>
      </c>
      <c r="B39" s="474">
        <v>1354</v>
      </c>
      <c r="C39" s="1584">
        <v>0</v>
      </c>
      <c r="D39" s="1563"/>
      <c r="E39" s="1563"/>
      <c r="F39" s="1563"/>
      <c r="G39" s="1563"/>
      <c r="H39" s="1563"/>
      <c r="I39" s="1563"/>
      <c r="J39" s="1563"/>
      <c r="K39" s="1563"/>
    </row>
    <row r="40" spans="1:11" ht="12.75" customHeight="1" thickBot="1" x14ac:dyDescent="0.25">
      <c r="A40" s="1399" t="s">
        <v>534</v>
      </c>
      <c r="B40" s="1400"/>
      <c r="C40" s="1581">
        <f>SUM(C20:C39)</f>
        <v>403159</v>
      </c>
      <c r="D40" s="1563"/>
      <c r="E40" s="1563"/>
      <c r="F40" s="1563"/>
      <c r="G40" s="1563"/>
      <c r="H40" s="1563"/>
      <c r="I40" s="1563"/>
      <c r="J40" s="1563"/>
      <c r="K40" s="1563"/>
    </row>
    <row r="41" spans="1:11" ht="15.75" customHeight="1" thickTop="1" x14ac:dyDescent="0.2">
      <c r="A41" s="1323" t="s">
        <v>271</v>
      </c>
      <c r="B41" s="1324">
        <v>1400</v>
      </c>
      <c r="C41" s="1563"/>
      <c r="D41" s="1563"/>
      <c r="E41" s="1563"/>
      <c r="F41" s="1603"/>
      <c r="G41" s="1563"/>
      <c r="H41" s="1563"/>
      <c r="I41" s="1563"/>
      <c r="J41" s="1563"/>
      <c r="K41" s="1563"/>
    </row>
    <row r="42" spans="1:11" ht="12.75" customHeight="1" x14ac:dyDescent="0.2">
      <c r="A42" s="427" t="s">
        <v>1065</v>
      </c>
      <c r="B42" s="429">
        <v>1411</v>
      </c>
      <c r="C42" s="1563"/>
      <c r="D42" s="1563"/>
      <c r="E42" s="1563"/>
      <c r="F42" s="1573">
        <v>0</v>
      </c>
      <c r="G42" s="1563"/>
      <c r="H42" s="1563"/>
      <c r="I42" s="1563"/>
      <c r="J42" s="1563"/>
      <c r="K42" s="1563"/>
    </row>
    <row r="43" spans="1:11" ht="12.75" customHeight="1" x14ac:dyDescent="0.2">
      <c r="A43" s="427" t="s">
        <v>830</v>
      </c>
      <c r="B43" s="429">
        <v>1412</v>
      </c>
      <c r="C43" s="1563"/>
      <c r="D43" s="1563"/>
      <c r="E43" s="1563"/>
      <c r="F43" s="1561">
        <v>0</v>
      </c>
      <c r="G43" s="1563"/>
      <c r="H43" s="1563"/>
      <c r="I43" s="1563"/>
      <c r="J43" s="1563"/>
      <c r="K43" s="1563"/>
    </row>
    <row r="44" spans="1:11" ht="12.75" customHeight="1" x14ac:dyDescent="0.2">
      <c r="A44" s="427" t="s">
        <v>380</v>
      </c>
      <c r="B44" s="429">
        <v>1413</v>
      </c>
      <c r="C44" s="1563"/>
      <c r="D44" s="1563"/>
      <c r="E44" s="1563"/>
      <c r="F44" s="1561">
        <v>0</v>
      </c>
      <c r="G44" s="1563"/>
      <c r="H44" s="1563"/>
      <c r="I44" s="1563"/>
      <c r="J44" s="1563"/>
      <c r="K44" s="1563"/>
    </row>
    <row r="45" spans="1:11" ht="12.75" customHeight="1" x14ac:dyDescent="0.2">
      <c r="A45" s="427" t="s">
        <v>238</v>
      </c>
      <c r="B45" s="429">
        <v>1415</v>
      </c>
      <c r="C45" s="1563"/>
      <c r="D45" s="1563"/>
      <c r="E45" s="1563"/>
      <c r="F45" s="1561">
        <v>3502</v>
      </c>
      <c r="G45" s="1563"/>
      <c r="H45" s="1563"/>
      <c r="I45" s="1563"/>
      <c r="J45" s="1563"/>
      <c r="K45" s="1563"/>
    </row>
    <row r="46" spans="1:11" ht="12.75" customHeight="1" x14ac:dyDescent="0.2">
      <c r="A46" s="427" t="s">
        <v>1162</v>
      </c>
      <c r="B46" s="429">
        <v>1416</v>
      </c>
      <c r="C46" s="1563"/>
      <c r="D46" s="1563"/>
      <c r="E46" s="1563"/>
      <c r="F46" s="1562">
        <v>0</v>
      </c>
      <c r="G46" s="1563"/>
      <c r="H46" s="1563"/>
      <c r="I46" s="1563"/>
      <c r="J46" s="1563"/>
      <c r="K46" s="1563"/>
    </row>
    <row r="47" spans="1:11" ht="12.75" customHeight="1" x14ac:dyDescent="0.2">
      <c r="A47" s="427" t="s">
        <v>57</v>
      </c>
      <c r="B47" s="429">
        <v>1421</v>
      </c>
      <c r="C47" s="1563"/>
      <c r="D47" s="1563"/>
      <c r="E47" s="1563"/>
      <c r="F47" s="1561">
        <v>0</v>
      </c>
      <c r="G47" s="1563"/>
      <c r="H47" s="1563"/>
      <c r="I47" s="1563"/>
      <c r="J47" s="1563"/>
      <c r="K47" s="1563"/>
    </row>
    <row r="48" spans="1:11" ht="12.75" customHeight="1" x14ac:dyDescent="0.2">
      <c r="A48" s="427" t="s">
        <v>831</v>
      </c>
      <c r="B48" s="429">
        <v>1422</v>
      </c>
      <c r="C48" s="1563"/>
      <c r="D48" s="1563"/>
      <c r="E48" s="1563"/>
      <c r="F48" s="1561">
        <v>0</v>
      </c>
      <c r="G48" s="1563"/>
      <c r="H48" s="1563"/>
      <c r="I48" s="1563"/>
      <c r="J48" s="1563"/>
      <c r="K48" s="1563"/>
    </row>
    <row r="49" spans="1:11" ht="12.75" customHeight="1" x14ac:dyDescent="0.2">
      <c r="A49" s="427" t="s">
        <v>58</v>
      </c>
      <c r="B49" s="429">
        <v>1423</v>
      </c>
      <c r="C49" s="1563"/>
      <c r="D49" s="1563"/>
      <c r="E49" s="1563"/>
      <c r="F49" s="1561">
        <v>0</v>
      </c>
      <c r="G49" s="1563"/>
      <c r="H49" s="1563"/>
      <c r="I49" s="1563"/>
      <c r="J49" s="1563"/>
      <c r="K49" s="1563"/>
    </row>
    <row r="50" spans="1:11" ht="12.75" customHeight="1" x14ac:dyDescent="0.2">
      <c r="A50" s="427" t="s">
        <v>59</v>
      </c>
      <c r="B50" s="429">
        <v>1424</v>
      </c>
      <c r="C50" s="1563"/>
      <c r="D50" s="1563"/>
      <c r="E50" s="1563"/>
      <c r="F50" s="1562">
        <v>0</v>
      </c>
      <c r="G50" s="1563"/>
      <c r="H50" s="1563"/>
      <c r="I50" s="1563"/>
      <c r="J50" s="1563"/>
      <c r="K50" s="1563"/>
    </row>
    <row r="51" spans="1:11" ht="12.75" customHeight="1" x14ac:dyDescent="0.2">
      <c r="A51" s="1259" t="s">
        <v>60</v>
      </c>
      <c r="B51" s="475">
        <v>1431</v>
      </c>
      <c r="C51" s="1563"/>
      <c r="D51" s="1563"/>
      <c r="E51" s="1563"/>
      <c r="F51" s="1561">
        <v>0</v>
      </c>
      <c r="G51" s="1563"/>
      <c r="H51" s="1563"/>
      <c r="I51" s="1563"/>
      <c r="J51" s="1563"/>
      <c r="K51" s="1563"/>
    </row>
    <row r="52" spans="1:11" ht="12.75" customHeight="1" x14ac:dyDescent="0.2">
      <c r="A52" s="1259" t="s">
        <v>1095</v>
      </c>
      <c r="B52" s="475">
        <v>1432</v>
      </c>
      <c r="C52" s="1563"/>
      <c r="D52" s="1563"/>
      <c r="E52" s="1563"/>
      <c r="F52" s="1561">
        <v>0</v>
      </c>
      <c r="G52" s="1563"/>
      <c r="H52" s="1563"/>
      <c r="I52" s="1563"/>
      <c r="J52" s="1563"/>
      <c r="K52" s="1563"/>
    </row>
    <row r="53" spans="1:11" ht="12.75" customHeight="1" x14ac:dyDescent="0.2">
      <c r="A53" s="1259" t="s">
        <v>61</v>
      </c>
      <c r="B53" s="475">
        <v>1433</v>
      </c>
      <c r="C53" s="1563"/>
      <c r="D53" s="1563"/>
      <c r="E53" s="1563"/>
      <c r="F53" s="1561">
        <v>0</v>
      </c>
      <c r="G53" s="1563"/>
      <c r="H53" s="1563"/>
      <c r="I53" s="1563"/>
      <c r="J53" s="1563"/>
      <c r="K53" s="1563"/>
    </row>
    <row r="54" spans="1:11" ht="12.75" customHeight="1" x14ac:dyDescent="0.2">
      <c r="A54" s="1259" t="s">
        <v>62</v>
      </c>
      <c r="B54" s="475">
        <v>1434</v>
      </c>
      <c r="C54" s="1563"/>
      <c r="D54" s="1563"/>
      <c r="E54" s="1563"/>
      <c r="F54" s="1562">
        <v>0</v>
      </c>
      <c r="G54" s="1563"/>
      <c r="H54" s="1563"/>
      <c r="I54" s="1563"/>
      <c r="J54" s="1563"/>
      <c r="K54" s="1563"/>
    </row>
    <row r="55" spans="1:11" ht="12.75" customHeight="1" x14ac:dyDescent="0.2">
      <c r="A55" s="1259" t="s">
        <v>63</v>
      </c>
      <c r="B55" s="475">
        <v>1441</v>
      </c>
      <c r="C55" s="1563"/>
      <c r="D55" s="1563"/>
      <c r="E55" s="1563"/>
      <c r="F55" s="1561">
        <v>0</v>
      </c>
      <c r="G55" s="1563"/>
      <c r="H55" s="1563"/>
      <c r="I55" s="1563"/>
      <c r="J55" s="1563"/>
      <c r="K55" s="1563"/>
    </row>
    <row r="56" spans="1:11" ht="12.75" customHeight="1" x14ac:dyDescent="0.2">
      <c r="A56" s="1259" t="s">
        <v>1096</v>
      </c>
      <c r="B56" s="475">
        <v>1442</v>
      </c>
      <c r="C56" s="1563"/>
      <c r="D56" s="1563"/>
      <c r="E56" s="1563"/>
      <c r="F56" s="1561">
        <v>0</v>
      </c>
      <c r="G56" s="1563"/>
      <c r="H56" s="1563"/>
      <c r="I56" s="1563"/>
      <c r="J56" s="1563"/>
      <c r="K56" s="1563"/>
    </row>
    <row r="57" spans="1:11" ht="12.75" customHeight="1" x14ac:dyDescent="0.2">
      <c r="A57" s="1259" t="s">
        <v>485</v>
      </c>
      <c r="B57" s="475">
        <v>1443</v>
      </c>
      <c r="C57" s="1563"/>
      <c r="D57" s="1563"/>
      <c r="E57" s="1563"/>
      <c r="F57" s="1561">
        <v>0</v>
      </c>
      <c r="G57" s="1563"/>
      <c r="H57" s="1563"/>
      <c r="I57" s="1563"/>
      <c r="J57" s="1563"/>
      <c r="K57" s="1563"/>
    </row>
    <row r="58" spans="1:11" ht="12.75" customHeight="1" x14ac:dyDescent="0.2">
      <c r="A58" s="1259" t="s">
        <v>65</v>
      </c>
      <c r="B58" s="475">
        <v>1444</v>
      </c>
      <c r="C58" s="1563"/>
      <c r="D58" s="1563"/>
      <c r="E58" s="1563"/>
      <c r="F58" s="1561">
        <v>0</v>
      </c>
      <c r="G58" s="1563"/>
      <c r="H58" s="1563"/>
      <c r="I58" s="1563"/>
      <c r="J58" s="1563"/>
      <c r="K58" s="1563"/>
    </row>
    <row r="59" spans="1:11" ht="12.75" customHeight="1" x14ac:dyDescent="0.2">
      <c r="A59" s="1259" t="s">
        <v>871</v>
      </c>
      <c r="B59" s="475">
        <v>1451</v>
      </c>
      <c r="C59" s="1563"/>
      <c r="D59" s="1563"/>
      <c r="E59" s="1563"/>
      <c r="F59" s="1561">
        <v>0</v>
      </c>
      <c r="G59" s="1563"/>
      <c r="H59" s="1563"/>
      <c r="I59" s="1563"/>
      <c r="J59" s="1563"/>
      <c r="K59" s="1563"/>
    </row>
    <row r="60" spans="1:11" ht="12.75" customHeight="1" x14ac:dyDescent="0.2">
      <c r="A60" s="1259" t="s">
        <v>1097</v>
      </c>
      <c r="B60" s="475">
        <v>1452</v>
      </c>
      <c r="C60" s="1563"/>
      <c r="D60" s="1563"/>
      <c r="E60" s="1563"/>
      <c r="F60" s="1561">
        <v>0</v>
      </c>
      <c r="G60" s="1563"/>
      <c r="H60" s="1563"/>
      <c r="I60" s="1563"/>
      <c r="J60" s="1563"/>
      <c r="K60" s="1563"/>
    </row>
    <row r="61" spans="1:11" ht="12.75" customHeight="1" x14ac:dyDescent="0.2">
      <c r="A61" s="479" t="s">
        <v>872</v>
      </c>
      <c r="B61" s="475">
        <v>1453</v>
      </c>
      <c r="C61" s="1563"/>
      <c r="D61" s="1563"/>
      <c r="E61" s="1563"/>
      <c r="F61" s="1561">
        <v>0</v>
      </c>
      <c r="G61" s="1563"/>
      <c r="H61" s="1563"/>
      <c r="I61" s="1563"/>
      <c r="J61" s="1563"/>
      <c r="K61" s="1563"/>
    </row>
    <row r="62" spans="1:11" ht="12.75" customHeight="1" x14ac:dyDescent="0.2">
      <c r="A62" s="1260" t="s">
        <v>873</v>
      </c>
      <c r="B62" s="476">
        <v>1454</v>
      </c>
      <c r="C62" s="1563"/>
      <c r="D62" s="1563"/>
      <c r="E62" s="1563"/>
      <c r="F62" s="1562">
        <v>0</v>
      </c>
      <c r="G62" s="1563"/>
      <c r="H62" s="1563"/>
      <c r="I62" s="1563"/>
      <c r="J62" s="1563"/>
      <c r="K62" s="1563"/>
    </row>
    <row r="63" spans="1:11" ht="12.75" customHeight="1" thickBot="1" x14ac:dyDescent="0.25">
      <c r="A63" s="1399" t="s">
        <v>481</v>
      </c>
      <c r="B63" s="1400"/>
      <c r="C63" s="1563"/>
      <c r="D63" s="1563"/>
      <c r="E63" s="1563"/>
      <c r="F63" s="1581">
        <f>SUM(F42:F62)</f>
        <v>3502</v>
      </c>
      <c r="G63" s="1563"/>
      <c r="H63" s="1563"/>
      <c r="I63" s="1563"/>
      <c r="J63" s="1563"/>
      <c r="K63" s="1563"/>
    </row>
    <row r="64" spans="1:11" ht="15.75" customHeight="1" thickTop="1" x14ac:dyDescent="0.2">
      <c r="A64" s="1323" t="s">
        <v>450</v>
      </c>
      <c r="B64" s="1324">
        <v>1500</v>
      </c>
      <c r="C64" s="1563"/>
      <c r="D64" s="1563"/>
      <c r="E64" s="1563"/>
      <c r="F64" s="1563"/>
      <c r="G64" s="1563"/>
      <c r="H64" s="1563"/>
      <c r="I64" s="1563"/>
      <c r="J64" s="1563"/>
      <c r="K64" s="1563"/>
    </row>
    <row r="65" spans="1:11" ht="12.75" customHeight="1" x14ac:dyDescent="0.2">
      <c r="A65" s="427" t="s">
        <v>542</v>
      </c>
      <c r="B65" s="429">
        <v>1510</v>
      </c>
      <c r="C65" s="1561">
        <v>456072</v>
      </c>
      <c r="D65" s="1561">
        <v>11162</v>
      </c>
      <c r="E65" s="1561">
        <v>1141</v>
      </c>
      <c r="F65" s="1562">
        <v>43978</v>
      </c>
      <c r="G65" s="1561">
        <v>9667</v>
      </c>
      <c r="H65" s="1561">
        <v>0</v>
      </c>
      <c r="I65" s="1561">
        <v>21110</v>
      </c>
      <c r="J65" s="1562">
        <v>0</v>
      </c>
      <c r="K65" s="1561">
        <v>0</v>
      </c>
    </row>
    <row r="66" spans="1:11" ht="12.75" customHeight="1" x14ac:dyDescent="0.2">
      <c r="A66" s="427" t="s">
        <v>673</v>
      </c>
      <c r="B66" s="429">
        <v>1520</v>
      </c>
      <c r="C66" s="1561">
        <v>0</v>
      </c>
      <c r="D66" s="1561">
        <v>0</v>
      </c>
      <c r="E66" s="1561">
        <v>0</v>
      </c>
      <c r="F66" s="1561">
        <v>0</v>
      </c>
      <c r="G66" s="1561">
        <v>0</v>
      </c>
      <c r="H66" s="1561">
        <v>0</v>
      </c>
      <c r="I66" s="1561">
        <v>0</v>
      </c>
      <c r="J66" s="1562">
        <v>0</v>
      </c>
      <c r="K66" s="1561">
        <v>0</v>
      </c>
    </row>
    <row r="67" spans="1:11" ht="12.75" customHeight="1" thickBot="1" x14ac:dyDescent="0.25">
      <c r="A67" s="1399" t="s">
        <v>482</v>
      </c>
      <c r="B67" s="1400"/>
      <c r="C67" s="1581">
        <f>SUM(C65:C66)</f>
        <v>456072</v>
      </c>
      <c r="D67" s="1581">
        <f t="shared" ref="D67:K67" si="2">SUM(D65:D66)</f>
        <v>11162</v>
      </c>
      <c r="E67" s="1581">
        <f t="shared" si="2"/>
        <v>1141</v>
      </c>
      <c r="F67" s="1581">
        <f t="shared" si="2"/>
        <v>43978</v>
      </c>
      <c r="G67" s="1581">
        <f t="shared" si="2"/>
        <v>9667</v>
      </c>
      <c r="H67" s="1581">
        <f t="shared" si="2"/>
        <v>0</v>
      </c>
      <c r="I67" s="1581">
        <f t="shared" si="2"/>
        <v>21110</v>
      </c>
      <c r="J67" s="1581">
        <f t="shared" si="2"/>
        <v>0</v>
      </c>
      <c r="K67" s="1581">
        <f t="shared" si="2"/>
        <v>0</v>
      </c>
    </row>
    <row r="68" spans="1:11" ht="15.75" customHeight="1" thickTop="1" x14ac:dyDescent="0.2">
      <c r="A68" s="1323" t="s">
        <v>451</v>
      </c>
      <c r="B68" s="1325">
        <v>1600</v>
      </c>
      <c r="C68" s="1620"/>
      <c r="D68" s="1563"/>
      <c r="E68" s="1563"/>
      <c r="F68" s="1563"/>
      <c r="G68" s="1563"/>
      <c r="H68" s="1563"/>
      <c r="I68" s="1563"/>
      <c r="J68" s="1563"/>
      <c r="K68" s="1563"/>
    </row>
    <row r="69" spans="1:11" ht="12.75" customHeight="1" x14ac:dyDescent="0.2">
      <c r="A69" s="427" t="s">
        <v>660</v>
      </c>
      <c r="B69" s="429">
        <v>1611</v>
      </c>
      <c r="C69" s="1561">
        <v>0</v>
      </c>
      <c r="D69" s="1563"/>
      <c r="E69" s="1563"/>
      <c r="F69" s="1563"/>
      <c r="G69" s="1563"/>
      <c r="H69" s="1563"/>
      <c r="I69" s="1563"/>
      <c r="J69" s="1563"/>
      <c r="K69" s="1563"/>
    </row>
    <row r="70" spans="1:11" ht="12.75" customHeight="1" x14ac:dyDescent="0.2">
      <c r="A70" s="427" t="s">
        <v>988</v>
      </c>
      <c r="B70" s="429">
        <v>1612</v>
      </c>
      <c r="C70" s="1618">
        <v>0</v>
      </c>
      <c r="D70" s="1563"/>
      <c r="E70" s="1563"/>
      <c r="F70" s="1563"/>
      <c r="G70" s="1563"/>
      <c r="H70" s="1563"/>
      <c r="I70" s="1563"/>
      <c r="J70" s="1563"/>
      <c r="K70" s="1563"/>
    </row>
    <row r="71" spans="1:11" ht="12.75" customHeight="1" x14ac:dyDescent="0.2">
      <c r="A71" s="427" t="s">
        <v>270</v>
      </c>
      <c r="B71" s="429">
        <v>1613</v>
      </c>
      <c r="C71" s="1618">
        <v>0</v>
      </c>
      <c r="D71" s="1563"/>
      <c r="E71" s="1563"/>
      <c r="F71" s="1563"/>
      <c r="G71" s="1563"/>
      <c r="H71" s="1563"/>
      <c r="I71" s="1563"/>
      <c r="J71" s="1563"/>
      <c r="K71" s="1563"/>
    </row>
    <row r="72" spans="1:11" ht="12.75" customHeight="1" x14ac:dyDescent="0.2">
      <c r="A72" s="427" t="s">
        <v>24</v>
      </c>
      <c r="B72" s="429">
        <v>1614</v>
      </c>
      <c r="C72" s="1618">
        <v>0</v>
      </c>
      <c r="D72" s="1563"/>
      <c r="E72" s="1563"/>
      <c r="F72" s="1563"/>
      <c r="G72" s="1563"/>
      <c r="H72" s="1563"/>
      <c r="I72" s="1563"/>
      <c r="J72" s="1563"/>
      <c r="K72" s="1563"/>
    </row>
    <row r="73" spans="1:11" ht="12.75" customHeight="1" x14ac:dyDescent="0.2">
      <c r="A73" s="427" t="s">
        <v>989</v>
      </c>
      <c r="B73" s="429">
        <v>1620</v>
      </c>
      <c r="C73" s="1618">
        <v>0</v>
      </c>
      <c r="D73" s="1563"/>
      <c r="E73" s="1563"/>
      <c r="F73" s="1563"/>
      <c r="G73" s="1563"/>
      <c r="H73" s="1563"/>
      <c r="I73" s="1563"/>
      <c r="J73" s="1563"/>
      <c r="K73" s="1563"/>
    </row>
    <row r="74" spans="1:11" ht="12.75" customHeight="1" x14ac:dyDescent="0.2">
      <c r="A74" s="427" t="s">
        <v>25</v>
      </c>
      <c r="B74" s="429">
        <v>1690</v>
      </c>
      <c r="C74" s="1618">
        <v>0</v>
      </c>
      <c r="D74" s="1563"/>
      <c r="E74" s="1563"/>
      <c r="F74" s="1563"/>
      <c r="G74" s="1563"/>
      <c r="H74" s="1563"/>
      <c r="I74" s="1563"/>
      <c r="J74" s="1563"/>
      <c r="K74" s="1563"/>
    </row>
    <row r="75" spans="1:11" ht="12.75" customHeight="1" thickBot="1" x14ac:dyDescent="0.25">
      <c r="A75" s="1399" t="s">
        <v>543</v>
      </c>
      <c r="B75" s="1400"/>
      <c r="C75" s="1581">
        <f>SUM(C69:C74)</f>
        <v>0</v>
      </c>
      <c r="D75" s="1563"/>
      <c r="E75" s="1563"/>
      <c r="F75" s="1563"/>
      <c r="G75" s="1563"/>
      <c r="H75" s="1563"/>
      <c r="I75" s="1563"/>
      <c r="J75" s="1563"/>
      <c r="K75" s="1563"/>
    </row>
    <row r="76" spans="1:11" ht="15.75" customHeight="1" thickTop="1" x14ac:dyDescent="0.2">
      <c r="A76" s="1323" t="s">
        <v>874</v>
      </c>
      <c r="B76" s="1325">
        <v>1700</v>
      </c>
      <c r="C76" s="1620"/>
      <c r="D76" s="1563"/>
      <c r="E76" s="1563"/>
      <c r="F76" s="1563"/>
      <c r="G76" s="1563"/>
      <c r="H76" s="1563"/>
      <c r="I76" s="1563"/>
      <c r="J76" s="1563"/>
      <c r="K76" s="1563"/>
    </row>
    <row r="77" spans="1:11" ht="12.75" customHeight="1" x14ac:dyDescent="0.2">
      <c r="A77" s="427" t="s">
        <v>544</v>
      </c>
      <c r="B77" s="429">
        <v>1711</v>
      </c>
      <c r="C77" s="1599">
        <v>678</v>
      </c>
      <c r="D77" s="1561">
        <v>0</v>
      </c>
      <c r="E77" s="1563"/>
      <c r="F77" s="1563"/>
      <c r="G77" s="1563"/>
      <c r="H77" s="1563"/>
      <c r="I77" s="1563"/>
      <c r="J77" s="1563"/>
      <c r="K77" s="1563"/>
    </row>
    <row r="78" spans="1:11" ht="12.75" customHeight="1" x14ac:dyDescent="0.2">
      <c r="A78" s="427" t="s">
        <v>76</v>
      </c>
      <c r="B78" s="429">
        <v>1719</v>
      </c>
      <c r="C78" s="1618">
        <v>0</v>
      </c>
      <c r="D78" s="1561">
        <v>0</v>
      </c>
      <c r="E78" s="1563"/>
      <c r="F78" s="1563"/>
      <c r="G78" s="1563"/>
      <c r="H78" s="1563"/>
      <c r="I78" s="1563"/>
      <c r="J78" s="1563"/>
      <c r="K78" s="1563"/>
    </row>
    <row r="79" spans="1:11" ht="12.75" customHeight="1" x14ac:dyDescent="0.2">
      <c r="A79" s="427" t="s">
        <v>545</v>
      </c>
      <c r="B79" s="429">
        <v>1720</v>
      </c>
      <c r="C79" s="1618">
        <v>66842</v>
      </c>
      <c r="D79" s="1561">
        <v>0</v>
      </c>
      <c r="E79" s="1563"/>
      <c r="F79" s="1563"/>
      <c r="G79" s="1563"/>
      <c r="H79" s="1563"/>
      <c r="I79" s="1563"/>
      <c r="J79" s="1563"/>
      <c r="K79" s="1563"/>
    </row>
    <row r="80" spans="1:11" ht="12.75" customHeight="1" x14ac:dyDescent="0.2">
      <c r="A80" s="427" t="s">
        <v>546</v>
      </c>
      <c r="B80" s="429">
        <v>1730</v>
      </c>
      <c r="C80" s="1618">
        <v>0</v>
      </c>
      <c r="D80" s="1561">
        <v>0</v>
      </c>
      <c r="E80" s="1563"/>
      <c r="F80" s="1563"/>
      <c r="G80" s="1563"/>
      <c r="H80" s="1563"/>
      <c r="I80" s="1563"/>
      <c r="J80" s="1563"/>
      <c r="K80" s="1563"/>
    </row>
    <row r="81" spans="1:11" ht="12.75" customHeight="1" x14ac:dyDescent="0.2">
      <c r="A81" s="427" t="s">
        <v>26</v>
      </c>
      <c r="B81" s="429">
        <v>1790</v>
      </c>
      <c r="C81" s="1618">
        <v>651968</v>
      </c>
      <c r="D81" s="1561">
        <v>0</v>
      </c>
      <c r="E81" s="1563"/>
      <c r="F81" s="1563"/>
      <c r="G81" s="1563"/>
      <c r="H81" s="1563"/>
      <c r="I81" s="1563"/>
      <c r="J81" s="1563"/>
      <c r="K81" s="1563"/>
    </row>
    <row r="82" spans="1:11" ht="12.75" customHeight="1" thickBot="1" x14ac:dyDescent="0.25">
      <c r="A82" s="1399" t="s">
        <v>239</v>
      </c>
      <c r="B82" s="1400"/>
      <c r="C82" s="1619">
        <f>SUM(C77:C81)</f>
        <v>719488</v>
      </c>
      <c r="D82" s="1581">
        <f>SUM(D77:D81)</f>
        <v>0</v>
      </c>
      <c r="E82" s="1563"/>
      <c r="F82" s="1563"/>
      <c r="G82" s="1563"/>
      <c r="H82" s="1563"/>
      <c r="I82" s="1563"/>
      <c r="J82" s="1563"/>
      <c r="K82" s="1563"/>
    </row>
    <row r="83" spans="1:11" ht="15.75" customHeight="1" thickTop="1" x14ac:dyDescent="0.2">
      <c r="A83" s="1323" t="s">
        <v>240</v>
      </c>
      <c r="B83" s="1325">
        <v>1800</v>
      </c>
      <c r="C83" s="1620"/>
      <c r="D83" s="1563"/>
      <c r="E83" s="1563"/>
      <c r="F83" s="1563"/>
      <c r="G83" s="1563"/>
      <c r="H83" s="1563"/>
      <c r="I83" s="1563"/>
      <c r="J83" s="1563"/>
      <c r="K83" s="1563"/>
    </row>
    <row r="84" spans="1:11" ht="12.75" customHeight="1" x14ac:dyDescent="0.2">
      <c r="A84" s="427" t="s">
        <v>547</v>
      </c>
      <c r="B84" s="429">
        <v>1811</v>
      </c>
      <c r="C84" s="1561">
        <v>149211</v>
      </c>
      <c r="D84" s="1563"/>
      <c r="E84" s="1563"/>
      <c r="F84" s="1563"/>
      <c r="G84" s="1563"/>
      <c r="H84" s="1563"/>
      <c r="I84" s="1563"/>
      <c r="J84" s="1563"/>
      <c r="K84" s="1563"/>
    </row>
    <row r="85" spans="1:11" ht="12.75" customHeight="1" x14ac:dyDescent="0.2">
      <c r="A85" s="427" t="s">
        <v>548</v>
      </c>
      <c r="B85" s="429">
        <v>1812</v>
      </c>
      <c r="C85" s="1618">
        <v>0</v>
      </c>
      <c r="D85" s="1563"/>
      <c r="E85" s="1563"/>
      <c r="F85" s="1563"/>
      <c r="G85" s="1563"/>
      <c r="H85" s="1563"/>
      <c r="I85" s="1563"/>
      <c r="J85" s="1563"/>
      <c r="K85" s="1563"/>
    </row>
    <row r="86" spans="1:11" ht="12.75" customHeight="1" x14ac:dyDescent="0.2">
      <c r="A86" s="427" t="s">
        <v>990</v>
      </c>
      <c r="B86" s="429">
        <v>1813</v>
      </c>
      <c r="C86" s="1618">
        <v>0</v>
      </c>
      <c r="D86" s="1563"/>
      <c r="E86" s="1563"/>
      <c r="F86" s="1563"/>
      <c r="G86" s="1563"/>
      <c r="H86" s="1563"/>
      <c r="I86" s="1563"/>
      <c r="J86" s="1563"/>
      <c r="K86" s="1563"/>
    </row>
    <row r="87" spans="1:11" ht="12.75" customHeight="1" x14ac:dyDescent="0.2">
      <c r="A87" s="427" t="s">
        <v>77</v>
      </c>
      <c r="B87" s="429">
        <v>1819</v>
      </c>
      <c r="C87" s="1618">
        <v>0</v>
      </c>
      <c r="D87" s="1563"/>
      <c r="E87" s="1563"/>
      <c r="F87" s="1563"/>
      <c r="G87" s="1563"/>
      <c r="H87" s="1563"/>
      <c r="I87" s="1563"/>
      <c r="J87" s="1563"/>
      <c r="K87" s="1563"/>
    </row>
    <row r="88" spans="1:11" ht="12.75" customHeight="1" x14ac:dyDescent="0.2">
      <c r="A88" s="427" t="s">
        <v>549</v>
      </c>
      <c r="B88" s="429">
        <v>1821</v>
      </c>
      <c r="C88" s="1618">
        <v>0</v>
      </c>
      <c r="D88" s="1563"/>
      <c r="E88" s="1563"/>
      <c r="F88" s="1563"/>
      <c r="G88" s="1563"/>
      <c r="H88" s="1563"/>
      <c r="I88" s="1563"/>
      <c r="J88" s="1563"/>
      <c r="K88" s="1563"/>
    </row>
    <row r="89" spans="1:11" ht="12.75" customHeight="1" x14ac:dyDescent="0.2">
      <c r="A89" s="427" t="s">
        <v>707</v>
      </c>
      <c r="B89" s="429">
        <v>1822</v>
      </c>
      <c r="C89" s="1618">
        <v>0</v>
      </c>
      <c r="D89" s="1563"/>
      <c r="E89" s="1563"/>
      <c r="F89" s="1563"/>
      <c r="G89" s="1563"/>
      <c r="H89" s="1563"/>
      <c r="I89" s="1563"/>
      <c r="J89" s="1563"/>
      <c r="K89" s="1563"/>
    </row>
    <row r="90" spans="1:11" ht="12.75" customHeight="1" x14ac:dyDescent="0.2">
      <c r="A90" s="427" t="s">
        <v>138</v>
      </c>
      <c r="B90" s="429">
        <v>1823</v>
      </c>
      <c r="C90" s="1618">
        <v>0</v>
      </c>
      <c r="D90" s="1563"/>
      <c r="E90" s="1563"/>
      <c r="F90" s="1563"/>
      <c r="G90" s="1563"/>
      <c r="H90" s="1563"/>
      <c r="I90" s="1563"/>
      <c r="J90" s="1563"/>
      <c r="K90" s="1563"/>
    </row>
    <row r="91" spans="1:11" ht="12.75" customHeight="1" x14ac:dyDescent="0.2">
      <c r="A91" s="427" t="s">
        <v>27</v>
      </c>
      <c r="B91" s="429">
        <v>1829</v>
      </c>
      <c r="C91" s="1618">
        <v>0</v>
      </c>
      <c r="D91" s="1563"/>
      <c r="E91" s="1563"/>
      <c r="F91" s="1563"/>
      <c r="G91" s="1563"/>
      <c r="H91" s="1563"/>
      <c r="I91" s="1563"/>
      <c r="J91" s="1563"/>
      <c r="K91" s="1563"/>
    </row>
    <row r="92" spans="1:11" ht="12.75" customHeight="1" x14ac:dyDescent="0.2">
      <c r="A92" s="427" t="s">
        <v>755</v>
      </c>
      <c r="B92" s="429">
        <v>1890</v>
      </c>
      <c r="C92" s="1618">
        <v>0</v>
      </c>
      <c r="D92" s="1563"/>
      <c r="E92" s="1563"/>
      <c r="F92" s="1563"/>
      <c r="G92" s="1563"/>
      <c r="H92" s="1563"/>
      <c r="I92" s="1563"/>
      <c r="J92" s="1563"/>
      <c r="K92" s="1563"/>
    </row>
    <row r="93" spans="1:11" ht="12.75" customHeight="1" thickBot="1" x14ac:dyDescent="0.25">
      <c r="A93" s="1399" t="s">
        <v>241</v>
      </c>
      <c r="B93" s="1400"/>
      <c r="C93" s="1581">
        <f>SUM(C84:C92)</f>
        <v>149211</v>
      </c>
      <c r="D93" s="1563"/>
      <c r="E93" s="1563"/>
      <c r="F93" s="1563"/>
      <c r="G93" s="1563"/>
      <c r="H93" s="1563"/>
      <c r="I93" s="1563"/>
      <c r="J93" s="1563"/>
      <c r="K93" s="1563"/>
    </row>
    <row r="94" spans="1:11" ht="15.75" customHeight="1" thickTop="1" x14ac:dyDescent="0.2">
      <c r="A94" s="1323" t="s">
        <v>1125</v>
      </c>
      <c r="B94" s="1325">
        <v>1900</v>
      </c>
      <c r="C94" s="1620"/>
      <c r="D94" s="1603"/>
      <c r="E94" s="1563"/>
      <c r="F94" s="1563"/>
      <c r="G94" s="1563"/>
      <c r="H94" s="1563"/>
      <c r="I94" s="1563"/>
      <c r="J94" s="1563"/>
      <c r="K94" s="1563"/>
    </row>
    <row r="95" spans="1:11" ht="12.75" customHeight="1" x14ac:dyDescent="0.2">
      <c r="A95" s="427" t="s">
        <v>1053</v>
      </c>
      <c r="B95" s="429">
        <v>1910</v>
      </c>
      <c r="C95" s="1561">
        <v>0</v>
      </c>
      <c r="D95" s="1618">
        <v>36881</v>
      </c>
      <c r="E95" s="1603"/>
      <c r="F95" s="1603"/>
      <c r="G95" s="1603"/>
      <c r="H95" s="1603"/>
      <c r="I95" s="1603"/>
      <c r="J95" s="1603"/>
      <c r="K95" s="1603"/>
    </row>
    <row r="96" spans="1:11" ht="12.75" customHeight="1" x14ac:dyDescent="0.2">
      <c r="A96" s="427" t="s">
        <v>387</v>
      </c>
      <c r="B96" s="429">
        <v>1920</v>
      </c>
      <c r="C96" s="1618">
        <v>54384</v>
      </c>
      <c r="D96" s="1618">
        <v>0</v>
      </c>
      <c r="E96" s="1571">
        <v>0</v>
      </c>
      <c r="F96" s="1570">
        <v>0</v>
      </c>
      <c r="G96" s="1570">
        <v>0</v>
      </c>
      <c r="H96" s="1570">
        <v>0</v>
      </c>
      <c r="I96" s="1570">
        <v>0</v>
      </c>
      <c r="J96" s="1570">
        <v>0</v>
      </c>
      <c r="K96" s="1570">
        <v>0</v>
      </c>
    </row>
    <row r="97" spans="1:12" ht="12.75" customHeight="1" x14ac:dyDescent="0.2">
      <c r="A97" s="1258" t="s">
        <v>242</v>
      </c>
      <c r="B97" s="477">
        <v>1930</v>
      </c>
      <c r="C97" s="1584">
        <v>0</v>
      </c>
      <c r="D97" s="1562">
        <v>104829</v>
      </c>
      <c r="E97" s="1567">
        <v>0</v>
      </c>
      <c r="F97" s="1562">
        <v>0</v>
      </c>
      <c r="G97" s="1562">
        <v>0</v>
      </c>
      <c r="H97" s="1562">
        <v>0</v>
      </c>
      <c r="I97" s="1562">
        <v>0</v>
      </c>
      <c r="J97" s="1562">
        <v>0</v>
      </c>
      <c r="K97" s="1562">
        <v>0</v>
      </c>
    </row>
    <row r="98" spans="1:12" ht="12.75" customHeight="1" x14ac:dyDescent="0.2">
      <c r="A98" s="427" t="s">
        <v>188</v>
      </c>
      <c r="B98" s="429">
        <v>1940</v>
      </c>
      <c r="C98" s="1584">
        <v>0</v>
      </c>
      <c r="D98" s="1561">
        <v>0</v>
      </c>
      <c r="E98" s="1598"/>
      <c r="F98" s="1561">
        <v>0</v>
      </c>
      <c r="G98" s="1598"/>
      <c r="H98" s="1598"/>
      <c r="I98" s="1596"/>
      <c r="J98" s="1598"/>
      <c r="K98" s="1598"/>
    </row>
    <row r="99" spans="1:12" ht="12.75" customHeight="1" x14ac:dyDescent="0.2">
      <c r="A99" s="427" t="s">
        <v>814</v>
      </c>
      <c r="B99" s="429">
        <v>1950</v>
      </c>
      <c r="C99" s="1584">
        <v>20041</v>
      </c>
      <c r="D99" s="1561">
        <v>0</v>
      </c>
      <c r="E99" s="1561">
        <v>0</v>
      </c>
      <c r="F99" s="1561">
        <v>0</v>
      </c>
      <c r="G99" s="1561">
        <v>0</v>
      </c>
      <c r="H99" s="1561">
        <v>0</v>
      </c>
      <c r="I99" s="1563"/>
      <c r="J99" s="1562">
        <v>0</v>
      </c>
      <c r="K99" s="1561">
        <v>0</v>
      </c>
    </row>
    <row r="100" spans="1:12" ht="12.75" customHeight="1" x14ac:dyDescent="0.2">
      <c r="A100" s="427" t="s">
        <v>243</v>
      </c>
      <c r="B100" s="429">
        <v>1960</v>
      </c>
      <c r="C100" s="1584">
        <v>0</v>
      </c>
      <c r="D100" s="1584">
        <v>0</v>
      </c>
      <c r="E100" s="1584">
        <v>0</v>
      </c>
      <c r="F100" s="1584">
        <v>0</v>
      </c>
      <c r="G100" s="1584">
        <v>0</v>
      </c>
      <c r="H100" s="1584">
        <v>0</v>
      </c>
      <c r="I100" s="1562">
        <v>0</v>
      </c>
      <c r="J100" s="1584">
        <v>0</v>
      </c>
      <c r="K100" s="1562">
        <v>0</v>
      </c>
    </row>
    <row r="101" spans="1:12" ht="12.75" customHeight="1" x14ac:dyDescent="0.2">
      <c r="A101" s="427" t="s">
        <v>244</v>
      </c>
      <c r="B101" s="429">
        <v>1970</v>
      </c>
      <c r="C101" s="1584">
        <v>0</v>
      </c>
      <c r="D101" s="1609"/>
      <c r="E101" s="1572"/>
      <c r="F101" s="1609"/>
      <c r="G101" s="1568"/>
      <c r="H101" s="1609"/>
      <c r="I101" s="1563"/>
      <c r="J101" s="1568"/>
      <c r="K101" s="1568"/>
    </row>
    <row r="102" spans="1:12" ht="12.75" customHeight="1" x14ac:dyDescent="0.2">
      <c r="A102" s="427" t="s">
        <v>245</v>
      </c>
      <c r="B102" s="429">
        <v>1980</v>
      </c>
      <c r="C102" s="1584">
        <v>0</v>
      </c>
      <c r="D102" s="1584">
        <v>0</v>
      </c>
      <c r="E102" s="1584">
        <v>0</v>
      </c>
      <c r="F102" s="1584">
        <v>0</v>
      </c>
      <c r="G102" s="1584">
        <v>0</v>
      </c>
      <c r="H102" s="1584">
        <v>0</v>
      </c>
      <c r="I102" s="1562">
        <v>0</v>
      </c>
      <c r="J102" s="1584">
        <v>0</v>
      </c>
      <c r="K102" s="1562">
        <v>0</v>
      </c>
    </row>
    <row r="103" spans="1:12" ht="12.75" customHeight="1" x14ac:dyDescent="0.2">
      <c r="A103" s="427" t="s">
        <v>341</v>
      </c>
      <c r="B103" s="429">
        <v>1983</v>
      </c>
      <c r="C103" s="1563"/>
      <c r="D103" s="1563"/>
      <c r="E103" s="1625">
        <v>0</v>
      </c>
      <c r="F103" s="1563"/>
      <c r="G103" s="1563"/>
      <c r="H103" s="1584">
        <v>0</v>
      </c>
      <c r="I103" s="1563"/>
      <c r="J103" s="1596"/>
      <c r="K103" s="1596"/>
    </row>
    <row r="104" spans="1:12" ht="12.75" customHeight="1" x14ac:dyDescent="0.2">
      <c r="A104" s="427" t="s">
        <v>823</v>
      </c>
      <c r="B104" s="429">
        <v>1991</v>
      </c>
      <c r="C104" s="1584">
        <v>289144</v>
      </c>
      <c r="D104" s="1561">
        <v>0</v>
      </c>
      <c r="E104" s="1573">
        <v>0</v>
      </c>
      <c r="F104" s="1562">
        <v>0</v>
      </c>
      <c r="G104" s="1562">
        <v>0</v>
      </c>
      <c r="H104" s="1561">
        <v>0</v>
      </c>
      <c r="I104" s="1563"/>
      <c r="J104" s="1563"/>
      <c r="K104" s="1563"/>
    </row>
    <row r="105" spans="1:12" ht="12.75" customHeight="1" x14ac:dyDescent="0.2">
      <c r="A105" s="427" t="s">
        <v>815</v>
      </c>
      <c r="B105" s="429">
        <v>1992</v>
      </c>
      <c r="C105" s="1561">
        <v>0</v>
      </c>
      <c r="D105" s="1626"/>
      <c r="E105" s="1563"/>
      <c r="F105" s="1563"/>
      <c r="G105" s="1563"/>
      <c r="H105" s="1596"/>
      <c r="I105" s="1563"/>
      <c r="J105" s="1563"/>
      <c r="K105" s="1563"/>
    </row>
    <row r="106" spans="1:12" ht="12.75" customHeight="1" x14ac:dyDescent="0.2">
      <c r="A106" s="427" t="s">
        <v>1409</v>
      </c>
      <c r="B106" s="429">
        <v>1993</v>
      </c>
      <c r="C106" s="1561">
        <v>37389</v>
      </c>
      <c r="D106" s="1584">
        <v>0</v>
      </c>
      <c r="E106" s="1562">
        <v>0</v>
      </c>
      <c r="F106" s="1562">
        <v>0</v>
      </c>
      <c r="G106" s="1562">
        <v>0</v>
      </c>
      <c r="H106" s="1562">
        <v>0</v>
      </c>
      <c r="I106" s="1603"/>
      <c r="J106" s="1562">
        <v>0</v>
      </c>
      <c r="K106" s="1562">
        <v>0</v>
      </c>
    </row>
    <row r="107" spans="1:12" ht="12.75" customHeight="1" x14ac:dyDescent="0.2">
      <c r="A107" s="427" t="s">
        <v>78</v>
      </c>
      <c r="B107" s="429">
        <v>1999</v>
      </c>
      <c r="C107" s="1618">
        <v>20607</v>
      </c>
      <c r="D107" s="1561">
        <v>12410</v>
      </c>
      <c r="E107" s="1561">
        <v>0</v>
      </c>
      <c r="F107" s="1561">
        <v>60</v>
      </c>
      <c r="G107" s="1561">
        <v>0</v>
      </c>
      <c r="H107" s="1561">
        <v>0</v>
      </c>
      <c r="I107" s="1561">
        <v>0</v>
      </c>
      <c r="J107" s="1562">
        <v>0</v>
      </c>
      <c r="K107" s="1561">
        <v>0</v>
      </c>
    </row>
    <row r="108" spans="1:12" ht="12.75" customHeight="1" thickBot="1" x14ac:dyDescent="0.25">
      <c r="A108" s="1399" t="s">
        <v>483</v>
      </c>
      <c r="B108" s="1401"/>
      <c r="C108" s="1619">
        <f>SUM(C95:C107)</f>
        <v>421565</v>
      </c>
      <c r="D108" s="1619">
        <f t="shared" ref="D108:K108" si="3">SUM(D95:D107)</f>
        <v>154120</v>
      </c>
      <c r="E108" s="1619">
        <f t="shared" si="3"/>
        <v>0</v>
      </c>
      <c r="F108" s="1619">
        <f t="shared" si="3"/>
        <v>60</v>
      </c>
      <c r="G108" s="1619">
        <f t="shared" si="3"/>
        <v>0</v>
      </c>
      <c r="H108" s="1619">
        <f t="shared" si="3"/>
        <v>0</v>
      </c>
      <c r="I108" s="1619">
        <f t="shared" si="3"/>
        <v>0</v>
      </c>
      <c r="J108" s="1619">
        <f t="shared" si="3"/>
        <v>0</v>
      </c>
      <c r="K108" s="1581">
        <f t="shared" si="3"/>
        <v>0</v>
      </c>
    </row>
    <row r="109" spans="1:12" ht="14.25" thickTop="1" thickBot="1" x14ac:dyDescent="0.25">
      <c r="A109" s="1402" t="s">
        <v>246</v>
      </c>
      <c r="B109" s="1403" t="s">
        <v>565</v>
      </c>
      <c r="C109" s="1627">
        <f t="shared" ref="C109:K109" si="4">SUM(C12,C18,C40,C63,C67,C75,C82,C93,C108,)</f>
        <v>25208374</v>
      </c>
      <c r="D109" s="1627">
        <f t="shared" si="4"/>
        <v>1864660</v>
      </c>
      <c r="E109" s="1627">
        <f t="shared" si="4"/>
        <v>360219</v>
      </c>
      <c r="F109" s="1627">
        <f t="shared" si="4"/>
        <v>1355206</v>
      </c>
      <c r="G109" s="1627">
        <f t="shared" si="4"/>
        <v>1206546</v>
      </c>
      <c r="H109" s="1627">
        <f t="shared" si="4"/>
        <v>0</v>
      </c>
      <c r="I109" s="1627">
        <f t="shared" si="4"/>
        <v>21110</v>
      </c>
      <c r="J109" s="1627">
        <f t="shared" si="4"/>
        <v>0</v>
      </c>
      <c r="K109" s="1615">
        <f t="shared" si="4"/>
        <v>0</v>
      </c>
    </row>
    <row r="110" spans="1:12" ht="30" customHeight="1" thickTop="1" x14ac:dyDescent="0.2">
      <c r="A110" s="1316" t="s">
        <v>342</v>
      </c>
      <c r="B110" s="1317"/>
      <c r="C110" s="1589"/>
      <c r="D110" s="1589"/>
      <c r="E110" s="1589"/>
      <c r="F110" s="1589"/>
      <c r="G110" s="1589"/>
      <c r="H110" s="1589"/>
      <c r="I110" s="1589"/>
      <c r="J110" s="1589"/>
      <c r="K110" s="1601"/>
    </row>
    <row r="111" spans="1:12" ht="12.75" customHeight="1" x14ac:dyDescent="0.2">
      <c r="A111" s="436" t="s">
        <v>816</v>
      </c>
      <c r="B111" s="435">
        <v>2100</v>
      </c>
      <c r="C111" s="1599">
        <v>0</v>
      </c>
      <c r="D111" s="1573">
        <v>0</v>
      </c>
      <c r="E111" s="1626"/>
      <c r="F111" s="1573">
        <v>0</v>
      </c>
      <c r="G111" s="1573">
        <v>0</v>
      </c>
      <c r="H111" s="1626"/>
      <c r="I111" s="1563"/>
      <c r="J111" s="1563"/>
      <c r="K111" s="1563"/>
    </row>
    <row r="112" spans="1:12" ht="12.75" customHeight="1" x14ac:dyDescent="0.2">
      <c r="A112" s="427" t="s">
        <v>817</v>
      </c>
      <c r="B112" s="429">
        <v>2200</v>
      </c>
      <c r="C112" s="1618">
        <v>0</v>
      </c>
      <c r="D112" s="1561">
        <v>0</v>
      </c>
      <c r="E112" s="1626"/>
      <c r="F112" s="1561">
        <v>0</v>
      </c>
      <c r="G112" s="1561">
        <v>0</v>
      </c>
      <c r="H112" s="1626"/>
      <c r="I112" s="1563"/>
      <c r="J112" s="1563"/>
      <c r="K112" s="1563"/>
      <c r="L112" s="473"/>
    </row>
    <row r="113" spans="1:11" ht="12.75" customHeight="1" x14ac:dyDescent="0.2">
      <c r="A113" s="427" t="s">
        <v>28</v>
      </c>
      <c r="B113" s="429">
        <v>2300</v>
      </c>
      <c r="C113" s="1618">
        <v>0</v>
      </c>
      <c r="D113" s="1561">
        <v>0</v>
      </c>
      <c r="E113" s="1626"/>
      <c r="F113" s="1561">
        <v>0</v>
      </c>
      <c r="G113" s="1561">
        <v>0</v>
      </c>
      <c r="H113" s="1626"/>
      <c r="I113" s="1563"/>
      <c r="J113" s="1563"/>
      <c r="K113" s="1563"/>
    </row>
    <row r="114" spans="1:11" ht="13.5" thickBot="1" x14ac:dyDescent="0.25">
      <c r="A114" s="1404" t="s">
        <v>799</v>
      </c>
      <c r="B114" s="1405" t="s">
        <v>564</v>
      </c>
      <c r="C114" s="1628">
        <f>SUM(C111:C113)</f>
        <v>0</v>
      </c>
      <c r="D114" s="1628">
        <f>SUM(D111:D113)</f>
        <v>0</v>
      </c>
      <c r="E114" s="1626" t="s">
        <v>1157</v>
      </c>
      <c r="F114" s="1628">
        <f>SUM(F111:F113)</f>
        <v>0</v>
      </c>
      <c r="G114" s="1628">
        <f>SUM(G111:G113)</f>
        <v>0</v>
      </c>
      <c r="H114" s="1626"/>
      <c r="I114" s="1563"/>
      <c r="J114" s="1563"/>
      <c r="K114" s="1563"/>
    </row>
    <row r="115" spans="1:11" ht="16.7" customHeight="1" thickTop="1" x14ac:dyDescent="0.2">
      <c r="A115" s="1318" t="s">
        <v>796</v>
      </c>
      <c r="B115" s="1319"/>
      <c r="C115" s="1588"/>
      <c r="D115" s="1589"/>
      <c r="E115" s="1589"/>
      <c r="F115" s="1589"/>
      <c r="G115" s="1589"/>
      <c r="H115" s="1589"/>
      <c r="I115" s="1589"/>
      <c r="J115" s="1589"/>
      <c r="K115" s="1601"/>
    </row>
    <row r="116" spans="1:11" ht="18" customHeight="1" x14ac:dyDescent="0.2">
      <c r="A116" s="1326" t="s">
        <v>1470</v>
      </c>
      <c r="B116" s="1327"/>
      <c r="C116" s="1629"/>
      <c r="D116" s="1603"/>
      <c r="E116" s="1626"/>
      <c r="F116" s="1603"/>
      <c r="G116" s="1603"/>
      <c r="H116" s="1626"/>
      <c r="I116" s="1563"/>
      <c r="J116" s="1603"/>
      <c r="K116" s="1603"/>
    </row>
    <row r="117" spans="1:11" ht="12.75" customHeight="1" x14ac:dyDescent="0.2">
      <c r="A117" s="427" t="s">
        <v>1644</v>
      </c>
      <c r="B117" s="478">
        <v>3001</v>
      </c>
      <c r="C117" s="1599">
        <v>1034074</v>
      </c>
      <c r="D117" s="1573">
        <v>0</v>
      </c>
      <c r="E117" s="1561">
        <v>0</v>
      </c>
      <c r="F117" s="1573">
        <v>0</v>
      </c>
      <c r="G117" s="1573">
        <v>0</v>
      </c>
      <c r="H117" s="1561">
        <v>0</v>
      </c>
      <c r="I117" s="1563"/>
      <c r="J117" s="1562">
        <v>0</v>
      </c>
      <c r="K117" s="1561">
        <v>0</v>
      </c>
    </row>
    <row r="118" spans="1:11" ht="12.75" customHeight="1" x14ac:dyDescent="0.2">
      <c r="A118" s="427" t="s">
        <v>1772</v>
      </c>
      <c r="B118" s="478">
        <v>3002</v>
      </c>
      <c r="C118" s="1618">
        <v>0</v>
      </c>
      <c r="D118" s="1561">
        <v>0</v>
      </c>
      <c r="E118" s="1561">
        <v>0</v>
      </c>
      <c r="F118" s="1561">
        <v>0</v>
      </c>
      <c r="G118" s="1561">
        <v>0</v>
      </c>
      <c r="H118" s="1561">
        <v>0</v>
      </c>
      <c r="I118" s="1563"/>
      <c r="J118" s="1562">
        <v>0</v>
      </c>
      <c r="K118" s="1561">
        <v>0</v>
      </c>
    </row>
    <row r="119" spans="1:11" ht="12.75" customHeight="1" x14ac:dyDescent="0.2">
      <c r="A119" s="427" t="s">
        <v>1773</v>
      </c>
      <c r="B119" s="478">
        <v>3005</v>
      </c>
      <c r="C119" s="1618">
        <v>0</v>
      </c>
      <c r="D119" s="1561">
        <v>0</v>
      </c>
      <c r="E119" s="1561">
        <v>0</v>
      </c>
      <c r="F119" s="1561">
        <v>0</v>
      </c>
      <c r="G119" s="1561">
        <v>0</v>
      </c>
      <c r="H119" s="1561">
        <v>0</v>
      </c>
      <c r="I119" s="1563"/>
      <c r="J119" s="1562">
        <v>0</v>
      </c>
      <c r="K119" s="1561">
        <v>0</v>
      </c>
    </row>
    <row r="120" spans="1:11" ht="12.75" customHeight="1" x14ac:dyDescent="0.2">
      <c r="A120" s="1528" t="s">
        <v>1891</v>
      </c>
      <c r="B120" s="478">
        <v>3030</v>
      </c>
      <c r="C120" s="1618">
        <v>0</v>
      </c>
      <c r="D120" s="1561">
        <v>0</v>
      </c>
      <c r="E120" s="1561">
        <v>0</v>
      </c>
      <c r="F120" s="1561">
        <v>0</v>
      </c>
      <c r="G120" s="1561">
        <v>0</v>
      </c>
      <c r="H120" s="1561">
        <v>0</v>
      </c>
      <c r="I120" s="1563"/>
      <c r="J120" s="1562">
        <v>0</v>
      </c>
      <c r="K120" s="1561">
        <v>0</v>
      </c>
    </row>
    <row r="121" spans="1:11" x14ac:dyDescent="0.2">
      <c r="A121" s="1259" t="s">
        <v>1774</v>
      </c>
      <c r="B121" s="480">
        <v>3099</v>
      </c>
      <c r="C121" s="1618">
        <v>0</v>
      </c>
      <c r="D121" s="1561">
        <v>0</v>
      </c>
      <c r="E121" s="1561">
        <v>0</v>
      </c>
      <c r="F121" s="1561">
        <v>0</v>
      </c>
      <c r="G121" s="1561">
        <v>0</v>
      </c>
      <c r="H121" s="1561">
        <v>0</v>
      </c>
      <c r="I121" s="1563"/>
      <c r="J121" s="1562">
        <v>0</v>
      </c>
      <c r="K121" s="1561">
        <v>0</v>
      </c>
    </row>
    <row r="122" spans="1:11" ht="12.6" customHeight="1" thickBot="1" x14ac:dyDescent="0.25">
      <c r="A122" s="1399" t="s">
        <v>484</v>
      </c>
      <c r="B122" s="1406"/>
      <c r="C122" s="1619">
        <f t="shared" ref="C122:H122" si="5">SUM(C117:C121)</f>
        <v>1034074</v>
      </c>
      <c r="D122" s="1619">
        <f t="shared" si="5"/>
        <v>0</v>
      </c>
      <c r="E122" s="1619">
        <f t="shared" si="5"/>
        <v>0</v>
      </c>
      <c r="F122" s="1619">
        <f t="shared" si="5"/>
        <v>0</v>
      </c>
      <c r="G122" s="1619">
        <f t="shared" si="5"/>
        <v>0</v>
      </c>
      <c r="H122" s="1619">
        <f t="shared" si="5"/>
        <v>0</v>
      </c>
      <c r="I122" s="1563"/>
      <c r="J122" s="1619">
        <f>SUM(J117:J121)</f>
        <v>0</v>
      </c>
      <c r="K122" s="1581">
        <f>SUM(K117:K121)</f>
        <v>0</v>
      </c>
    </row>
    <row r="123" spans="1:11" ht="15.75" customHeight="1" thickTop="1" x14ac:dyDescent="0.2">
      <c r="A123" s="1323" t="s">
        <v>1469</v>
      </c>
      <c r="B123" s="1328"/>
      <c r="C123" s="1630"/>
      <c r="D123" s="1595"/>
      <c r="E123" s="1563"/>
      <c r="F123" s="1631"/>
      <c r="G123" s="1563"/>
      <c r="H123" s="1563"/>
      <c r="I123" s="1563"/>
      <c r="J123" s="1563"/>
      <c r="K123" s="1563"/>
    </row>
    <row r="124" spans="1:11" ht="15" customHeight="1" x14ac:dyDescent="0.2">
      <c r="A124" s="1329" t="s">
        <v>661</v>
      </c>
      <c r="B124" s="1330"/>
      <c r="C124" s="1603"/>
      <c r="D124" s="1595"/>
      <c r="E124" s="1563"/>
      <c r="F124" s="1603"/>
      <c r="G124" s="1563"/>
      <c r="H124" s="1563"/>
      <c r="I124" s="1563"/>
      <c r="J124" s="1563"/>
      <c r="K124" s="1563"/>
    </row>
    <row r="125" spans="1:11" ht="12.75" customHeight="1" x14ac:dyDescent="0.2">
      <c r="A125" s="427" t="s">
        <v>859</v>
      </c>
      <c r="B125" s="481">
        <v>3100</v>
      </c>
      <c r="C125" s="1573">
        <v>82312</v>
      </c>
      <c r="D125" s="1626"/>
      <c r="E125" s="1563"/>
      <c r="F125" s="1617">
        <v>0</v>
      </c>
      <c r="G125" s="1563"/>
      <c r="H125" s="1563"/>
      <c r="I125" s="1563"/>
      <c r="J125" s="1563"/>
      <c r="K125" s="1563"/>
    </row>
    <row r="126" spans="1:11" ht="12.75" customHeight="1" x14ac:dyDescent="0.2">
      <c r="A126" s="427" t="s">
        <v>1425</v>
      </c>
      <c r="B126" s="478">
        <v>3105</v>
      </c>
      <c r="C126" s="1561">
        <v>0</v>
      </c>
      <c r="D126" s="1626"/>
      <c r="E126" s="1563"/>
      <c r="F126" s="1561">
        <v>0</v>
      </c>
      <c r="G126" s="1563"/>
      <c r="H126" s="1563"/>
      <c r="I126" s="1563"/>
      <c r="J126" s="1563"/>
      <c r="K126" s="1563"/>
    </row>
    <row r="127" spans="1:11" ht="12.75" customHeight="1" x14ac:dyDescent="0.2">
      <c r="A127" s="427" t="s">
        <v>860</v>
      </c>
      <c r="B127" s="478">
        <v>3110</v>
      </c>
      <c r="C127" s="1618">
        <v>0</v>
      </c>
      <c r="D127" s="1561">
        <v>0</v>
      </c>
      <c r="E127" s="1563"/>
      <c r="F127" s="1561">
        <v>0</v>
      </c>
      <c r="G127" s="1563"/>
      <c r="H127" s="1563"/>
      <c r="I127" s="1563"/>
      <c r="J127" s="1563"/>
      <c r="K127" s="1563"/>
    </row>
    <row r="128" spans="1:11" ht="12.75" customHeight="1" x14ac:dyDescent="0.2">
      <c r="A128" s="427" t="s">
        <v>105</v>
      </c>
      <c r="B128" s="478">
        <v>3120</v>
      </c>
      <c r="C128" s="1561">
        <v>0</v>
      </c>
      <c r="D128" s="1626"/>
      <c r="E128" s="1563"/>
      <c r="F128" s="1561">
        <v>0</v>
      </c>
      <c r="G128" s="1563"/>
      <c r="H128" s="1563"/>
      <c r="I128" s="1563"/>
      <c r="J128" s="1563"/>
      <c r="K128" s="1563"/>
    </row>
    <row r="129" spans="1:11" ht="12.75" customHeight="1" x14ac:dyDescent="0.2">
      <c r="A129" s="427" t="s">
        <v>1426</v>
      </c>
      <c r="B129" s="478">
        <v>3130</v>
      </c>
      <c r="C129" s="1561">
        <v>0</v>
      </c>
      <c r="D129" s="1626"/>
      <c r="E129" s="1563"/>
      <c r="F129" s="1561">
        <v>0</v>
      </c>
      <c r="G129" s="1563"/>
      <c r="H129" s="1563"/>
      <c r="I129" s="1563"/>
      <c r="J129" s="1563"/>
      <c r="K129" s="1563"/>
    </row>
    <row r="130" spans="1:11" ht="12.75" customHeight="1" x14ac:dyDescent="0.2">
      <c r="A130" s="427" t="s">
        <v>136</v>
      </c>
      <c r="B130" s="478">
        <v>3145</v>
      </c>
      <c r="C130" s="1561">
        <v>0</v>
      </c>
      <c r="D130" s="1626"/>
      <c r="E130" s="1563"/>
      <c r="F130" s="1561">
        <v>0</v>
      </c>
      <c r="G130" s="1563"/>
      <c r="H130" s="1563"/>
      <c r="I130" s="1563"/>
      <c r="J130" s="1563"/>
      <c r="K130" s="1563"/>
    </row>
    <row r="131" spans="1:11" ht="12.75" customHeight="1" x14ac:dyDescent="0.2">
      <c r="A131" s="427" t="s">
        <v>66</v>
      </c>
      <c r="B131" s="478">
        <v>3199</v>
      </c>
      <c r="C131" s="1618">
        <v>0</v>
      </c>
      <c r="D131" s="1562">
        <v>0</v>
      </c>
      <c r="E131" s="1563"/>
      <c r="F131" s="1561">
        <v>0</v>
      </c>
      <c r="G131" s="1563"/>
      <c r="H131" s="1563"/>
      <c r="I131" s="1563"/>
      <c r="J131" s="1563"/>
      <c r="K131" s="1563"/>
    </row>
    <row r="132" spans="1:11" ht="12.75" customHeight="1" thickBot="1" x14ac:dyDescent="0.25">
      <c r="A132" s="1399" t="s">
        <v>1023</v>
      </c>
      <c r="B132" s="1407"/>
      <c r="C132" s="1619">
        <f>SUM(C125:C131)</f>
        <v>82312</v>
      </c>
      <c r="D132" s="1619">
        <f>SUM(D125:D131)</f>
        <v>0</v>
      </c>
      <c r="E132" s="1564" t="s">
        <v>1157</v>
      </c>
      <c r="F132" s="1619">
        <f>SUM(F125:F131)</f>
        <v>0</v>
      </c>
      <c r="G132" s="1563" t="s">
        <v>1157</v>
      </c>
      <c r="H132" s="1563" t="s">
        <v>1157</v>
      </c>
      <c r="I132" s="1563" t="s">
        <v>1157</v>
      </c>
      <c r="J132" s="1563" t="s">
        <v>1157</v>
      </c>
      <c r="K132" s="1563" t="s">
        <v>1157</v>
      </c>
    </row>
    <row r="133" spans="1:11" ht="15.75" customHeight="1" thickTop="1" x14ac:dyDescent="0.2">
      <c r="A133" s="1331" t="s">
        <v>248</v>
      </c>
      <c r="B133" s="1332"/>
      <c r="C133" s="1620"/>
      <c r="D133" s="1620"/>
      <c r="E133" s="1595"/>
      <c r="F133" s="1620"/>
      <c r="G133" s="1563"/>
      <c r="H133" s="1563"/>
      <c r="I133" s="1563"/>
      <c r="J133" s="1563"/>
      <c r="K133" s="1563"/>
    </row>
    <row r="134" spans="1:11" x14ac:dyDescent="0.2">
      <c r="A134" s="427" t="s">
        <v>594</v>
      </c>
      <c r="B134" s="478">
        <v>3200</v>
      </c>
      <c r="C134" s="1618">
        <v>0</v>
      </c>
      <c r="D134" s="1561">
        <v>0</v>
      </c>
      <c r="E134" s="1626"/>
      <c r="F134" s="1563"/>
      <c r="G134" s="1561">
        <v>0</v>
      </c>
      <c r="H134" s="1563"/>
      <c r="I134" s="1563"/>
      <c r="J134" s="1563"/>
      <c r="K134" s="1563"/>
    </row>
    <row r="135" spans="1:11" ht="12.75" customHeight="1" x14ac:dyDescent="0.2">
      <c r="A135" s="427" t="s">
        <v>663</v>
      </c>
      <c r="B135" s="478">
        <v>3220</v>
      </c>
      <c r="C135" s="1618">
        <v>0</v>
      </c>
      <c r="D135" s="1561">
        <v>0</v>
      </c>
      <c r="E135" s="1626"/>
      <c r="F135" s="1563"/>
      <c r="G135" s="1562">
        <v>0</v>
      </c>
      <c r="H135" s="1563"/>
      <c r="I135" s="1563"/>
      <c r="J135" s="1563"/>
      <c r="K135" s="1563"/>
    </row>
    <row r="136" spans="1:11" ht="12.75" customHeight="1" x14ac:dyDescent="0.2">
      <c r="A136" s="427" t="s">
        <v>247</v>
      </c>
      <c r="B136" s="478">
        <v>3225</v>
      </c>
      <c r="C136" s="1618">
        <v>0</v>
      </c>
      <c r="D136" s="1561">
        <v>0</v>
      </c>
      <c r="E136" s="1626"/>
      <c r="F136" s="1563"/>
      <c r="G136" s="1562">
        <v>0</v>
      </c>
      <c r="H136" s="1563"/>
      <c r="I136" s="1563"/>
      <c r="J136" s="1563"/>
      <c r="K136" s="1563"/>
    </row>
    <row r="137" spans="1:11" ht="12.75" customHeight="1" x14ac:dyDescent="0.2">
      <c r="A137" s="427" t="s">
        <v>595</v>
      </c>
      <c r="B137" s="478">
        <v>3235</v>
      </c>
      <c r="C137" s="1584">
        <v>0</v>
      </c>
      <c r="D137" s="1562">
        <v>0</v>
      </c>
      <c r="E137" s="1626"/>
      <c r="F137" s="1563"/>
      <c r="G137" s="1562">
        <v>0</v>
      </c>
      <c r="H137" s="1563"/>
      <c r="I137" s="1563"/>
      <c r="J137" s="1563"/>
      <c r="K137" s="1563"/>
    </row>
    <row r="138" spans="1:11" ht="12.75" customHeight="1" x14ac:dyDescent="0.2">
      <c r="A138" s="427" t="s">
        <v>596</v>
      </c>
      <c r="B138" s="478">
        <v>3240</v>
      </c>
      <c r="C138" s="1584">
        <v>0</v>
      </c>
      <c r="D138" s="1562">
        <v>0</v>
      </c>
      <c r="E138" s="1626"/>
      <c r="F138" s="1563"/>
      <c r="G138" s="1562">
        <v>0</v>
      </c>
      <c r="H138" s="1563"/>
      <c r="I138" s="1563"/>
      <c r="J138" s="1563"/>
      <c r="K138" s="1563"/>
    </row>
    <row r="139" spans="1:11" ht="12.75" customHeight="1" x14ac:dyDescent="0.2">
      <c r="A139" s="427" t="s">
        <v>597</v>
      </c>
      <c r="B139" s="478">
        <v>3270</v>
      </c>
      <c r="C139" s="1584">
        <v>0</v>
      </c>
      <c r="D139" s="1562">
        <v>0</v>
      </c>
      <c r="E139" s="1626"/>
      <c r="F139" s="1563"/>
      <c r="G139" s="1562">
        <v>0</v>
      </c>
      <c r="H139" s="1563"/>
      <c r="I139" s="1563"/>
      <c r="J139" s="1563"/>
      <c r="K139" s="1563"/>
    </row>
    <row r="140" spans="1:11" ht="12.75" customHeight="1" x14ac:dyDescent="0.2">
      <c r="A140" s="427" t="s">
        <v>67</v>
      </c>
      <c r="B140" s="478">
        <v>3299</v>
      </c>
      <c r="C140" s="1618">
        <v>0</v>
      </c>
      <c r="D140" s="1561">
        <v>0</v>
      </c>
      <c r="E140" s="1626"/>
      <c r="F140" s="1569"/>
      <c r="G140" s="1562">
        <v>0</v>
      </c>
      <c r="H140" s="1563"/>
      <c r="I140" s="1563"/>
      <c r="J140" s="1563"/>
      <c r="K140" s="1563"/>
    </row>
    <row r="141" spans="1:11" ht="12.75" customHeight="1" thickBot="1" x14ac:dyDescent="0.25">
      <c r="A141" s="1399" t="s">
        <v>598</v>
      </c>
      <c r="B141" s="1407"/>
      <c r="C141" s="1619">
        <f>SUM(C134:C140)</f>
        <v>0</v>
      </c>
      <c r="D141" s="1619">
        <f>SUM(D134:D140)</f>
        <v>0</v>
      </c>
      <c r="E141" s="1626" t="s">
        <v>1157</v>
      </c>
      <c r="F141" s="1569"/>
      <c r="G141" s="1619">
        <f>SUM(G134:G140)</f>
        <v>0</v>
      </c>
      <c r="H141" s="1563" t="s">
        <v>1157</v>
      </c>
      <c r="I141" s="1563" t="s">
        <v>1157</v>
      </c>
      <c r="J141" s="1563" t="s">
        <v>1157</v>
      </c>
      <c r="K141" s="1563" t="s">
        <v>1157</v>
      </c>
    </row>
    <row r="142" spans="1:11" ht="15.75" customHeight="1" thickTop="1" x14ac:dyDescent="0.2">
      <c r="A142" s="1331" t="s">
        <v>664</v>
      </c>
      <c r="B142" s="1332"/>
      <c r="C142" s="1620"/>
      <c r="D142" s="1631"/>
      <c r="E142" s="1626"/>
      <c r="F142" s="1620"/>
      <c r="G142" s="1620"/>
      <c r="H142" s="1563"/>
      <c r="I142" s="1563"/>
      <c r="J142" s="1563"/>
      <c r="K142" s="1563"/>
    </row>
    <row r="143" spans="1:11" ht="12.75" customHeight="1" x14ac:dyDescent="0.2">
      <c r="A143" s="427" t="s">
        <v>599</v>
      </c>
      <c r="B143" s="478">
        <v>3305</v>
      </c>
      <c r="C143" s="1561">
        <v>0</v>
      </c>
      <c r="D143" s="1563"/>
      <c r="E143" s="1626"/>
      <c r="F143" s="1563"/>
      <c r="G143" s="1561">
        <v>0</v>
      </c>
      <c r="H143" s="1563"/>
      <c r="I143" s="1563"/>
      <c r="J143" s="1563"/>
      <c r="K143" s="1563"/>
    </row>
    <row r="144" spans="1:11" ht="12.75" customHeight="1" x14ac:dyDescent="0.2">
      <c r="A144" s="427" t="s">
        <v>343</v>
      </c>
      <c r="B144" s="478">
        <v>3310</v>
      </c>
      <c r="C144" s="1618">
        <v>0</v>
      </c>
      <c r="D144" s="1563"/>
      <c r="E144" s="1626"/>
      <c r="F144" s="1563"/>
      <c r="G144" s="1561">
        <v>0</v>
      </c>
      <c r="H144" s="1563"/>
      <c r="I144" s="1563"/>
      <c r="J144" s="1563"/>
      <c r="K144" s="1563"/>
    </row>
    <row r="145" spans="1:11" s="197" customFormat="1" ht="13.5" thickBot="1" x14ac:dyDescent="0.25">
      <c r="A145" s="1399" t="s">
        <v>392</v>
      </c>
      <c r="B145" s="1407"/>
      <c r="C145" s="1581">
        <f>SUM(C143:C144)</f>
        <v>0</v>
      </c>
      <c r="D145" s="1563"/>
      <c r="E145" s="1595"/>
      <c r="F145" s="1563"/>
      <c r="G145" s="1587">
        <f>SUM(G143:G144)</f>
        <v>0</v>
      </c>
      <c r="H145" s="1563"/>
      <c r="I145" s="1563"/>
      <c r="J145" s="1563"/>
      <c r="K145" s="1563"/>
    </row>
    <row r="146" spans="1:11" s="197" customFormat="1" ht="12.75" customHeight="1" thickTop="1" x14ac:dyDescent="0.2">
      <c r="A146" s="1261" t="s">
        <v>1045</v>
      </c>
      <c r="B146" s="482">
        <v>3360</v>
      </c>
      <c r="C146" s="1632">
        <v>0</v>
      </c>
      <c r="D146" s="1633"/>
      <c r="E146" s="1595"/>
      <c r="F146" s="1563"/>
      <c r="G146" s="1634"/>
      <c r="H146" s="1563"/>
      <c r="I146" s="1563"/>
      <c r="J146" s="1563"/>
      <c r="K146" s="1563"/>
    </row>
    <row r="147" spans="1:11" ht="12.75" customHeight="1" thickBot="1" x14ac:dyDescent="0.25">
      <c r="A147" s="1262" t="s">
        <v>914</v>
      </c>
      <c r="B147" s="483">
        <v>3365</v>
      </c>
      <c r="C147" s="1635">
        <v>0</v>
      </c>
      <c r="D147" s="1614">
        <v>0</v>
      </c>
      <c r="E147" s="1626"/>
      <c r="F147" s="1563"/>
      <c r="G147" s="1614">
        <v>0</v>
      </c>
      <c r="H147" s="1563"/>
      <c r="I147" s="1563"/>
      <c r="J147" s="1563"/>
      <c r="K147" s="1563"/>
    </row>
    <row r="148" spans="1:11" ht="12.75" customHeight="1" thickTop="1" thickBot="1" x14ac:dyDescent="0.25">
      <c r="A148" s="1263" t="s">
        <v>137</v>
      </c>
      <c r="B148" s="484">
        <v>3370</v>
      </c>
      <c r="C148" s="1635">
        <v>0</v>
      </c>
      <c r="D148" s="1635">
        <v>0</v>
      </c>
      <c r="E148" s="1595"/>
      <c r="F148" s="1563"/>
      <c r="G148" s="1563"/>
      <c r="H148" s="1563"/>
      <c r="I148" s="1563"/>
      <c r="J148" s="1563"/>
      <c r="K148" s="1563"/>
    </row>
    <row r="149" spans="1:11" ht="12.75" customHeight="1" thickTop="1" thickBot="1" x14ac:dyDescent="0.25">
      <c r="A149" s="1263" t="s">
        <v>760</v>
      </c>
      <c r="B149" s="484">
        <v>3410</v>
      </c>
      <c r="C149" s="1636">
        <v>0</v>
      </c>
      <c r="D149" s="1637">
        <v>0</v>
      </c>
      <c r="E149" s="1638">
        <v>0</v>
      </c>
      <c r="F149" s="1612">
        <v>0</v>
      </c>
      <c r="G149" s="1612">
        <v>0</v>
      </c>
      <c r="H149" s="1612">
        <v>0</v>
      </c>
      <c r="I149" s="1612">
        <v>0</v>
      </c>
      <c r="J149" s="1612">
        <v>0</v>
      </c>
      <c r="K149" s="1612">
        <v>0</v>
      </c>
    </row>
    <row r="150" spans="1:11" ht="12.75" customHeight="1" thickTop="1" thickBot="1" x14ac:dyDescent="0.25">
      <c r="A150" s="1263" t="s">
        <v>68</v>
      </c>
      <c r="B150" s="484">
        <v>3499</v>
      </c>
      <c r="C150" s="1636">
        <v>0</v>
      </c>
      <c r="D150" s="1637">
        <v>0</v>
      </c>
      <c r="E150" s="1614">
        <v>0</v>
      </c>
      <c r="F150" s="1614">
        <v>0</v>
      </c>
      <c r="G150" s="1614">
        <v>0</v>
      </c>
      <c r="H150" s="1614">
        <v>0</v>
      </c>
      <c r="I150" s="1614">
        <v>0</v>
      </c>
      <c r="J150" s="1614">
        <v>0</v>
      </c>
      <c r="K150" s="1614">
        <v>0</v>
      </c>
    </row>
    <row r="151" spans="1:11" ht="15.75" customHeight="1" thickTop="1" x14ac:dyDescent="0.2">
      <c r="A151" s="1331" t="s">
        <v>449</v>
      </c>
      <c r="B151" s="1333"/>
      <c r="C151" s="1620"/>
      <c r="D151" s="1563"/>
      <c r="E151" s="1626"/>
      <c r="F151" s="1563"/>
      <c r="G151" s="1563"/>
      <c r="H151" s="1563"/>
      <c r="I151" s="1563"/>
      <c r="J151" s="1563"/>
      <c r="K151" s="1563"/>
    </row>
    <row r="152" spans="1:11" ht="12.75" customHeight="1" x14ac:dyDescent="0.2">
      <c r="A152" s="427" t="s">
        <v>1427</v>
      </c>
      <c r="B152" s="478">
        <v>3500</v>
      </c>
      <c r="C152" s="1618">
        <v>0</v>
      </c>
      <c r="D152" s="1561">
        <v>0</v>
      </c>
      <c r="E152" s="1626"/>
      <c r="F152" s="1561">
        <v>531399</v>
      </c>
      <c r="G152" s="1562">
        <v>0</v>
      </c>
      <c r="H152" s="1563"/>
      <c r="I152" s="1563"/>
      <c r="J152" s="1563"/>
      <c r="K152" s="1563"/>
    </row>
    <row r="153" spans="1:11" ht="12.75" customHeight="1" x14ac:dyDescent="0.2">
      <c r="A153" s="427" t="s">
        <v>1046</v>
      </c>
      <c r="B153" s="478">
        <v>3510</v>
      </c>
      <c r="C153" s="1618">
        <v>0</v>
      </c>
      <c r="D153" s="1561">
        <v>0</v>
      </c>
      <c r="E153" s="1626"/>
      <c r="F153" s="1561">
        <v>265692</v>
      </c>
      <c r="G153" s="1562">
        <v>0</v>
      </c>
      <c r="H153" s="1563"/>
      <c r="I153" s="1563"/>
      <c r="J153" s="1563"/>
      <c r="K153" s="1563"/>
    </row>
    <row r="154" spans="1:11" ht="12.75" customHeight="1" x14ac:dyDescent="0.2">
      <c r="A154" s="427" t="s">
        <v>69</v>
      </c>
      <c r="B154" s="478">
        <v>3599</v>
      </c>
      <c r="C154" s="1618">
        <v>0</v>
      </c>
      <c r="D154" s="1561">
        <v>0</v>
      </c>
      <c r="E154" s="1626"/>
      <c r="F154" s="1561">
        <v>0</v>
      </c>
      <c r="G154" s="1562">
        <v>0</v>
      </c>
      <c r="H154" s="1563"/>
      <c r="I154" s="1563"/>
      <c r="J154" s="1563"/>
      <c r="K154" s="1563"/>
    </row>
    <row r="155" spans="1:11" ht="12.75" customHeight="1" thickBot="1" x14ac:dyDescent="0.25">
      <c r="A155" s="1399" t="s">
        <v>94</v>
      </c>
      <c r="B155" s="1407"/>
      <c r="C155" s="1619">
        <f>SUM(C152:C154)</f>
        <v>0</v>
      </c>
      <c r="D155" s="1619">
        <f>SUM(D152:D154)</f>
        <v>0</v>
      </c>
      <c r="E155" s="1626"/>
      <c r="F155" s="1619">
        <f>SUM(F152:F154)</f>
        <v>797091</v>
      </c>
      <c r="G155" s="1619">
        <f>SUM(G152:G154)</f>
        <v>0</v>
      </c>
      <c r="H155" s="1563"/>
      <c r="I155" s="1563"/>
      <c r="J155" s="1563"/>
      <c r="K155" s="1563"/>
    </row>
    <row r="156" spans="1:11" ht="12.75" customHeight="1" thickTop="1" thickBot="1" x14ac:dyDescent="0.25">
      <c r="A156" s="1263" t="s">
        <v>376</v>
      </c>
      <c r="B156" s="484">
        <v>3610</v>
      </c>
      <c r="C156" s="1637">
        <v>0</v>
      </c>
      <c r="D156" s="1563"/>
      <c r="E156" s="1595"/>
      <c r="F156" s="1563"/>
      <c r="G156" s="1563"/>
      <c r="H156" s="1563"/>
      <c r="I156" s="1563"/>
      <c r="J156" s="1563"/>
      <c r="K156" s="1563"/>
    </row>
    <row r="157" spans="1:11" ht="12.75" customHeight="1" thickTop="1" thickBot="1" x14ac:dyDescent="0.25">
      <c r="A157" s="1263" t="s">
        <v>50</v>
      </c>
      <c r="B157" s="484">
        <v>3660</v>
      </c>
      <c r="C157" s="1635">
        <v>0</v>
      </c>
      <c r="D157" s="1639">
        <v>0</v>
      </c>
      <c r="E157" s="1626"/>
      <c r="F157" s="1639">
        <v>0</v>
      </c>
      <c r="G157" s="1639">
        <v>0</v>
      </c>
      <c r="H157" s="1563"/>
      <c r="I157" s="1563"/>
      <c r="J157" s="1563"/>
      <c r="K157" s="1563"/>
    </row>
    <row r="158" spans="1:11" ht="12.75" customHeight="1" thickTop="1" thickBot="1" x14ac:dyDescent="0.25">
      <c r="A158" s="1263" t="s">
        <v>991</v>
      </c>
      <c r="B158" s="484">
        <v>3695</v>
      </c>
      <c r="C158" s="1637">
        <v>0</v>
      </c>
      <c r="D158" s="1563"/>
      <c r="E158" s="1626"/>
      <c r="F158" s="1637">
        <v>0</v>
      </c>
      <c r="G158" s="1637">
        <v>0</v>
      </c>
      <c r="H158" s="1563"/>
      <c r="I158" s="1563"/>
      <c r="J158" s="1563"/>
      <c r="K158" s="1563"/>
    </row>
    <row r="159" spans="1:11" ht="12.75" customHeight="1" thickTop="1" thickBot="1" x14ac:dyDescent="0.25">
      <c r="A159" s="1263" t="s">
        <v>1040</v>
      </c>
      <c r="B159" s="484">
        <v>3705</v>
      </c>
      <c r="C159" s="1637">
        <v>0</v>
      </c>
      <c r="D159" s="1639">
        <v>0</v>
      </c>
      <c r="E159" s="1626"/>
      <c r="F159" s="1637">
        <v>0</v>
      </c>
      <c r="G159" s="1637">
        <v>0</v>
      </c>
      <c r="H159" s="1563"/>
      <c r="I159" s="1563"/>
      <c r="J159" s="1563"/>
      <c r="K159" s="1563"/>
    </row>
    <row r="160" spans="1:11" ht="12.75" customHeight="1" thickTop="1" thickBot="1" x14ac:dyDescent="0.25">
      <c r="A160" s="1263" t="s">
        <v>39</v>
      </c>
      <c r="B160" s="484">
        <v>3766</v>
      </c>
      <c r="C160" s="1637">
        <v>0</v>
      </c>
      <c r="D160" s="1639">
        <v>0</v>
      </c>
      <c r="E160" s="1626"/>
      <c r="F160" s="1637">
        <v>0</v>
      </c>
      <c r="G160" s="1613">
        <v>0</v>
      </c>
      <c r="H160" s="1563"/>
      <c r="I160" s="1563"/>
      <c r="J160" s="1563"/>
      <c r="K160" s="1563"/>
    </row>
    <row r="161" spans="1:11" ht="12.75" customHeight="1" thickTop="1" thickBot="1" x14ac:dyDescent="0.25">
      <c r="A161" s="1263" t="s">
        <v>976</v>
      </c>
      <c r="B161" s="484">
        <v>3767</v>
      </c>
      <c r="C161" s="1637">
        <v>0</v>
      </c>
      <c r="D161" s="1613">
        <v>0</v>
      </c>
      <c r="E161" s="1626"/>
      <c r="F161" s="1613">
        <v>0</v>
      </c>
      <c r="G161" s="1613">
        <v>0</v>
      </c>
      <c r="H161" s="1563"/>
      <c r="I161" s="1563"/>
      <c r="J161" s="1563"/>
      <c r="K161" s="1563"/>
    </row>
    <row r="162" spans="1:11" ht="12.75" customHeight="1" thickTop="1" thickBot="1" x14ac:dyDescent="0.25">
      <c r="A162" s="1263" t="s">
        <v>977</v>
      </c>
      <c r="B162" s="484">
        <v>3775</v>
      </c>
      <c r="C162" s="1637">
        <v>0</v>
      </c>
      <c r="D162" s="1635">
        <v>0</v>
      </c>
      <c r="E162" s="1612">
        <v>0</v>
      </c>
      <c r="F162" s="1635">
        <v>0</v>
      </c>
      <c r="G162" s="1614">
        <v>0</v>
      </c>
      <c r="H162" s="1612">
        <v>0</v>
      </c>
      <c r="I162" s="1563"/>
      <c r="J162" s="1563"/>
      <c r="K162" s="1612">
        <v>0</v>
      </c>
    </row>
    <row r="163" spans="1:11" ht="12.75" customHeight="1" thickTop="1" thickBot="1" x14ac:dyDescent="0.25">
      <c r="A163" s="1263" t="s">
        <v>1428</v>
      </c>
      <c r="B163" s="484">
        <v>3780</v>
      </c>
      <c r="C163" s="1613">
        <v>0</v>
      </c>
      <c r="D163" s="1612">
        <v>0</v>
      </c>
      <c r="E163" s="1613">
        <v>0</v>
      </c>
      <c r="F163" s="1613">
        <v>0</v>
      </c>
      <c r="G163" s="1613">
        <v>0</v>
      </c>
      <c r="H163" s="1613">
        <v>0</v>
      </c>
      <c r="I163" s="1563"/>
      <c r="J163" s="1563"/>
      <c r="K163" s="1613">
        <v>0</v>
      </c>
    </row>
    <row r="164" spans="1:11" ht="12.75" customHeight="1" thickTop="1" thickBot="1" x14ac:dyDescent="0.25">
      <c r="A164" s="1263" t="s">
        <v>851</v>
      </c>
      <c r="B164" s="484">
        <v>3815</v>
      </c>
      <c r="C164" s="1637">
        <v>0</v>
      </c>
      <c r="D164" s="1563"/>
      <c r="E164" s="1626"/>
      <c r="F164" s="1637">
        <v>0</v>
      </c>
      <c r="G164" s="1563"/>
      <c r="H164" s="1563"/>
      <c r="I164" s="1563"/>
      <c r="J164" s="1563"/>
      <c r="K164" s="1563"/>
    </row>
    <row r="165" spans="1:11" ht="12.75" customHeight="1" thickTop="1" thickBot="1" x14ac:dyDescent="0.25">
      <c r="A165" s="1263" t="s">
        <v>393</v>
      </c>
      <c r="B165" s="484">
        <v>3825</v>
      </c>
      <c r="C165" s="1637">
        <v>0</v>
      </c>
      <c r="D165" s="1563"/>
      <c r="E165" s="1626"/>
      <c r="F165" s="1637">
        <v>0</v>
      </c>
      <c r="G165" s="1563"/>
      <c r="H165" s="1563"/>
      <c r="I165" s="1563"/>
      <c r="J165" s="1563"/>
      <c r="K165" s="1563"/>
    </row>
    <row r="166" spans="1:11" ht="12.75" customHeight="1" thickTop="1" thickBot="1" x14ac:dyDescent="0.25">
      <c r="A166" s="1263" t="s">
        <v>344</v>
      </c>
      <c r="B166" s="484">
        <v>3920</v>
      </c>
      <c r="C166" s="1631"/>
      <c r="D166" s="1639">
        <v>0</v>
      </c>
      <c r="E166" s="1563"/>
      <c r="F166" s="1631"/>
      <c r="G166" s="1563"/>
      <c r="H166" s="1612">
        <v>0</v>
      </c>
      <c r="I166" s="1563"/>
      <c r="J166" s="1563"/>
      <c r="K166" s="1563"/>
    </row>
    <row r="167" spans="1:11" ht="12.75" customHeight="1" thickTop="1" thickBot="1" x14ac:dyDescent="0.25">
      <c r="A167" s="1263" t="s">
        <v>345</v>
      </c>
      <c r="B167" s="484">
        <v>3925</v>
      </c>
      <c r="C167" s="1603"/>
      <c r="D167" s="1637">
        <v>0</v>
      </c>
      <c r="E167" s="1603"/>
      <c r="F167" s="1603"/>
      <c r="G167" s="1563"/>
      <c r="H167" s="1613">
        <v>0</v>
      </c>
      <c r="I167" s="1563"/>
      <c r="J167" s="1563"/>
      <c r="K167" s="1612">
        <v>0</v>
      </c>
    </row>
    <row r="168" spans="1:11" ht="14.25" thickTop="1" thickBot="1" x14ac:dyDescent="0.25">
      <c r="A168" s="1263" t="s">
        <v>70</v>
      </c>
      <c r="B168" s="484">
        <v>3999</v>
      </c>
      <c r="C168" s="1640">
        <v>75223</v>
      </c>
      <c r="D168" s="1641">
        <v>50000</v>
      </c>
      <c r="E168" s="1641">
        <v>0</v>
      </c>
      <c r="F168" s="1641">
        <v>0</v>
      </c>
      <c r="G168" s="1642">
        <v>0</v>
      </c>
      <c r="H168" s="1643">
        <v>0</v>
      </c>
      <c r="I168" s="1642">
        <v>0</v>
      </c>
      <c r="J168" s="1642">
        <v>0</v>
      </c>
      <c r="K168" s="1643">
        <v>0</v>
      </c>
    </row>
    <row r="169" spans="1:11" ht="12.75" customHeight="1" thickTop="1" thickBot="1" x14ac:dyDescent="0.25">
      <c r="A169" s="2275" t="s">
        <v>394</v>
      </c>
      <c r="B169" s="2276"/>
      <c r="C169" s="1644">
        <f t="shared" ref="C169:K169" si="6">SUM(C132,C141,C145,C146:C150,C155,C156:C167,C168)</f>
        <v>157535</v>
      </c>
      <c r="D169" s="1644">
        <f t="shared" si="6"/>
        <v>50000</v>
      </c>
      <c r="E169" s="1644">
        <f t="shared" si="6"/>
        <v>0</v>
      </c>
      <c r="F169" s="1644">
        <f t="shared" si="6"/>
        <v>797091</v>
      </c>
      <c r="G169" s="1644">
        <f t="shared" si="6"/>
        <v>0</v>
      </c>
      <c r="H169" s="1644">
        <f t="shared" si="6"/>
        <v>0</v>
      </c>
      <c r="I169" s="1644">
        <f t="shared" si="6"/>
        <v>0</v>
      </c>
      <c r="J169" s="1644">
        <f t="shared" si="6"/>
        <v>0</v>
      </c>
      <c r="K169" s="1610">
        <f t="shared" si="6"/>
        <v>0</v>
      </c>
    </row>
    <row r="170" spans="1:11" ht="12.75" customHeight="1" thickTop="1" thickBot="1" x14ac:dyDescent="0.25">
      <c r="A170" s="1399" t="s">
        <v>395</v>
      </c>
      <c r="B170" s="1403" t="s">
        <v>570</v>
      </c>
      <c r="C170" s="1627">
        <f t="shared" ref="C170:K170" si="7">SUM(C122,C169)</f>
        <v>1191609</v>
      </c>
      <c r="D170" s="1627">
        <f t="shared" si="7"/>
        <v>50000</v>
      </c>
      <c r="E170" s="1627">
        <f t="shared" si="7"/>
        <v>0</v>
      </c>
      <c r="F170" s="1627">
        <f t="shared" si="7"/>
        <v>797091</v>
      </c>
      <c r="G170" s="1627">
        <f t="shared" si="7"/>
        <v>0</v>
      </c>
      <c r="H170" s="1627">
        <f t="shared" si="7"/>
        <v>0</v>
      </c>
      <c r="I170" s="1627">
        <f t="shared" si="7"/>
        <v>0</v>
      </c>
      <c r="J170" s="1627">
        <f t="shared" si="7"/>
        <v>0</v>
      </c>
      <c r="K170" s="1615">
        <f t="shared" si="7"/>
        <v>0</v>
      </c>
    </row>
    <row r="171" spans="1:11" ht="16.7" customHeight="1" thickTop="1" x14ac:dyDescent="0.2">
      <c r="A171" s="1320" t="s">
        <v>797</v>
      </c>
      <c r="B171" s="1303"/>
      <c r="C171" s="1588"/>
      <c r="D171" s="1589"/>
      <c r="E171" s="1589"/>
      <c r="F171" s="1589"/>
      <c r="G171" s="1589"/>
      <c r="H171" s="1589"/>
      <c r="I171" s="1589"/>
      <c r="J171" s="1589"/>
      <c r="K171" s="1601"/>
    </row>
    <row r="172" spans="1:11" ht="15.75" customHeight="1" x14ac:dyDescent="0.2">
      <c r="A172" s="2277" t="s">
        <v>1471</v>
      </c>
      <c r="B172" s="2278"/>
      <c r="C172" s="1602"/>
      <c r="D172" s="1602"/>
      <c r="E172" s="1595"/>
      <c r="F172" s="1563"/>
      <c r="G172" s="1563"/>
      <c r="H172" s="1563"/>
      <c r="I172" s="1563"/>
      <c r="J172" s="1563"/>
      <c r="K172" s="1563"/>
    </row>
    <row r="173" spans="1:11" ht="12.6" customHeight="1" x14ac:dyDescent="0.2">
      <c r="A173" s="436" t="s">
        <v>1033</v>
      </c>
      <c r="B173" s="435">
        <v>4001</v>
      </c>
      <c r="C173" s="1599">
        <v>0</v>
      </c>
      <c r="D173" s="1573">
        <v>0</v>
      </c>
      <c r="E173" s="1562">
        <v>0</v>
      </c>
      <c r="F173" s="1561">
        <v>0</v>
      </c>
      <c r="G173" s="1561">
        <v>0</v>
      </c>
      <c r="H173" s="1562">
        <v>0</v>
      </c>
      <c r="I173" s="1562">
        <v>0</v>
      </c>
      <c r="J173" s="1562">
        <v>0</v>
      </c>
      <c r="K173" s="1562">
        <v>0</v>
      </c>
    </row>
    <row r="174" spans="1:11" ht="22.5" x14ac:dyDescent="0.2">
      <c r="A174" s="479" t="s">
        <v>798</v>
      </c>
      <c r="B174" s="485">
        <v>4009</v>
      </c>
      <c r="C174" s="1618">
        <v>0</v>
      </c>
      <c r="D174" s="1561">
        <v>0</v>
      </c>
      <c r="E174" s="1562">
        <v>0</v>
      </c>
      <c r="F174" s="1561">
        <v>0</v>
      </c>
      <c r="G174" s="1561">
        <v>0</v>
      </c>
      <c r="H174" s="1562">
        <v>0</v>
      </c>
      <c r="I174" s="1562">
        <v>0</v>
      </c>
      <c r="J174" s="1562">
        <v>0</v>
      </c>
      <c r="K174" s="1562">
        <v>0</v>
      </c>
    </row>
    <row r="175" spans="1:11" ht="13.5" thickBot="1" x14ac:dyDescent="0.25">
      <c r="A175" s="2281" t="s">
        <v>1642</v>
      </c>
      <c r="B175" s="2282"/>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1">
        <f t="shared" si="8"/>
        <v>0</v>
      </c>
    </row>
    <row r="176" spans="1:11" s="421" customFormat="1" ht="15.75" customHeight="1" thickTop="1" x14ac:dyDescent="0.2">
      <c r="A176" s="2285" t="s">
        <v>1641</v>
      </c>
      <c r="B176" s="2286"/>
      <c r="C176" s="1645"/>
      <c r="D176" s="1646"/>
      <c r="E176" s="1647"/>
      <c r="F176" s="1648"/>
      <c r="G176" s="1648"/>
      <c r="H176" s="1648"/>
      <c r="I176" s="1648"/>
      <c r="J176" s="1648"/>
      <c r="K176" s="1648"/>
    </row>
    <row r="177" spans="1:11" ht="12.75" customHeight="1" x14ac:dyDescent="0.2">
      <c r="A177" s="427" t="s">
        <v>1034</v>
      </c>
      <c r="B177" s="429">
        <v>4045</v>
      </c>
      <c r="C177" s="1618">
        <v>0</v>
      </c>
      <c r="D177" s="1563"/>
      <c r="E177" s="1626"/>
      <c r="F177" s="1563"/>
      <c r="G177" s="1563"/>
      <c r="H177" s="1563"/>
      <c r="I177" s="1563"/>
      <c r="J177" s="1563"/>
      <c r="K177" s="1563"/>
    </row>
    <row r="178" spans="1:11" ht="12.75" customHeight="1" x14ac:dyDescent="0.2">
      <c r="A178" s="427" t="s">
        <v>1035</v>
      </c>
      <c r="B178" s="429">
        <v>4050</v>
      </c>
      <c r="C178" s="1618">
        <v>0</v>
      </c>
      <c r="D178" s="1562">
        <v>0</v>
      </c>
      <c r="E178" s="1626"/>
      <c r="F178" s="1563"/>
      <c r="G178" s="1563"/>
      <c r="H178" s="1562">
        <v>0</v>
      </c>
      <c r="I178" s="1563"/>
      <c r="J178" s="1563"/>
      <c r="K178" s="1563"/>
    </row>
    <row r="179" spans="1:11" ht="12.75" customHeight="1" x14ac:dyDescent="0.2">
      <c r="A179" s="427" t="s">
        <v>258</v>
      </c>
      <c r="B179" s="429">
        <v>4060</v>
      </c>
      <c r="C179" s="1599">
        <v>0</v>
      </c>
      <c r="D179" s="1561">
        <v>0</v>
      </c>
      <c r="E179" s="1563"/>
      <c r="F179" s="1561">
        <v>0</v>
      </c>
      <c r="G179" s="1561">
        <v>0</v>
      </c>
      <c r="H179" s="1561">
        <v>0</v>
      </c>
      <c r="I179" s="1563"/>
      <c r="J179" s="1563"/>
      <c r="K179" s="1603"/>
    </row>
    <row r="180" spans="1:11" ht="22.5" x14ac:dyDescent="0.2">
      <c r="A180" s="479" t="s">
        <v>779</v>
      </c>
      <c r="B180" s="485">
        <v>4090</v>
      </c>
      <c r="C180" s="1618">
        <v>0</v>
      </c>
      <c r="D180" s="1561">
        <v>0</v>
      </c>
      <c r="E180" s="1563"/>
      <c r="F180" s="1561">
        <v>0</v>
      </c>
      <c r="G180" s="1561">
        <v>0</v>
      </c>
      <c r="H180" s="1561">
        <v>0</v>
      </c>
      <c r="I180" s="1563"/>
      <c r="J180" s="1563"/>
      <c r="K180" s="1561">
        <v>0</v>
      </c>
    </row>
    <row r="181" spans="1:11" ht="13.5" thickBot="1" x14ac:dyDescent="0.25">
      <c r="A181" s="2283" t="s">
        <v>778</v>
      </c>
      <c r="B181" s="2284"/>
      <c r="C181" s="1619">
        <f>SUM(C177:C180)</f>
        <v>0</v>
      </c>
      <c r="D181" s="1619">
        <f>SUM(D177:D180)</f>
        <v>0</v>
      </c>
      <c r="E181" s="1563"/>
      <c r="F181" s="1619">
        <f>SUM(F177:F180)</f>
        <v>0</v>
      </c>
      <c r="G181" s="1619">
        <f>SUM(G177:G180)</f>
        <v>0</v>
      </c>
      <c r="H181" s="1619">
        <f>SUM(H177:H180)</f>
        <v>0</v>
      </c>
      <c r="I181" s="1563"/>
      <c r="J181" s="1563"/>
      <c r="K181" s="1581">
        <f>SUM(K177:K180)</f>
        <v>0</v>
      </c>
    </row>
    <row r="182" spans="1:11" ht="22.5" customHeight="1" thickTop="1" x14ac:dyDescent="0.2">
      <c r="A182" s="2279" t="s">
        <v>1776</v>
      </c>
      <c r="B182" s="2280"/>
      <c r="C182" s="1649"/>
      <c r="D182" s="1631"/>
      <c r="E182" s="1595"/>
      <c r="F182" s="1631"/>
      <c r="G182" s="1631"/>
      <c r="H182" s="1563"/>
      <c r="I182" s="1563"/>
      <c r="J182" s="1563"/>
      <c r="K182" s="1563"/>
    </row>
    <row r="183" spans="1:11" ht="15.75" customHeight="1" x14ac:dyDescent="0.2">
      <c r="A183" s="1334" t="s">
        <v>1581</v>
      </c>
      <c r="B183" s="1335"/>
      <c r="C183" s="1629"/>
      <c r="D183" s="1603"/>
      <c r="E183" s="1595"/>
      <c r="F183" s="1603"/>
      <c r="G183" s="1603"/>
      <c r="H183" s="1563"/>
      <c r="I183" s="1563"/>
      <c r="J183" s="1563"/>
      <c r="K183" s="1563"/>
    </row>
    <row r="184" spans="1:11" ht="12.75" customHeight="1" x14ac:dyDescent="0.2">
      <c r="A184" s="427" t="s">
        <v>1582</v>
      </c>
      <c r="B184" s="429">
        <v>4100</v>
      </c>
      <c r="C184" s="1599">
        <v>0</v>
      </c>
      <c r="D184" s="1573">
        <v>0</v>
      </c>
      <c r="E184" s="1626"/>
      <c r="F184" s="1573">
        <v>0</v>
      </c>
      <c r="G184" s="1573">
        <v>0</v>
      </c>
      <c r="H184" s="1563"/>
      <c r="I184" s="1563"/>
      <c r="J184" s="1563"/>
      <c r="K184" s="1563"/>
    </row>
    <row r="185" spans="1:11" ht="12.75" customHeight="1" x14ac:dyDescent="0.2">
      <c r="A185" s="427" t="s">
        <v>1583</v>
      </c>
      <c r="B185" s="429">
        <v>4105</v>
      </c>
      <c r="C185" s="1618">
        <v>0</v>
      </c>
      <c r="D185" s="1561">
        <v>0</v>
      </c>
      <c r="E185" s="1626"/>
      <c r="F185" s="1561">
        <v>0</v>
      </c>
      <c r="G185" s="1561">
        <v>0</v>
      </c>
      <c r="H185" s="1563"/>
      <c r="I185" s="1563"/>
      <c r="J185" s="1563"/>
      <c r="K185" s="1563"/>
    </row>
    <row r="186" spans="1:11" ht="12.75" customHeight="1" x14ac:dyDescent="0.2">
      <c r="A186" s="427" t="s">
        <v>1585</v>
      </c>
      <c r="B186" s="429">
        <v>4107</v>
      </c>
      <c r="C186" s="1618">
        <v>0</v>
      </c>
      <c r="D186" s="1561">
        <v>0</v>
      </c>
      <c r="E186" s="1626"/>
      <c r="F186" s="1561">
        <v>0</v>
      </c>
      <c r="G186" s="1561">
        <v>0</v>
      </c>
      <c r="H186" s="1563"/>
      <c r="I186" s="1563"/>
      <c r="J186" s="1563"/>
      <c r="K186" s="1563"/>
    </row>
    <row r="187" spans="1:11" ht="12.75" customHeight="1" x14ac:dyDescent="0.2">
      <c r="A187" s="427" t="s">
        <v>1584</v>
      </c>
      <c r="B187" s="429">
        <v>4199</v>
      </c>
      <c r="C187" s="1618">
        <v>0</v>
      </c>
      <c r="D187" s="1561">
        <v>0</v>
      </c>
      <c r="E187" s="1626"/>
      <c r="F187" s="1561">
        <v>0</v>
      </c>
      <c r="G187" s="1561">
        <v>0</v>
      </c>
      <c r="H187" s="1563"/>
      <c r="I187" s="1563"/>
      <c r="J187" s="1563"/>
      <c r="K187" s="1563"/>
    </row>
    <row r="188" spans="1:11" ht="12.75" customHeight="1" thickBot="1" x14ac:dyDescent="0.25">
      <c r="A188" s="1399" t="s">
        <v>1586</v>
      </c>
      <c r="B188" s="1400"/>
      <c r="C188" s="1619">
        <f>SUM(C184:C187)</f>
        <v>0</v>
      </c>
      <c r="D188" s="1619">
        <f>SUM(D184:D187)</f>
        <v>0</v>
      </c>
      <c r="E188" s="1626"/>
      <c r="F188" s="1619">
        <f>SUM(F184:F187)</f>
        <v>0</v>
      </c>
      <c r="G188" s="1619">
        <f>SUM(G184:G187)</f>
        <v>0</v>
      </c>
      <c r="H188" s="1563"/>
      <c r="I188" s="1563"/>
      <c r="J188" s="1563"/>
      <c r="K188" s="1563"/>
    </row>
    <row r="189" spans="1:11" ht="15.75" customHeight="1" thickTop="1" x14ac:dyDescent="0.2">
      <c r="A189" s="1331" t="s">
        <v>451</v>
      </c>
      <c r="B189" s="1336"/>
      <c r="C189" s="1620"/>
      <c r="D189" s="1631"/>
      <c r="E189" s="1626"/>
      <c r="F189" s="1620"/>
      <c r="G189" s="1620"/>
      <c r="H189" s="1563"/>
      <c r="I189" s="1563"/>
      <c r="J189" s="1563"/>
      <c r="K189" s="1563"/>
    </row>
    <row r="190" spans="1:11" x14ac:dyDescent="0.2">
      <c r="A190" s="427" t="s">
        <v>1429</v>
      </c>
      <c r="B190" s="429">
        <v>4200</v>
      </c>
      <c r="C190" s="1562">
        <v>0</v>
      </c>
      <c r="D190" s="1563"/>
      <c r="E190" s="1626"/>
      <c r="F190" s="1620"/>
      <c r="G190" s="1650">
        <v>0</v>
      </c>
      <c r="H190" s="1563"/>
      <c r="I190" s="1563"/>
      <c r="J190" s="1563"/>
      <c r="K190" s="1563"/>
    </row>
    <row r="191" spans="1:11" ht="12.75" customHeight="1" x14ac:dyDescent="0.2">
      <c r="A191" s="427" t="s">
        <v>1047</v>
      </c>
      <c r="B191" s="429">
        <v>4210</v>
      </c>
      <c r="C191" s="1561">
        <v>0</v>
      </c>
      <c r="D191" s="1563"/>
      <c r="E191" s="1626"/>
      <c r="F191" s="1563"/>
      <c r="G191" s="1650">
        <v>0</v>
      </c>
      <c r="H191" s="1563"/>
      <c r="I191" s="1563"/>
      <c r="J191" s="1563"/>
      <c r="K191" s="1563"/>
    </row>
    <row r="192" spans="1:11" ht="12.75" customHeight="1" x14ac:dyDescent="0.2">
      <c r="A192" s="427" t="s">
        <v>1036</v>
      </c>
      <c r="B192" s="429">
        <v>4215</v>
      </c>
      <c r="C192" s="1618">
        <v>13124</v>
      </c>
      <c r="D192" s="1563"/>
      <c r="E192" s="1626"/>
      <c r="F192" s="1563"/>
      <c r="G192" s="1650">
        <v>0</v>
      </c>
      <c r="H192" s="1563"/>
      <c r="I192" s="1563"/>
      <c r="J192" s="1563"/>
      <c r="K192" s="1563"/>
    </row>
    <row r="193" spans="1:11" ht="12.75" customHeight="1" x14ac:dyDescent="0.2">
      <c r="A193" s="427" t="s">
        <v>1048</v>
      </c>
      <c r="B193" s="429">
        <v>4220</v>
      </c>
      <c r="C193" s="1618">
        <v>0</v>
      </c>
      <c r="D193" s="1563"/>
      <c r="E193" s="1626"/>
      <c r="F193" s="1563"/>
      <c r="G193" s="1650">
        <v>0</v>
      </c>
      <c r="H193" s="1563"/>
      <c r="I193" s="1563"/>
      <c r="J193" s="1563"/>
      <c r="K193" s="1563"/>
    </row>
    <row r="194" spans="1:11" ht="12.75" customHeight="1" x14ac:dyDescent="0.2">
      <c r="A194" s="427" t="s">
        <v>1430</v>
      </c>
      <c r="B194" s="429">
        <v>4225</v>
      </c>
      <c r="C194" s="1618">
        <v>0</v>
      </c>
      <c r="D194" s="1563"/>
      <c r="E194" s="1626"/>
      <c r="F194" s="1563"/>
      <c r="G194" s="1650">
        <v>0</v>
      </c>
      <c r="H194" s="1563"/>
      <c r="I194" s="1563"/>
      <c r="J194" s="1563"/>
      <c r="K194" s="1563"/>
    </row>
    <row r="195" spans="1:11" ht="12.75" customHeight="1" x14ac:dyDescent="0.2">
      <c r="A195" s="427" t="s">
        <v>1431</v>
      </c>
      <c r="B195" s="429">
        <v>4226</v>
      </c>
      <c r="C195" s="1618">
        <v>0</v>
      </c>
      <c r="D195" s="1563"/>
      <c r="E195" s="1626"/>
      <c r="F195" s="1563"/>
      <c r="G195" s="1650">
        <v>0</v>
      </c>
      <c r="H195" s="1563"/>
      <c r="I195" s="1563"/>
      <c r="J195" s="1563"/>
      <c r="K195" s="1563"/>
    </row>
    <row r="196" spans="1:11" ht="12.75" customHeight="1" x14ac:dyDescent="0.2">
      <c r="A196" s="427" t="s">
        <v>785</v>
      </c>
      <c r="B196" s="429">
        <v>4240</v>
      </c>
      <c r="C196" s="1584">
        <v>0</v>
      </c>
      <c r="D196" s="1563"/>
      <c r="E196" s="1626"/>
      <c r="F196" s="1563"/>
      <c r="G196" s="1651"/>
      <c r="H196" s="1563"/>
      <c r="I196" s="1563"/>
      <c r="J196" s="1563"/>
      <c r="K196" s="1563"/>
    </row>
    <row r="197" spans="1:11" ht="12.75" customHeight="1" x14ac:dyDescent="0.2">
      <c r="A197" s="427" t="s">
        <v>71</v>
      </c>
      <c r="B197" s="429">
        <v>4299</v>
      </c>
      <c r="C197" s="1618">
        <v>0</v>
      </c>
      <c r="D197" s="1563"/>
      <c r="E197" s="1626"/>
      <c r="F197" s="1563"/>
      <c r="G197" s="1650">
        <v>0</v>
      </c>
      <c r="H197" s="1563"/>
      <c r="I197" s="1563"/>
      <c r="J197" s="1563"/>
      <c r="K197" s="1563"/>
    </row>
    <row r="198" spans="1:11" ht="12.75" customHeight="1" thickBot="1" x14ac:dyDescent="0.25">
      <c r="A198" s="1399" t="s">
        <v>543</v>
      </c>
      <c r="B198" s="1400"/>
      <c r="C198" s="1581">
        <f>SUM(C190:C197)</f>
        <v>13124</v>
      </c>
      <c r="D198" s="1563"/>
      <c r="E198" s="1563"/>
      <c r="F198" s="1563"/>
      <c r="G198" s="1581">
        <f>SUM(G190:G197)</f>
        <v>0</v>
      </c>
      <c r="H198" s="1563"/>
      <c r="I198" s="1563"/>
      <c r="J198" s="1563"/>
      <c r="K198" s="1563"/>
    </row>
    <row r="199" spans="1:11" ht="15.75" customHeight="1" thickTop="1" x14ac:dyDescent="0.2">
      <c r="A199" s="1331" t="s">
        <v>1126</v>
      </c>
      <c r="B199" s="1336"/>
      <c r="C199" s="1620"/>
      <c r="D199" s="1563"/>
      <c r="E199" s="1563"/>
      <c r="F199" s="1563"/>
      <c r="G199" s="1563"/>
      <c r="H199" s="1563"/>
      <c r="I199" s="1563"/>
      <c r="J199" s="1563"/>
      <c r="K199" s="1563"/>
    </row>
    <row r="200" spans="1:11" ht="12.75" customHeight="1" x14ac:dyDescent="0.2">
      <c r="A200" s="427" t="s">
        <v>910</v>
      </c>
      <c r="B200" s="429">
        <v>4300</v>
      </c>
      <c r="C200" s="1561">
        <v>20995</v>
      </c>
      <c r="D200" s="1561">
        <v>0</v>
      </c>
      <c r="E200" s="1563"/>
      <c r="F200" s="1561">
        <v>0</v>
      </c>
      <c r="G200" s="1561">
        <v>0</v>
      </c>
      <c r="H200" s="1563"/>
      <c r="I200" s="1563"/>
      <c r="J200" s="1563"/>
      <c r="K200" s="1563"/>
    </row>
    <row r="201" spans="1:11" ht="12.75" customHeight="1" x14ac:dyDescent="0.2">
      <c r="A201" s="427" t="s">
        <v>911</v>
      </c>
      <c r="B201" s="429">
        <v>4305</v>
      </c>
      <c r="C201" s="1618">
        <v>0</v>
      </c>
      <c r="D201" s="1561">
        <v>0</v>
      </c>
      <c r="E201" s="1563"/>
      <c r="F201" s="1561">
        <v>0</v>
      </c>
      <c r="G201" s="1561">
        <v>0</v>
      </c>
      <c r="H201" s="1563"/>
      <c r="I201" s="1563"/>
      <c r="J201" s="1563"/>
      <c r="K201" s="1563"/>
    </row>
    <row r="202" spans="1:11" ht="12.75" customHeight="1" x14ac:dyDescent="0.2">
      <c r="A202" s="427" t="s">
        <v>1022</v>
      </c>
      <c r="B202" s="429">
        <v>4340</v>
      </c>
      <c r="C202" s="1618">
        <v>0</v>
      </c>
      <c r="D202" s="1561">
        <v>0</v>
      </c>
      <c r="E202" s="1563"/>
      <c r="F202" s="1561">
        <v>0</v>
      </c>
      <c r="G202" s="1561">
        <v>0</v>
      </c>
      <c r="H202" s="1563"/>
      <c r="I202" s="1563"/>
      <c r="J202" s="1563"/>
      <c r="K202" s="1563"/>
    </row>
    <row r="203" spans="1:11" ht="12.75" customHeight="1" x14ac:dyDescent="0.2">
      <c r="A203" s="427" t="s">
        <v>72</v>
      </c>
      <c r="B203" s="429">
        <v>4399</v>
      </c>
      <c r="C203" s="1618">
        <v>0</v>
      </c>
      <c r="D203" s="1561">
        <v>0</v>
      </c>
      <c r="E203" s="1563"/>
      <c r="F203" s="1561">
        <v>0</v>
      </c>
      <c r="G203" s="1561">
        <v>0</v>
      </c>
      <c r="H203" s="1563"/>
      <c r="I203" s="1563"/>
      <c r="J203" s="1563"/>
      <c r="K203" s="1563"/>
    </row>
    <row r="204" spans="1:11" ht="12.75" customHeight="1" thickBot="1" x14ac:dyDescent="0.25">
      <c r="A204" s="1399" t="s">
        <v>396</v>
      </c>
      <c r="B204" s="1400"/>
      <c r="C204" s="1619">
        <f>SUM(C200:C203)</f>
        <v>20995</v>
      </c>
      <c r="D204" s="1619">
        <f>SUM(D200:D203)</f>
        <v>0</v>
      </c>
      <c r="E204" s="1563"/>
      <c r="F204" s="1619">
        <f>SUM(F200:F203)</f>
        <v>0</v>
      </c>
      <c r="G204" s="1619">
        <f>SUM(G200:G203)</f>
        <v>0</v>
      </c>
      <c r="H204" s="1563"/>
      <c r="I204" s="1563"/>
      <c r="J204" s="1563"/>
      <c r="K204" s="1563"/>
    </row>
    <row r="205" spans="1:11" ht="15.75" customHeight="1" thickTop="1" x14ac:dyDescent="0.2">
      <c r="A205" s="1331" t="s">
        <v>1127</v>
      </c>
      <c r="B205" s="1336"/>
      <c r="C205" s="1620"/>
      <c r="D205" s="1620"/>
      <c r="E205" s="1563"/>
      <c r="F205" s="1620"/>
      <c r="G205" s="1620"/>
      <c r="H205" s="1563"/>
      <c r="I205" s="1563"/>
      <c r="J205" s="1563"/>
      <c r="K205" s="1563"/>
    </row>
    <row r="206" spans="1:11" ht="12.75" customHeight="1" x14ac:dyDescent="0.2">
      <c r="A206" s="427" t="s">
        <v>752</v>
      </c>
      <c r="B206" s="429">
        <v>4400</v>
      </c>
      <c r="C206" s="1618">
        <v>0</v>
      </c>
      <c r="D206" s="1561">
        <v>0</v>
      </c>
      <c r="E206" s="1563"/>
      <c r="F206" s="1561">
        <v>0</v>
      </c>
      <c r="G206" s="1561">
        <v>0</v>
      </c>
      <c r="H206" s="1563"/>
      <c r="I206" s="1563"/>
      <c r="J206" s="1563"/>
      <c r="K206" s="1563"/>
    </row>
    <row r="207" spans="1:11" ht="12.75" customHeight="1" x14ac:dyDescent="0.2">
      <c r="A207" s="427" t="s">
        <v>1432</v>
      </c>
      <c r="B207" s="429">
        <v>4421</v>
      </c>
      <c r="C207" s="1618">
        <v>0</v>
      </c>
      <c r="D207" s="1561">
        <v>0</v>
      </c>
      <c r="E207" s="1563"/>
      <c r="F207" s="1561">
        <v>0</v>
      </c>
      <c r="G207" s="1561">
        <v>0</v>
      </c>
      <c r="H207" s="1563"/>
      <c r="I207" s="1563"/>
      <c r="J207" s="1563"/>
      <c r="K207" s="1563"/>
    </row>
    <row r="208" spans="1:11" ht="12.75" customHeight="1" x14ac:dyDescent="0.2">
      <c r="A208" s="427" t="s">
        <v>73</v>
      </c>
      <c r="B208" s="429">
        <v>4499</v>
      </c>
      <c r="C208" s="1618">
        <v>0</v>
      </c>
      <c r="D208" s="1561">
        <v>0</v>
      </c>
      <c r="E208" s="1563"/>
      <c r="F208" s="1561">
        <v>0</v>
      </c>
      <c r="G208" s="1561">
        <v>0</v>
      </c>
      <c r="H208" s="1563"/>
      <c r="I208" s="1563"/>
      <c r="J208" s="1563"/>
      <c r="K208" s="1563"/>
    </row>
    <row r="209" spans="1:11" ht="12.75" customHeight="1" thickBot="1" x14ac:dyDescent="0.25">
      <c r="A209" s="1399" t="s">
        <v>881</v>
      </c>
      <c r="B209" s="1400"/>
      <c r="C209" s="1619">
        <f>SUM(C206:C208)</f>
        <v>0</v>
      </c>
      <c r="D209" s="1619">
        <f>SUM(D206:D208)</f>
        <v>0</v>
      </c>
      <c r="E209" s="1563" t="s">
        <v>1157</v>
      </c>
      <c r="F209" s="1619">
        <f>SUM(F206:F208)</f>
        <v>0</v>
      </c>
      <c r="G209" s="1619">
        <f>SUM(G206:G208)</f>
        <v>0</v>
      </c>
      <c r="H209" s="1563"/>
      <c r="I209" s="1563"/>
      <c r="J209" s="1563"/>
      <c r="K209" s="1563"/>
    </row>
    <row r="210" spans="1:11" ht="15.75" customHeight="1" thickTop="1" x14ac:dyDescent="0.2">
      <c r="A210" s="1331" t="s">
        <v>1081</v>
      </c>
      <c r="B210" s="1336"/>
      <c r="C210" s="1620"/>
      <c r="D210" s="1620"/>
      <c r="E210" s="1563"/>
      <c r="F210" s="1620"/>
      <c r="G210" s="1620"/>
      <c r="H210" s="1563"/>
      <c r="I210" s="1563"/>
      <c r="J210" s="1563"/>
      <c r="K210" s="1563"/>
    </row>
    <row r="211" spans="1:11" ht="12.75" customHeight="1" x14ac:dyDescent="0.2">
      <c r="A211" s="427" t="s">
        <v>1041</v>
      </c>
      <c r="B211" s="429">
        <v>4600</v>
      </c>
      <c r="C211" s="1618">
        <v>11999</v>
      </c>
      <c r="D211" s="1561">
        <v>0</v>
      </c>
      <c r="E211" s="1563"/>
      <c r="F211" s="1561">
        <v>0</v>
      </c>
      <c r="G211" s="1561">
        <v>0</v>
      </c>
      <c r="H211" s="1563"/>
      <c r="I211" s="1563"/>
      <c r="J211" s="1563"/>
      <c r="K211" s="1563"/>
    </row>
    <row r="212" spans="1:11" ht="12.75" customHeight="1" x14ac:dyDescent="0.2">
      <c r="A212" s="427" t="s">
        <v>1042</v>
      </c>
      <c r="B212" s="429">
        <v>4605</v>
      </c>
      <c r="C212" s="1618">
        <v>0</v>
      </c>
      <c r="D212" s="1561">
        <v>0</v>
      </c>
      <c r="E212" s="1563"/>
      <c r="F212" s="1561">
        <v>0</v>
      </c>
      <c r="G212" s="1561">
        <v>0</v>
      </c>
      <c r="H212" s="1563"/>
      <c r="I212" s="1563"/>
      <c r="J212" s="1563"/>
      <c r="K212" s="1563"/>
    </row>
    <row r="213" spans="1:11" ht="12.75" customHeight="1" x14ac:dyDescent="0.2">
      <c r="A213" s="427" t="s">
        <v>1433</v>
      </c>
      <c r="B213" s="475">
        <v>4620</v>
      </c>
      <c r="C213" s="1618">
        <v>326401</v>
      </c>
      <c r="D213" s="1561">
        <v>0</v>
      </c>
      <c r="E213" s="1563"/>
      <c r="F213" s="1561">
        <v>0</v>
      </c>
      <c r="G213" s="1561">
        <v>0</v>
      </c>
      <c r="H213" s="1563"/>
      <c r="I213" s="1563"/>
      <c r="J213" s="1563"/>
      <c r="K213" s="1563"/>
    </row>
    <row r="214" spans="1:11" ht="12.75" customHeight="1" x14ac:dyDescent="0.2">
      <c r="A214" s="427" t="s">
        <v>1043</v>
      </c>
      <c r="B214" s="429">
        <v>4625</v>
      </c>
      <c r="C214" s="1618">
        <v>0</v>
      </c>
      <c r="D214" s="1561">
        <v>0</v>
      </c>
      <c r="E214" s="1563"/>
      <c r="F214" s="1561">
        <v>0</v>
      </c>
      <c r="G214" s="1561">
        <v>0</v>
      </c>
      <c r="H214" s="1563"/>
      <c r="I214" s="1563"/>
      <c r="J214" s="1563"/>
      <c r="K214" s="1563"/>
    </row>
    <row r="215" spans="1:11" ht="12.75" customHeight="1" x14ac:dyDescent="0.2">
      <c r="A215" s="427" t="s">
        <v>1044</v>
      </c>
      <c r="B215" s="429">
        <v>4630</v>
      </c>
      <c r="C215" s="1618">
        <v>0</v>
      </c>
      <c r="D215" s="1561">
        <v>0</v>
      </c>
      <c r="E215" s="1563"/>
      <c r="F215" s="1561">
        <v>0</v>
      </c>
      <c r="G215" s="1561">
        <v>0</v>
      </c>
      <c r="H215" s="1563"/>
      <c r="I215" s="1563"/>
      <c r="J215" s="1563"/>
      <c r="K215" s="1563"/>
    </row>
    <row r="216" spans="1:11" ht="12.75" customHeight="1" x14ac:dyDescent="0.2">
      <c r="A216" s="1264" t="s">
        <v>74</v>
      </c>
      <c r="B216" s="475">
        <v>4699</v>
      </c>
      <c r="C216" s="1618">
        <v>0</v>
      </c>
      <c r="D216" s="1561">
        <v>0</v>
      </c>
      <c r="E216" s="1563"/>
      <c r="F216" s="1561">
        <v>0</v>
      </c>
      <c r="G216" s="1561">
        <v>0</v>
      </c>
      <c r="H216" s="1563"/>
      <c r="I216" s="1563"/>
      <c r="J216" s="1563"/>
      <c r="K216" s="1563"/>
    </row>
    <row r="217" spans="1:11" ht="12.75" customHeight="1" thickBot="1" x14ac:dyDescent="0.25">
      <c r="A217" s="1399" t="s">
        <v>443</v>
      </c>
      <c r="B217" s="1400"/>
      <c r="C217" s="1619">
        <f>SUM(C211:C216)</f>
        <v>338400</v>
      </c>
      <c r="D217" s="1619">
        <f>SUM(D211:D216)</f>
        <v>0</v>
      </c>
      <c r="E217" s="1563"/>
      <c r="F217" s="1619">
        <f>SUM(F211:F216)</f>
        <v>0</v>
      </c>
      <c r="G217" s="1619">
        <f>SUM(G211:G216)</f>
        <v>0</v>
      </c>
      <c r="H217" s="1563"/>
      <c r="I217" s="1563"/>
      <c r="J217" s="1563"/>
      <c r="K217" s="1563"/>
    </row>
    <row r="218" spans="1:11" ht="15.75" customHeight="1" thickTop="1" x14ac:dyDescent="0.2">
      <c r="A218" s="1331" t="s">
        <v>1082</v>
      </c>
      <c r="B218" s="1336"/>
      <c r="C218" s="1620"/>
      <c r="D218" s="1620"/>
      <c r="E218" s="1563"/>
      <c r="F218" s="1620"/>
      <c r="G218" s="1620"/>
      <c r="H218" s="1563"/>
      <c r="I218" s="1563"/>
      <c r="J218" s="1563"/>
      <c r="K218" s="1563"/>
    </row>
    <row r="219" spans="1:11" ht="12.75" customHeight="1" x14ac:dyDescent="0.2">
      <c r="A219" s="427" t="s">
        <v>780</v>
      </c>
      <c r="B219" s="429">
        <v>4770</v>
      </c>
      <c r="C219" s="1618">
        <v>0</v>
      </c>
      <c r="D219" s="1561">
        <v>0</v>
      </c>
      <c r="E219" s="1563"/>
      <c r="F219" s="1563"/>
      <c r="G219" s="1561">
        <v>0</v>
      </c>
      <c r="H219" s="1563"/>
      <c r="I219" s="1563"/>
      <c r="J219" s="1563"/>
      <c r="K219" s="1563"/>
    </row>
    <row r="220" spans="1:11" ht="12.75" customHeight="1" x14ac:dyDescent="0.2">
      <c r="A220" s="427" t="s">
        <v>67</v>
      </c>
      <c r="B220" s="429">
        <v>4799</v>
      </c>
      <c r="C220" s="1618">
        <v>0</v>
      </c>
      <c r="D220" s="1561">
        <v>0</v>
      </c>
      <c r="E220" s="1563"/>
      <c r="F220" s="1563"/>
      <c r="G220" s="1561">
        <v>0</v>
      </c>
      <c r="H220" s="1563"/>
      <c r="I220" s="1563"/>
      <c r="J220" s="1563"/>
      <c r="K220" s="1563"/>
    </row>
    <row r="221" spans="1:11" ht="12.75" customHeight="1" thickBot="1" x14ac:dyDescent="0.25">
      <c r="A221" s="1408" t="s">
        <v>1074</v>
      </c>
      <c r="B221" s="1409"/>
      <c r="C221" s="1619">
        <f>SUM(C219:C220)</f>
        <v>0</v>
      </c>
      <c r="D221" s="1619">
        <f>SUM(D219:D220)</f>
        <v>0</v>
      </c>
      <c r="E221" s="1563"/>
      <c r="F221" s="1563"/>
      <c r="G221" s="1619">
        <f>SUM(G219:G220)</f>
        <v>0</v>
      </c>
      <c r="H221" s="1563"/>
      <c r="I221" s="1563"/>
      <c r="J221" s="1563"/>
      <c r="K221" s="1563"/>
    </row>
    <row r="222" spans="1:11" ht="12.75" customHeight="1" thickTop="1" thickBot="1" x14ac:dyDescent="0.25">
      <c r="A222" s="436" t="s">
        <v>750</v>
      </c>
      <c r="B222" s="435">
        <v>4810</v>
      </c>
      <c r="C222" s="1636">
        <v>0</v>
      </c>
      <c r="D222" s="1637">
        <v>0</v>
      </c>
      <c r="E222" s="1563"/>
      <c r="F222" s="1563"/>
      <c r="G222" s="1637">
        <v>0</v>
      </c>
      <c r="H222" s="1563"/>
      <c r="I222" s="1563"/>
      <c r="J222" s="1563"/>
      <c r="K222" s="1563"/>
    </row>
    <row r="223" spans="1:11" ht="12.75" customHeight="1" thickTop="1" x14ac:dyDescent="0.2">
      <c r="A223" s="436" t="s">
        <v>346</v>
      </c>
      <c r="B223" s="435">
        <v>4850</v>
      </c>
      <c r="C223" s="1584">
        <v>0</v>
      </c>
      <c r="D223" s="1562">
        <v>0</v>
      </c>
      <c r="E223" s="1562">
        <v>0</v>
      </c>
      <c r="F223" s="1562">
        <v>0</v>
      </c>
      <c r="G223" s="1562">
        <v>0</v>
      </c>
      <c r="H223" s="1562">
        <v>0</v>
      </c>
      <c r="I223" s="1563"/>
      <c r="J223" s="1562">
        <v>0</v>
      </c>
      <c r="K223" s="1562">
        <v>0</v>
      </c>
    </row>
    <row r="224" spans="1:11" ht="12.75" customHeight="1" x14ac:dyDescent="0.2">
      <c r="A224" s="436" t="s">
        <v>347</v>
      </c>
      <c r="B224" s="435">
        <v>4851</v>
      </c>
      <c r="C224" s="1584">
        <v>0</v>
      </c>
      <c r="D224" s="1562">
        <v>0</v>
      </c>
      <c r="E224" s="1563"/>
      <c r="F224" s="1567">
        <v>0</v>
      </c>
      <c r="G224" s="1562">
        <v>0</v>
      </c>
      <c r="H224" s="1563"/>
      <c r="I224" s="1563"/>
      <c r="J224" s="1563"/>
      <c r="K224" s="1563"/>
    </row>
    <row r="225" spans="1:11" ht="12.75" customHeight="1" x14ac:dyDescent="0.2">
      <c r="A225" s="436" t="s">
        <v>348</v>
      </c>
      <c r="B225" s="435">
        <v>4852</v>
      </c>
      <c r="C225" s="1584">
        <v>0</v>
      </c>
      <c r="D225" s="1562">
        <v>0</v>
      </c>
      <c r="E225" s="1562">
        <v>0</v>
      </c>
      <c r="F225" s="1562">
        <v>0</v>
      </c>
      <c r="G225" s="1562">
        <v>0</v>
      </c>
      <c r="H225" s="1562">
        <v>0</v>
      </c>
      <c r="I225" s="1563"/>
      <c r="J225" s="1562">
        <v>0</v>
      </c>
      <c r="K225" s="1562">
        <v>0</v>
      </c>
    </row>
    <row r="226" spans="1:11" ht="12.75" customHeight="1" x14ac:dyDescent="0.2">
      <c r="A226" s="436" t="s">
        <v>349</v>
      </c>
      <c r="B226" s="435">
        <v>4853</v>
      </c>
      <c r="C226" s="1584">
        <v>0</v>
      </c>
      <c r="D226" s="1562">
        <v>0</v>
      </c>
      <c r="E226" s="1562">
        <v>0</v>
      </c>
      <c r="F226" s="1562">
        <v>0</v>
      </c>
      <c r="G226" s="1562">
        <v>0</v>
      </c>
      <c r="H226" s="1562">
        <v>0</v>
      </c>
      <c r="I226" s="1563"/>
      <c r="J226" s="1562">
        <v>0</v>
      </c>
      <c r="K226" s="1562">
        <v>0</v>
      </c>
    </row>
    <row r="227" spans="1:11" ht="12.75" customHeight="1" x14ac:dyDescent="0.2">
      <c r="A227" s="436" t="s">
        <v>350</v>
      </c>
      <c r="B227" s="435">
        <v>4854</v>
      </c>
      <c r="C227" s="1584">
        <v>0</v>
      </c>
      <c r="D227" s="1562">
        <v>0</v>
      </c>
      <c r="E227" s="1562">
        <v>0</v>
      </c>
      <c r="F227" s="1562">
        <v>0</v>
      </c>
      <c r="G227" s="1562">
        <v>0</v>
      </c>
      <c r="H227" s="1562">
        <v>0</v>
      </c>
      <c r="I227" s="1563"/>
      <c r="J227" s="1562">
        <v>0</v>
      </c>
      <c r="K227" s="1562">
        <v>0</v>
      </c>
    </row>
    <row r="228" spans="1:11" ht="12.75" customHeight="1" x14ac:dyDescent="0.2">
      <c r="A228" s="436" t="s">
        <v>460</v>
      </c>
      <c r="B228" s="435">
        <v>4855</v>
      </c>
      <c r="C228" s="1584">
        <v>0</v>
      </c>
      <c r="D228" s="1562">
        <v>0</v>
      </c>
      <c r="E228" s="1562">
        <v>0</v>
      </c>
      <c r="F228" s="1562">
        <v>0</v>
      </c>
      <c r="G228" s="1562">
        <v>0</v>
      </c>
      <c r="H228" s="1562">
        <v>0</v>
      </c>
      <c r="I228" s="1563"/>
      <c r="J228" s="1562">
        <v>0</v>
      </c>
      <c r="K228" s="1562">
        <v>0</v>
      </c>
    </row>
    <row r="229" spans="1:11" ht="12.75" customHeight="1" x14ac:dyDescent="0.2">
      <c r="A229" s="436" t="s">
        <v>351</v>
      </c>
      <c r="B229" s="435">
        <v>4856</v>
      </c>
      <c r="C229" s="1584">
        <v>0</v>
      </c>
      <c r="D229" s="1562">
        <v>0</v>
      </c>
      <c r="E229" s="1562">
        <v>0</v>
      </c>
      <c r="F229" s="1562">
        <v>0</v>
      </c>
      <c r="G229" s="1562">
        <v>0</v>
      </c>
      <c r="H229" s="1562">
        <v>0</v>
      </c>
      <c r="I229" s="1563"/>
      <c r="J229" s="1562">
        <v>0</v>
      </c>
      <c r="K229" s="1562">
        <v>0</v>
      </c>
    </row>
    <row r="230" spans="1:11" ht="12.75" customHeight="1" x14ac:dyDescent="0.2">
      <c r="A230" s="436" t="s">
        <v>352</v>
      </c>
      <c r="B230" s="435">
        <v>4857</v>
      </c>
      <c r="C230" s="1584">
        <v>0</v>
      </c>
      <c r="D230" s="1562">
        <v>0</v>
      </c>
      <c r="E230" s="1562">
        <v>0</v>
      </c>
      <c r="F230" s="1562">
        <v>0</v>
      </c>
      <c r="G230" s="1562">
        <v>0</v>
      </c>
      <c r="H230" s="1562">
        <v>0</v>
      </c>
      <c r="I230" s="1563"/>
      <c r="J230" s="1562">
        <v>0</v>
      </c>
      <c r="K230" s="1562">
        <v>0</v>
      </c>
    </row>
    <row r="231" spans="1:11" ht="12.75" customHeight="1" x14ac:dyDescent="0.2">
      <c r="A231" s="436" t="s">
        <v>353</v>
      </c>
      <c r="B231" s="435">
        <v>4860</v>
      </c>
      <c r="C231" s="1584">
        <v>0</v>
      </c>
      <c r="D231" s="1562">
        <v>0</v>
      </c>
      <c r="E231" s="1562">
        <v>0</v>
      </c>
      <c r="F231" s="1562">
        <v>0</v>
      </c>
      <c r="G231" s="1562">
        <v>0</v>
      </c>
      <c r="H231" s="1562">
        <v>0</v>
      </c>
      <c r="I231" s="1563"/>
      <c r="J231" s="1562">
        <v>0</v>
      </c>
      <c r="K231" s="1562">
        <v>0</v>
      </c>
    </row>
    <row r="232" spans="1:11" ht="12.75" customHeight="1" x14ac:dyDescent="0.2">
      <c r="A232" s="436" t="s">
        <v>354</v>
      </c>
      <c r="B232" s="435">
        <v>4861</v>
      </c>
      <c r="C232" s="1584">
        <v>0</v>
      </c>
      <c r="D232" s="1562">
        <v>0</v>
      </c>
      <c r="E232" s="1562">
        <v>0</v>
      </c>
      <c r="F232" s="1562">
        <v>0</v>
      </c>
      <c r="G232" s="1562">
        <v>0</v>
      </c>
      <c r="H232" s="1562">
        <v>0</v>
      </c>
      <c r="I232" s="1563"/>
      <c r="J232" s="1562">
        <v>0</v>
      </c>
      <c r="K232" s="1562">
        <v>0</v>
      </c>
    </row>
    <row r="233" spans="1:11" ht="12.75" customHeight="1" x14ac:dyDescent="0.2">
      <c r="A233" s="436" t="s">
        <v>355</v>
      </c>
      <c r="B233" s="435">
        <v>4862</v>
      </c>
      <c r="C233" s="1584">
        <v>0</v>
      </c>
      <c r="D233" s="1562">
        <v>0</v>
      </c>
      <c r="E233" s="1568"/>
      <c r="F233" s="1562">
        <v>0</v>
      </c>
      <c r="G233" s="1562">
        <v>0</v>
      </c>
      <c r="H233" s="1568"/>
      <c r="I233" s="1563"/>
      <c r="J233" s="1568"/>
      <c r="K233" s="1568"/>
    </row>
    <row r="234" spans="1:11" ht="12.75" customHeight="1" x14ac:dyDescent="0.2">
      <c r="A234" s="436" t="s">
        <v>356</v>
      </c>
      <c r="B234" s="435">
        <v>4863</v>
      </c>
      <c r="C234" s="1584">
        <v>0</v>
      </c>
      <c r="D234" s="1562">
        <v>0</v>
      </c>
      <c r="E234" s="1563"/>
      <c r="F234" s="1568"/>
      <c r="G234" s="1609"/>
      <c r="H234" s="1563"/>
      <c r="I234" s="1563"/>
      <c r="J234" s="1563"/>
      <c r="K234" s="1563"/>
    </row>
    <row r="235" spans="1:11" ht="12.75" customHeight="1" x14ac:dyDescent="0.2">
      <c r="A235" s="436" t="s">
        <v>465</v>
      </c>
      <c r="B235" s="435">
        <v>4864</v>
      </c>
      <c r="C235" s="1584">
        <v>0</v>
      </c>
      <c r="D235" s="1562">
        <v>0</v>
      </c>
      <c r="E235" s="1562">
        <v>0</v>
      </c>
      <c r="F235" s="1562">
        <v>0</v>
      </c>
      <c r="G235" s="1562">
        <v>0</v>
      </c>
      <c r="H235" s="1562">
        <v>0</v>
      </c>
      <c r="I235" s="1563"/>
      <c r="J235" s="1562">
        <v>0</v>
      </c>
      <c r="K235" s="1562">
        <v>0</v>
      </c>
    </row>
    <row r="236" spans="1:11" ht="12.75" customHeight="1" x14ac:dyDescent="0.2">
      <c r="A236" s="436" t="s">
        <v>466</v>
      </c>
      <c r="B236" s="435">
        <v>4865</v>
      </c>
      <c r="C236" s="1584">
        <v>0</v>
      </c>
      <c r="D236" s="1562">
        <v>0</v>
      </c>
      <c r="E236" s="1562">
        <v>0</v>
      </c>
      <c r="F236" s="1562">
        <v>0</v>
      </c>
      <c r="G236" s="1562">
        <v>0</v>
      </c>
      <c r="H236" s="1562">
        <v>0</v>
      </c>
      <c r="I236" s="1563"/>
      <c r="J236" s="1562">
        <v>0</v>
      </c>
      <c r="K236" s="1562">
        <v>0</v>
      </c>
    </row>
    <row r="237" spans="1:11" ht="12.75" customHeight="1" x14ac:dyDescent="0.2">
      <c r="A237" s="436" t="s">
        <v>464</v>
      </c>
      <c r="B237" s="435">
        <v>4866</v>
      </c>
      <c r="C237" s="1584">
        <v>0</v>
      </c>
      <c r="D237" s="1562">
        <v>0</v>
      </c>
      <c r="E237" s="1562">
        <v>0</v>
      </c>
      <c r="F237" s="1562">
        <v>0</v>
      </c>
      <c r="G237" s="1562">
        <v>0</v>
      </c>
      <c r="H237" s="1562">
        <v>0</v>
      </c>
      <c r="I237" s="1563"/>
      <c r="J237" s="1562">
        <v>0</v>
      </c>
      <c r="K237" s="1562">
        <v>0</v>
      </c>
    </row>
    <row r="238" spans="1:11" ht="12.75" customHeight="1" x14ac:dyDescent="0.2">
      <c r="A238" s="436" t="s">
        <v>463</v>
      </c>
      <c r="B238" s="435">
        <v>4867</v>
      </c>
      <c r="C238" s="1584">
        <v>0</v>
      </c>
      <c r="D238" s="1562">
        <v>0</v>
      </c>
      <c r="E238" s="1562">
        <v>0</v>
      </c>
      <c r="F238" s="1562">
        <v>0</v>
      </c>
      <c r="G238" s="1562">
        <v>0</v>
      </c>
      <c r="H238" s="1562">
        <v>0</v>
      </c>
      <c r="I238" s="1563"/>
      <c r="J238" s="1562">
        <v>0</v>
      </c>
      <c r="K238" s="1562">
        <v>0</v>
      </c>
    </row>
    <row r="239" spans="1:11" ht="12.75" customHeight="1" x14ac:dyDescent="0.2">
      <c r="A239" s="436" t="s">
        <v>462</v>
      </c>
      <c r="B239" s="435">
        <v>4868</v>
      </c>
      <c r="C239" s="1584">
        <v>0</v>
      </c>
      <c r="D239" s="1562">
        <v>0</v>
      </c>
      <c r="E239" s="1562">
        <v>0</v>
      </c>
      <c r="F239" s="1562">
        <v>0</v>
      </c>
      <c r="G239" s="1562">
        <v>0</v>
      </c>
      <c r="H239" s="1562">
        <v>0</v>
      </c>
      <c r="I239" s="1563"/>
      <c r="J239" s="1562">
        <v>0</v>
      </c>
      <c r="K239" s="1562">
        <v>0</v>
      </c>
    </row>
    <row r="240" spans="1:11" ht="12.75" customHeight="1" x14ac:dyDescent="0.2">
      <c r="A240" s="436" t="s">
        <v>461</v>
      </c>
      <c r="B240" s="435">
        <v>4869</v>
      </c>
      <c r="C240" s="1584">
        <v>0</v>
      </c>
      <c r="D240" s="1562">
        <v>0</v>
      </c>
      <c r="E240" s="1562">
        <v>0</v>
      </c>
      <c r="F240" s="1562">
        <v>0</v>
      </c>
      <c r="G240" s="1562">
        <v>0</v>
      </c>
      <c r="H240" s="1562">
        <v>0</v>
      </c>
      <c r="I240" s="1563"/>
      <c r="J240" s="1562">
        <v>0</v>
      </c>
      <c r="K240" s="1562">
        <v>0</v>
      </c>
    </row>
    <row r="241" spans="1:11" ht="12.75" customHeight="1" x14ac:dyDescent="0.2">
      <c r="A241" s="436" t="s">
        <v>1116</v>
      </c>
      <c r="B241" s="435">
        <v>4870</v>
      </c>
      <c r="C241" s="1584">
        <v>0</v>
      </c>
      <c r="D241" s="1562">
        <v>0</v>
      </c>
      <c r="E241" s="1562">
        <v>0</v>
      </c>
      <c r="F241" s="1562">
        <v>0</v>
      </c>
      <c r="G241" s="1562">
        <v>0</v>
      </c>
      <c r="H241" s="1562">
        <v>0</v>
      </c>
      <c r="I241" s="1563"/>
      <c r="J241" s="1562">
        <v>0</v>
      </c>
      <c r="K241" s="1562">
        <v>0</v>
      </c>
    </row>
    <row r="242" spans="1:11" ht="12.75" customHeight="1" x14ac:dyDescent="0.2">
      <c r="A242" s="436" t="s">
        <v>781</v>
      </c>
      <c r="B242" s="435">
        <v>4871</v>
      </c>
      <c r="C242" s="1584">
        <v>0</v>
      </c>
      <c r="D242" s="1562">
        <v>0</v>
      </c>
      <c r="E242" s="1562">
        <v>0</v>
      </c>
      <c r="F242" s="1562">
        <v>0</v>
      </c>
      <c r="G242" s="1562">
        <v>0</v>
      </c>
      <c r="H242" s="1562">
        <v>0</v>
      </c>
      <c r="I242" s="1563"/>
      <c r="J242" s="1562">
        <v>0</v>
      </c>
      <c r="K242" s="1562">
        <v>0</v>
      </c>
    </row>
    <row r="243" spans="1:11" ht="12.75" customHeight="1" x14ac:dyDescent="0.2">
      <c r="A243" s="436" t="s">
        <v>782</v>
      </c>
      <c r="B243" s="435">
        <v>4872</v>
      </c>
      <c r="C243" s="1584">
        <v>0</v>
      </c>
      <c r="D243" s="1562">
        <v>0</v>
      </c>
      <c r="E243" s="1562">
        <v>0</v>
      </c>
      <c r="F243" s="1562">
        <v>0</v>
      </c>
      <c r="G243" s="1562">
        <v>0</v>
      </c>
      <c r="H243" s="1562">
        <v>0</v>
      </c>
      <c r="I243" s="1563"/>
      <c r="J243" s="1562">
        <v>0</v>
      </c>
      <c r="K243" s="1562">
        <v>0</v>
      </c>
    </row>
    <row r="244" spans="1:11" ht="12.75" customHeight="1" x14ac:dyDescent="0.2">
      <c r="A244" s="436" t="s">
        <v>783</v>
      </c>
      <c r="B244" s="435">
        <v>4873</v>
      </c>
      <c r="C244" s="1584">
        <v>0</v>
      </c>
      <c r="D244" s="1562">
        <v>0</v>
      </c>
      <c r="E244" s="1562">
        <v>0</v>
      </c>
      <c r="F244" s="1562">
        <v>0</v>
      </c>
      <c r="G244" s="1562">
        <v>0</v>
      </c>
      <c r="H244" s="1562">
        <v>0</v>
      </c>
      <c r="I244" s="1563"/>
      <c r="J244" s="1562">
        <v>0</v>
      </c>
      <c r="K244" s="1562">
        <v>0</v>
      </c>
    </row>
    <row r="245" spans="1:11" ht="12.75" customHeight="1" x14ac:dyDescent="0.2">
      <c r="A245" s="436" t="s">
        <v>784</v>
      </c>
      <c r="B245" s="435">
        <v>4874</v>
      </c>
      <c r="C245" s="1584">
        <v>0</v>
      </c>
      <c r="D245" s="1562">
        <v>0</v>
      </c>
      <c r="E245" s="1562">
        <v>0</v>
      </c>
      <c r="F245" s="1562">
        <v>0</v>
      </c>
      <c r="G245" s="1562">
        <v>0</v>
      </c>
      <c r="H245" s="1562">
        <v>0</v>
      </c>
      <c r="I245" s="1563"/>
      <c r="J245" s="1562">
        <v>0</v>
      </c>
      <c r="K245" s="1562">
        <v>0</v>
      </c>
    </row>
    <row r="246" spans="1:11" ht="12.75" customHeight="1" x14ac:dyDescent="0.2">
      <c r="A246" s="436" t="s">
        <v>467</v>
      </c>
      <c r="B246" s="435">
        <v>4875</v>
      </c>
      <c r="C246" s="1584">
        <v>0</v>
      </c>
      <c r="D246" s="1562">
        <v>0</v>
      </c>
      <c r="E246" s="1562">
        <v>0</v>
      </c>
      <c r="F246" s="1562">
        <v>0</v>
      </c>
      <c r="G246" s="1562">
        <v>0</v>
      </c>
      <c r="H246" s="1562">
        <v>0</v>
      </c>
      <c r="I246" s="1563"/>
      <c r="J246" s="1562">
        <v>0</v>
      </c>
      <c r="K246" s="1562">
        <v>0</v>
      </c>
    </row>
    <row r="247" spans="1:11" ht="12.75" customHeight="1" x14ac:dyDescent="0.2">
      <c r="A247" s="436" t="s">
        <v>763</v>
      </c>
      <c r="B247" s="435">
        <v>4876</v>
      </c>
      <c r="C247" s="1584">
        <v>0</v>
      </c>
      <c r="D247" s="1562">
        <v>0</v>
      </c>
      <c r="E247" s="1562">
        <v>0</v>
      </c>
      <c r="F247" s="1562">
        <v>0</v>
      </c>
      <c r="G247" s="1562">
        <v>0</v>
      </c>
      <c r="H247" s="1562">
        <v>0</v>
      </c>
      <c r="I247" s="1563"/>
      <c r="J247" s="1562">
        <v>0</v>
      </c>
      <c r="K247" s="1562">
        <v>0</v>
      </c>
    </row>
    <row r="248" spans="1:11" ht="12.75" customHeight="1" x14ac:dyDescent="0.2">
      <c r="A248" s="436" t="s">
        <v>764</v>
      </c>
      <c r="B248" s="435">
        <v>4877</v>
      </c>
      <c r="C248" s="1584">
        <v>0</v>
      </c>
      <c r="D248" s="1562">
        <v>0</v>
      </c>
      <c r="E248" s="1562">
        <v>0</v>
      </c>
      <c r="F248" s="1562">
        <v>0</v>
      </c>
      <c r="G248" s="1562">
        <v>0</v>
      </c>
      <c r="H248" s="1562">
        <v>0</v>
      </c>
      <c r="I248" s="1563"/>
      <c r="J248" s="1562">
        <v>0</v>
      </c>
      <c r="K248" s="1562">
        <v>0</v>
      </c>
    </row>
    <row r="249" spans="1:11" ht="12.75" customHeight="1" x14ac:dyDescent="0.2">
      <c r="A249" s="436" t="s">
        <v>765</v>
      </c>
      <c r="B249" s="435">
        <v>4878</v>
      </c>
      <c r="C249" s="1584">
        <v>0</v>
      </c>
      <c r="D249" s="1562">
        <v>0</v>
      </c>
      <c r="E249" s="1562">
        <v>0</v>
      </c>
      <c r="F249" s="1562">
        <v>0</v>
      </c>
      <c r="G249" s="1562">
        <v>0</v>
      </c>
      <c r="H249" s="1562">
        <v>0</v>
      </c>
      <c r="I249" s="1563"/>
      <c r="J249" s="1562">
        <v>0</v>
      </c>
      <c r="K249" s="1562">
        <v>0</v>
      </c>
    </row>
    <row r="250" spans="1:11" ht="12.75" customHeight="1" x14ac:dyDescent="0.2">
      <c r="A250" s="436" t="s">
        <v>766</v>
      </c>
      <c r="B250" s="435">
        <v>4879</v>
      </c>
      <c r="C250" s="1584">
        <v>0</v>
      </c>
      <c r="D250" s="1562">
        <v>0</v>
      </c>
      <c r="E250" s="1562">
        <v>0</v>
      </c>
      <c r="F250" s="1562">
        <v>0</v>
      </c>
      <c r="G250" s="1562">
        <v>0</v>
      </c>
      <c r="H250" s="1562">
        <v>0</v>
      </c>
      <c r="I250" s="1563"/>
      <c r="J250" s="1562">
        <v>0</v>
      </c>
      <c r="K250" s="1562">
        <v>0</v>
      </c>
    </row>
    <row r="251" spans="1:11" ht="12.75" customHeight="1" x14ac:dyDescent="0.2">
      <c r="A251" s="220" t="s">
        <v>1434</v>
      </c>
      <c r="B251" s="486">
        <v>4880</v>
      </c>
      <c r="C251" s="1584">
        <v>0</v>
      </c>
      <c r="D251" s="1562">
        <v>0</v>
      </c>
      <c r="E251" s="1562">
        <v>0</v>
      </c>
      <c r="F251" s="1562">
        <v>0</v>
      </c>
      <c r="G251" s="1562">
        <v>0</v>
      </c>
      <c r="H251" s="1562">
        <v>0</v>
      </c>
      <c r="I251" s="1563"/>
      <c r="J251" s="1562">
        <v>0</v>
      </c>
      <c r="K251" s="1562">
        <v>0</v>
      </c>
    </row>
    <row r="252" spans="1:11" ht="12.75" customHeight="1" thickBot="1" x14ac:dyDescent="0.25">
      <c r="A252" s="1410" t="s">
        <v>767</v>
      </c>
      <c r="B252" s="1411"/>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1">
        <f>SUM(K223:K251)</f>
        <v>0</v>
      </c>
    </row>
    <row r="253" spans="1:11" ht="12.75" customHeight="1" thickTop="1" thickBot="1" x14ac:dyDescent="0.25">
      <c r="A253" s="1265" t="s">
        <v>1400</v>
      </c>
      <c r="B253" s="487">
        <v>4901</v>
      </c>
      <c r="C253" s="1652">
        <v>0</v>
      </c>
      <c r="D253" s="1564"/>
      <c r="E253" s="1563"/>
      <c r="F253" s="1563"/>
      <c r="G253" s="1563"/>
      <c r="H253" s="1563"/>
      <c r="I253" s="1563"/>
      <c r="J253" s="1563"/>
      <c r="K253" s="1563"/>
    </row>
    <row r="254" spans="1:11" ht="12.75" customHeight="1" thickTop="1" thickBot="1" x14ac:dyDescent="0.25">
      <c r="A254" s="1266" t="s">
        <v>1442</v>
      </c>
      <c r="B254" s="488">
        <v>4902</v>
      </c>
      <c r="C254" s="1653">
        <v>0</v>
      </c>
      <c r="D254" s="1654">
        <v>0</v>
      </c>
      <c r="E254" s="1564"/>
      <c r="F254" s="1654">
        <v>0</v>
      </c>
      <c r="G254" s="1654">
        <v>0</v>
      </c>
      <c r="H254" s="1564"/>
      <c r="I254" s="1563"/>
      <c r="J254" s="1564"/>
      <c r="K254" s="1564"/>
    </row>
    <row r="255" spans="1:11" ht="12.75" customHeight="1" thickTop="1" thickBot="1" x14ac:dyDescent="0.25">
      <c r="A255" s="427" t="s">
        <v>1435</v>
      </c>
      <c r="B255" s="429">
        <v>4905</v>
      </c>
      <c r="C255" s="1635">
        <v>0</v>
      </c>
      <c r="D255" s="1563"/>
      <c r="E255" s="1563"/>
      <c r="F255" s="1639">
        <v>0</v>
      </c>
      <c r="G255" s="1635">
        <v>0</v>
      </c>
      <c r="H255" s="1563"/>
      <c r="I255" s="1563"/>
      <c r="J255" s="1563"/>
      <c r="K255" s="1563"/>
    </row>
    <row r="256" spans="1:11" ht="12.75" customHeight="1" thickTop="1" thickBot="1" x14ac:dyDescent="0.25">
      <c r="A256" s="427" t="s">
        <v>1436</v>
      </c>
      <c r="B256" s="429">
        <v>4909</v>
      </c>
      <c r="C256" s="1637">
        <v>10882</v>
      </c>
      <c r="D256" s="1563"/>
      <c r="E256" s="1563"/>
      <c r="F256" s="1637">
        <v>0</v>
      </c>
      <c r="G256" s="1637">
        <v>0</v>
      </c>
      <c r="H256" s="1563"/>
      <c r="I256" s="1563"/>
      <c r="J256" s="1563"/>
      <c r="K256" s="1563"/>
    </row>
    <row r="257" spans="1:11" ht="12.75" customHeight="1" thickTop="1" thickBot="1" x14ac:dyDescent="0.25">
      <c r="A257" s="427" t="s">
        <v>191</v>
      </c>
      <c r="B257" s="429">
        <v>4920</v>
      </c>
      <c r="C257" s="1637">
        <v>0</v>
      </c>
      <c r="D257" s="1639">
        <v>0</v>
      </c>
      <c r="E257" s="1563"/>
      <c r="F257" s="1635">
        <v>0</v>
      </c>
      <c r="G257" s="1635">
        <v>0</v>
      </c>
      <c r="H257" s="1563"/>
      <c r="I257" s="1563"/>
      <c r="J257" s="1563"/>
      <c r="K257" s="1563"/>
    </row>
    <row r="258" spans="1:11" ht="12.75" customHeight="1" thickTop="1" thickBot="1" x14ac:dyDescent="0.25">
      <c r="A258" s="427" t="s">
        <v>417</v>
      </c>
      <c r="B258" s="429">
        <v>4930</v>
      </c>
      <c r="C258" s="1637">
        <v>0</v>
      </c>
      <c r="D258" s="1637">
        <v>0</v>
      </c>
      <c r="E258" s="1563"/>
      <c r="F258" s="1637">
        <v>0</v>
      </c>
      <c r="G258" s="1637">
        <v>0</v>
      </c>
      <c r="H258" s="1563"/>
      <c r="I258" s="1563"/>
      <c r="J258" s="1563"/>
      <c r="K258" s="1563"/>
    </row>
    <row r="259" spans="1:11" ht="12.75" customHeight="1" thickTop="1" thickBot="1" x14ac:dyDescent="0.25">
      <c r="A259" s="427" t="s">
        <v>751</v>
      </c>
      <c r="B259" s="429">
        <v>4932</v>
      </c>
      <c r="C259" s="1637">
        <v>39186</v>
      </c>
      <c r="D259" s="1637">
        <v>0</v>
      </c>
      <c r="E259" s="1563"/>
      <c r="F259" s="1637">
        <v>0</v>
      </c>
      <c r="G259" s="1637">
        <v>0</v>
      </c>
      <c r="H259" s="1563"/>
      <c r="I259" s="1563"/>
      <c r="J259" s="1563"/>
      <c r="K259" s="1563"/>
    </row>
    <row r="260" spans="1:11" ht="12.75" customHeight="1" thickTop="1" thickBot="1" x14ac:dyDescent="0.25">
      <c r="A260" s="427" t="s">
        <v>882</v>
      </c>
      <c r="B260" s="429">
        <v>4960</v>
      </c>
      <c r="C260" s="1636">
        <v>0</v>
      </c>
      <c r="D260" s="1637">
        <v>0</v>
      </c>
      <c r="E260" s="1563"/>
      <c r="F260" s="1637">
        <v>0</v>
      </c>
      <c r="G260" s="1637">
        <v>0</v>
      </c>
      <c r="H260" s="1563"/>
      <c r="I260" s="1563"/>
      <c r="J260" s="1563"/>
      <c r="K260" s="1563"/>
    </row>
    <row r="261" spans="1:11" ht="12.75" customHeight="1" thickTop="1" thickBot="1" x14ac:dyDescent="0.25">
      <c r="A261" s="1528" t="s">
        <v>1892</v>
      </c>
      <c r="B261" s="429">
        <v>4981</v>
      </c>
      <c r="C261" s="1636">
        <v>0</v>
      </c>
      <c r="D261" s="1637">
        <v>0</v>
      </c>
      <c r="E261" s="1563"/>
      <c r="F261" s="1637">
        <v>0</v>
      </c>
      <c r="G261" s="1637">
        <v>0</v>
      </c>
      <c r="H261" s="1563"/>
      <c r="I261" s="1563"/>
      <c r="J261" s="1563"/>
      <c r="K261" s="1563"/>
    </row>
    <row r="262" spans="1:11" ht="12.75" customHeight="1" thickTop="1" thickBot="1" x14ac:dyDescent="0.25">
      <c r="A262" s="1529" t="s">
        <v>1893</v>
      </c>
      <c r="B262" s="429">
        <v>4982</v>
      </c>
      <c r="C262" s="1636">
        <v>0</v>
      </c>
      <c r="D262" s="1637">
        <v>0</v>
      </c>
      <c r="E262" s="1563"/>
      <c r="F262" s="1637">
        <v>0</v>
      </c>
      <c r="G262" s="1637">
        <v>0</v>
      </c>
      <c r="H262" s="1563"/>
      <c r="I262" s="1563"/>
      <c r="J262" s="1563"/>
      <c r="K262" s="1563"/>
    </row>
    <row r="263" spans="1:11" ht="12.75" customHeight="1" thickTop="1" thickBot="1" x14ac:dyDescent="0.25">
      <c r="A263" s="427" t="s">
        <v>563</v>
      </c>
      <c r="B263" s="429">
        <v>4991</v>
      </c>
      <c r="C263" s="1636">
        <v>34933</v>
      </c>
      <c r="D263" s="1637">
        <v>0</v>
      </c>
      <c r="E263" s="1563"/>
      <c r="F263" s="1637">
        <v>0</v>
      </c>
      <c r="G263" s="1637">
        <v>0</v>
      </c>
      <c r="H263" s="1563"/>
      <c r="I263" s="1563"/>
      <c r="J263" s="1563"/>
      <c r="K263" s="1563"/>
    </row>
    <row r="264" spans="1:11" ht="12.75" customHeight="1" thickTop="1" thickBot="1" x14ac:dyDescent="0.25">
      <c r="A264" s="427" t="s">
        <v>373</v>
      </c>
      <c r="B264" s="429">
        <v>4992</v>
      </c>
      <c r="C264" s="1636">
        <v>0</v>
      </c>
      <c r="D264" s="1637">
        <v>0</v>
      </c>
      <c r="E264" s="1563"/>
      <c r="F264" s="1637">
        <v>0</v>
      </c>
      <c r="G264" s="1637">
        <v>0</v>
      </c>
      <c r="H264" s="1563"/>
      <c r="I264" s="1563"/>
      <c r="J264" s="1563"/>
      <c r="K264" s="1563"/>
    </row>
    <row r="265" spans="1:11" s="489" customFormat="1" ht="12.75" customHeight="1" thickTop="1" thickBot="1" x14ac:dyDescent="0.25">
      <c r="A265" s="479" t="s">
        <v>75</v>
      </c>
      <c r="B265" s="475">
        <v>4998</v>
      </c>
      <c r="C265" s="1636">
        <v>0</v>
      </c>
      <c r="D265" s="1637">
        <v>0</v>
      </c>
      <c r="E265" s="1563"/>
      <c r="F265" s="1637">
        <v>0</v>
      </c>
      <c r="G265" s="1637">
        <v>0</v>
      </c>
      <c r="H265" s="1612">
        <v>0</v>
      </c>
      <c r="I265" s="1563"/>
      <c r="J265" s="1563"/>
      <c r="K265" s="1612">
        <v>0</v>
      </c>
    </row>
    <row r="266" spans="1:11" ht="14.25" thickTop="1" thickBot="1" x14ac:dyDescent="0.25">
      <c r="A266" s="1399" t="s">
        <v>1643</v>
      </c>
      <c r="B266" s="1412"/>
      <c r="C266" s="1627">
        <f t="shared" ref="C266:H266" si="10">SUM(C188,C198,C204,C209,C217,C221,C222,C252:C265)</f>
        <v>457520</v>
      </c>
      <c r="D266" s="1627">
        <f t="shared" si="10"/>
        <v>0</v>
      </c>
      <c r="E266" s="1627">
        <f t="shared" si="10"/>
        <v>0</v>
      </c>
      <c r="F266" s="1627">
        <f t="shared" si="10"/>
        <v>0</v>
      </c>
      <c r="G266" s="1627">
        <f t="shared" si="10"/>
        <v>0</v>
      </c>
      <c r="H266" s="1627">
        <f t="shared" si="10"/>
        <v>0</v>
      </c>
      <c r="I266" s="1563"/>
      <c r="J266" s="1627">
        <f>SUM(J188,J198,J204,J209,J217,J221,J222,J252:J265)</f>
        <v>0</v>
      </c>
      <c r="K266" s="1615">
        <f>SUM(K188,K198,K204,K209,K217,K221,K222,K252:K265)</f>
        <v>0</v>
      </c>
    </row>
    <row r="267" spans="1:11" ht="14.25" thickTop="1" thickBot="1" x14ac:dyDescent="0.25">
      <c r="A267" s="1413" t="s">
        <v>1075</v>
      </c>
      <c r="B267" s="1414" t="s">
        <v>853</v>
      </c>
      <c r="C267" s="1627">
        <f>SUM(C175,C181,C266)</f>
        <v>457520</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5">
        <f t="shared" si="11"/>
        <v>0</v>
      </c>
    </row>
    <row r="268" spans="1:11" ht="14.25" thickTop="1" thickBot="1" x14ac:dyDescent="0.25">
      <c r="A268" s="1415" t="s">
        <v>249</v>
      </c>
      <c r="B268" s="1416"/>
      <c r="C268" s="1627">
        <f t="shared" ref="C268:K268" si="12">SUM(C109,C114,C170,C267)</f>
        <v>26857503</v>
      </c>
      <c r="D268" s="1627">
        <f t="shared" si="12"/>
        <v>1914660</v>
      </c>
      <c r="E268" s="1627">
        <f t="shared" si="12"/>
        <v>360219</v>
      </c>
      <c r="F268" s="1627">
        <f t="shared" si="12"/>
        <v>2152297</v>
      </c>
      <c r="G268" s="1627">
        <f t="shared" si="12"/>
        <v>1206546</v>
      </c>
      <c r="H268" s="1627">
        <f t="shared" si="12"/>
        <v>0</v>
      </c>
      <c r="I268" s="1627">
        <f t="shared" si="12"/>
        <v>21110</v>
      </c>
      <c r="J268" s="1627">
        <f t="shared" si="12"/>
        <v>0</v>
      </c>
      <c r="K268" s="1615">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topLeftCell="A346" zoomScale="110" zoomScaleNormal="110" workbookViewId="0">
      <selection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5"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87"/>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93" t="s">
        <v>293</v>
      </c>
      <c r="B3" s="2294"/>
      <c r="C3" s="1294"/>
      <c r="D3" s="1294"/>
      <c r="E3" s="1294"/>
      <c r="F3" s="1294"/>
      <c r="G3" s="1294"/>
      <c r="H3" s="1294"/>
      <c r="I3" s="1294"/>
      <c r="J3" s="1294"/>
      <c r="K3" s="1295"/>
      <c r="L3" s="1296"/>
      <c r="M3" s="501"/>
      <c r="N3" s="501"/>
    </row>
    <row r="4" spans="1:14" s="254" customFormat="1" ht="15.75" customHeight="1" x14ac:dyDescent="0.2">
      <c r="A4" s="1337" t="s">
        <v>44</v>
      </c>
      <c r="B4" s="1338" t="s">
        <v>565</v>
      </c>
      <c r="C4" s="1655"/>
      <c r="D4" s="1655"/>
      <c r="E4" s="1655"/>
      <c r="F4" s="1655"/>
      <c r="G4" s="1655"/>
      <c r="H4" s="1655"/>
      <c r="I4" s="1656"/>
      <c r="J4" s="1655"/>
      <c r="K4" s="1657"/>
      <c r="L4" s="1655"/>
      <c r="M4" s="502"/>
      <c r="N4" s="502"/>
    </row>
    <row r="5" spans="1:14" x14ac:dyDescent="0.2">
      <c r="A5" s="1267" t="s">
        <v>953</v>
      </c>
      <c r="B5" s="503">
        <v>1100</v>
      </c>
      <c r="C5" s="1561">
        <v>9044682</v>
      </c>
      <c r="D5" s="1561">
        <v>1673615</v>
      </c>
      <c r="E5" s="1561">
        <v>107644</v>
      </c>
      <c r="F5" s="1561">
        <v>423028</v>
      </c>
      <c r="G5" s="1561">
        <v>0</v>
      </c>
      <c r="H5" s="1561">
        <v>731</v>
      </c>
      <c r="I5" s="1562">
        <v>9067</v>
      </c>
      <c r="J5" s="1562">
        <v>0</v>
      </c>
      <c r="K5" s="1658">
        <f>SUM(C5:J5)</f>
        <v>11258767</v>
      </c>
      <c r="L5" s="1561">
        <v>11653565</v>
      </c>
    </row>
    <row r="6" spans="1:14" x14ac:dyDescent="0.2">
      <c r="A6" s="1267" t="s">
        <v>1412</v>
      </c>
      <c r="B6" s="503" t="s">
        <v>1410</v>
      </c>
      <c r="C6" s="1569"/>
      <c r="D6" s="1569"/>
      <c r="E6" s="1561">
        <v>0</v>
      </c>
      <c r="F6" s="1569"/>
      <c r="G6" s="1569"/>
      <c r="H6" s="1569"/>
      <c r="I6" s="1569"/>
      <c r="J6" s="1569"/>
      <c r="K6" s="1658">
        <f>SUM(C6,E6)</f>
        <v>0</v>
      </c>
      <c r="L6" s="1561">
        <v>0</v>
      </c>
    </row>
    <row r="7" spans="1:14" x14ac:dyDescent="0.2">
      <c r="A7" s="1267" t="s">
        <v>162</v>
      </c>
      <c r="B7" s="503" t="s">
        <v>959</v>
      </c>
      <c r="C7" s="1562">
        <v>0</v>
      </c>
      <c r="D7" s="1562">
        <v>0</v>
      </c>
      <c r="E7" s="1562">
        <v>0</v>
      </c>
      <c r="F7" s="1562">
        <v>0</v>
      </c>
      <c r="G7" s="1562">
        <v>0</v>
      </c>
      <c r="H7" s="1562">
        <v>0</v>
      </c>
      <c r="I7" s="1562">
        <v>0</v>
      </c>
      <c r="J7" s="1562">
        <v>0</v>
      </c>
      <c r="K7" s="1658">
        <f t="shared" ref="K7:K32" si="0">SUM(C7:J7)</f>
        <v>0</v>
      </c>
      <c r="L7" s="1561">
        <v>0</v>
      </c>
    </row>
    <row r="8" spans="1:14" x14ac:dyDescent="0.2">
      <c r="A8" s="1267" t="s">
        <v>163</v>
      </c>
      <c r="B8" s="503">
        <v>1200</v>
      </c>
      <c r="C8" s="1561">
        <v>2072407</v>
      </c>
      <c r="D8" s="1561">
        <v>468254</v>
      </c>
      <c r="E8" s="1561">
        <v>79098</v>
      </c>
      <c r="F8" s="1561">
        <v>14058</v>
      </c>
      <c r="G8" s="1561">
        <v>5981</v>
      </c>
      <c r="H8" s="1561">
        <v>0</v>
      </c>
      <c r="I8" s="1562">
        <v>7244</v>
      </c>
      <c r="J8" s="1562">
        <v>0</v>
      </c>
      <c r="K8" s="1658">
        <f t="shared" si="0"/>
        <v>2647042</v>
      </c>
      <c r="L8" s="1561">
        <v>2702650</v>
      </c>
    </row>
    <row r="9" spans="1:14" x14ac:dyDescent="0.2">
      <c r="A9" s="1267" t="s">
        <v>714</v>
      </c>
      <c r="B9" s="503" t="s">
        <v>960</v>
      </c>
      <c r="C9" s="1562">
        <v>347628</v>
      </c>
      <c r="D9" s="1562">
        <v>60476</v>
      </c>
      <c r="E9" s="1562">
        <v>0</v>
      </c>
      <c r="F9" s="1562">
        <v>3388</v>
      </c>
      <c r="G9" s="1562">
        <v>0</v>
      </c>
      <c r="H9" s="1562">
        <v>0</v>
      </c>
      <c r="I9" s="1562">
        <v>0</v>
      </c>
      <c r="J9" s="1562">
        <v>0</v>
      </c>
      <c r="K9" s="1658">
        <f t="shared" si="0"/>
        <v>411492</v>
      </c>
      <c r="L9" s="1561">
        <v>399750</v>
      </c>
    </row>
    <row r="10" spans="1:14" x14ac:dyDescent="0.2">
      <c r="A10" s="1267" t="s">
        <v>715</v>
      </c>
      <c r="B10" s="503">
        <v>1250</v>
      </c>
      <c r="C10" s="1561">
        <v>796712</v>
      </c>
      <c r="D10" s="1561">
        <v>83450</v>
      </c>
      <c r="E10" s="1561">
        <v>0</v>
      </c>
      <c r="F10" s="1561">
        <v>0</v>
      </c>
      <c r="G10" s="1561">
        <v>0</v>
      </c>
      <c r="H10" s="1561">
        <v>0</v>
      </c>
      <c r="I10" s="1562">
        <v>0</v>
      </c>
      <c r="J10" s="1562">
        <v>0</v>
      </c>
      <c r="K10" s="1658">
        <f t="shared" si="0"/>
        <v>880162</v>
      </c>
      <c r="L10" s="1561">
        <v>954100</v>
      </c>
    </row>
    <row r="11" spans="1:14" x14ac:dyDescent="0.2">
      <c r="A11" s="1267" t="s">
        <v>1118</v>
      </c>
      <c r="B11" s="503" t="s">
        <v>160</v>
      </c>
      <c r="C11" s="1562">
        <v>0</v>
      </c>
      <c r="D11" s="1562">
        <v>0</v>
      </c>
      <c r="E11" s="1562">
        <v>0</v>
      </c>
      <c r="F11" s="1562">
        <v>0</v>
      </c>
      <c r="G11" s="1562">
        <v>0</v>
      </c>
      <c r="H11" s="1562">
        <v>0</v>
      </c>
      <c r="I11" s="1562">
        <v>0</v>
      </c>
      <c r="J11" s="1562">
        <v>0</v>
      </c>
      <c r="K11" s="1658">
        <f t="shared" si="0"/>
        <v>0</v>
      </c>
      <c r="L11" s="1561">
        <v>0</v>
      </c>
    </row>
    <row r="12" spans="1:14" x14ac:dyDescent="0.2">
      <c r="A12" s="1267" t="s">
        <v>954</v>
      </c>
      <c r="B12" s="503">
        <v>1300</v>
      </c>
      <c r="C12" s="1561">
        <v>0</v>
      </c>
      <c r="D12" s="1561">
        <v>0</v>
      </c>
      <c r="E12" s="1561">
        <v>0</v>
      </c>
      <c r="F12" s="1561">
        <v>0</v>
      </c>
      <c r="G12" s="1561">
        <v>0</v>
      </c>
      <c r="H12" s="1561">
        <v>0</v>
      </c>
      <c r="I12" s="1562">
        <v>0</v>
      </c>
      <c r="J12" s="1562">
        <v>0</v>
      </c>
      <c r="K12" s="1658">
        <f t="shared" si="0"/>
        <v>0</v>
      </c>
      <c r="L12" s="1561">
        <v>0</v>
      </c>
    </row>
    <row r="13" spans="1:14" x14ac:dyDescent="0.2">
      <c r="A13" s="1267" t="s">
        <v>716</v>
      </c>
      <c r="B13" s="503">
        <v>1400</v>
      </c>
      <c r="C13" s="1561">
        <v>0</v>
      </c>
      <c r="D13" s="1561">
        <v>0</v>
      </c>
      <c r="E13" s="1561">
        <v>0</v>
      </c>
      <c r="F13" s="1561">
        <v>0</v>
      </c>
      <c r="G13" s="1561">
        <v>0</v>
      </c>
      <c r="H13" s="1561">
        <v>0</v>
      </c>
      <c r="I13" s="1562">
        <v>0</v>
      </c>
      <c r="J13" s="1562">
        <v>0</v>
      </c>
      <c r="K13" s="1658">
        <f t="shared" si="0"/>
        <v>0</v>
      </c>
      <c r="L13" s="1561">
        <v>0</v>
      </c>
    </row>
    <row r="14" spans="1:14" x14ac:dyDescent="0.2">
      <c r="A14" s="1267" t="s">
        <v>955</v>
      </c>
      <c r="B14" s="503">
        <v>1500</v>
      </c>
      <c r="C14" s="1561">
        <v>100613</v>
      </c>
      <c r="D14" s="1561">
        <v>0</v>
      </c>
      <c r="E14" s="1561">
        <v>17395</v>
      </c>
      <c r="F14" s="1561">
        <v>17254</v>
      </c>
      <c r="G14" s="1561">
        <v>0</v>
      </c>
      <c r="H14" s="1561">
        <v>5964</v>
      </c>
      <c r="I14" s="1562">
        <v>0</v>
      </c>
      <c r="J14" s="1562">
        <v>0</v>
      </c>
      <c r="K14" s="1658">
        <f t="shared" si="0"/>
        <v>141226</v>
      </c>
      <c r="L14" s="1561">
        <v>152900</v>
      </c>
    </row>
    <row r="15" spans="1:14" x14ac:dyDescent="0.2">
      <c r="A15" s="1267" t="s">
        <v>956</v>
      </c>
      <c r="B15" s="503">
        <v>1600</v>
      </c>
      <c r="C15" s="1561">
        <v>26443</v>
      </c>
      <c r="D15" s="1561">
        <v>24</v>
      </c>
      <c r="E15" s="1561">
        <v>0</v>
      </c>
      <c r="F15" s="1561">
        <v>3620</v>
      </c>
      <c r="G15" s="1561">
        <v>0</v>
      </c>
      <c r="H15" s="1561">
        <v>0</v>
      </c>
      <c r="I15" s="1562">
        <v>0</v>
      </c>
      <c r="J15" s="1562">
        <v>0</v>
      </c>
      <c r="K15" s="1658">
        <f t="shared" si="0"/>
        <v>30087</v>
      </c>
      <c r="L15" s="1561">
        <v>82100</v>
      </c>
    </row>
    <row r="16" spans="1:14" x14ac:dyDescent="0.2">
      <c r="A16" s="1267" t="s">
        <v>978</v>
      </c>
      <c r="B16" s="503" t="s">
        <v>420</v>
      </c>
      <c r="C16" s="1561">
        <v>358189</v>
      </c>
      <c r="D16" s="1561">
        <v>44886</v>
      </c>
      <c r="E16" s="1561">
        <v>0</v>
      </c>
      <c r="F16" s="1561">
        <v>0</v>
      </c>
      <c r="G16" s="1561">
        <v>0</v>
      </c>
      <c r="H16" s="1561">
        <v>0</v>
      </c>
      <c r="I16" s="1562">
        <v>0</v>
      </c>
      <c r="J16" s="1562">
        <v>0</v>
      </c>
      <c r="K16" s="1658">
        <f t="shared" si="0"/>
        <v>403075</v>
      </c>
      <c r="L16" s="1561">
        <v>374840</v>
      </c>
    </row>
    <row r="17" spans="1:12" x14ac:dyDescent="0.2">
      <c r="A17" s="1267" t="s">
        <v>717</v>
      </c>
      <c r="B17" s="503" t="s">
        <v>161</v>
      </c>
      <c r="C17" s="1562">
        <v>0</v>
      </c>
      <c r="D17" s="1562">
        <v>0</v>
      </c>
      <c r="E17" s="1562">
        <v>0</v>
      </c>
      <c r="F17" s="1562">
        <v>0</v>
      </c>
      <c r="G17" s="1562">
        <v>0</v>
      </c>
      <c r="H17" s="1562">
        <v>0</v>
      </c>
      <c r="I17" s="1562">
        <v>0</v>
      </c>
      <c r="J17" s="1562">
        <v>0</v>
      </c>
      <c r="K17" s="1658">
        <f t="shared" si="0"/>
        <v>0</v>
      </c>
      <c r="L17" s="1561">
        <v>0</v>
      </c>
    </row>
    <row r="18" spans="1:12" x14ac:dyDescent="0.2">
      <c r="A18" s="1267" t="s">
        <v>1076</v>
      </c>
      <c r="B18" s="503">
        <v>1800</v>
      </c>
      <c r="C18" s="1561">
        <v>443044</v>
      </c>
      <c r="D18" s="1561">
        <v>78327</v>
      </c>
      <c r="E18" s="1561">
        <v>13736</v>
      </c>
      <c r="F18" s="1561">
        <v>0</v>
      </c>
      <c r="G18" s="1561">
        <v>0</v>
      </c>
      <c r="H18" s="1561">
        <v>0</v>
      </c>
      <c r="I18" s="1562">
        <v>0</v>
      </c>
      <c r="J18" s="1562">
        <v>0</v>
      </c>
      <c r="K18" s="1658">
        <f t="shared" si="0"/>
        <v>535107</v>
      </c>
      <c r="L18" s="1561">
        <v>521400</v>
      </c>
    </row>
    <row r="19" spans="1:12" x14ac:dyDescent="0.2">
      <c r="A19" s="1267" t="s">
        <v>133</v>
      </c>
      <c r="B19" s="503">
        <v>1900</v>
      </c>
      <c r="C19" s="1561">
        <v>0</v>
      </c>
      <c r="D19" s="1561">
        <v>0</v>
      </c>
      <c r="E19" s="1561">
        <v>0</v>
      </c>
      <c r="F19" s="1561">
        <v>0</v>
      </c>
      <c r="G19" s="1561">
        <v>0</v>
      </c>
      <c r="H19" s="1561">
        <v>0</v>
      </c>
      <c r="I19" s="1562">
        <v>0</v>
      </c>
      <c r="J19" s="1562">
        <v>0</v>
      </c>
      <c r="K19" s="1658">
        <f t="shared" si="0"/>
        <v>0</v>
      </c>
      <c r="L19" s="1561">
        <v>0</v>
      </c>
    </row>
    <row r="20" spans="1:12" x14ac:dyDescent="0.2">
      <c r="A20" s="1268" t="s">
        <v>731</v>
      </c>
      <c r="B20" s="494" t="s">
        <v>718</v>
      </c>
      <c r="C20" s="1569"/>
      <c r="D20" s="1569"/>
      <c r="E20" s="1569"/>
      <c r="F20" s="1569"/>
      <c r="G20" s="1569"/>
      <c r="H20" s="1567">
        <v>0</v>
      </c>
      <c r="I20" s="1659"/>
      <c r="J20" s="1568"/>
      <c r="K20" s="1658">
        <f t="shared" si="0"/>
        <v>0</v>
      </c>
      <c r="L20" s="1565">
        <v>0</v>
      </c>
    </row>
    <row r="21" spans="1:12" x14ac:dyDescent="0.2">
      <c r="A21" s="1268" t="s">
        <v>732</v>
      </c>
      <c r="B21" s="494" t="s">
        <v>719</v>
      </c>
      <c r="C21" s="1569"/>
      <c r="D21" s="1569"/>
      <c r="E21" s="1569"/>
      <c r="F21" s="1569"/>
      <c r="G21" s="1569"/>
      <c r="H21" s="1567">
        <v>0</v>
      </c>
      <c r="I21" s="1659"/>
      <c r="J21" s="1569"/>
      <c r="K21" s="1658">
        <f t="shared" si="0"/>
        <v>0</v>
      </c>
      <c r="L21" s="1565">
        <v>0</v>
      </c>
    </row>
    <row r="22" spans="1:12" x14ac:dyDescent="0.2">
      <c r="A22" s="1268" t="s">
        <v>733</v>
      </c>
      <c r="B22" s="494" t="s">
        <v>720</v>
      </c>
      <c r="C22" s="1569"/>
      <c r="D22" s="1569"/>
      <c r="E22" s="1569"/>
      <c r="F22" s="1569"/>
      <c r="G22" s="1569"/>
      <c r="H22" s="1567">
        <v>479810</v>
      </c>
      <c r="I22" s="1659"/>
      <c r="J22" s="1569"/>
      <c r="K22" s="1658">
        <f t="shared" si="0"/>
        <v>479810</v>
      </c>
      <c r="L22" s="1565">
        <v>275000</v>
      </c>
    </row>
    <row r="23" spans="1:12" x14ac:dyDescent="0.2">
      <c r="A23" s="1268" t="s">
        <v>734</v>
      </c>
      <c r="B23" s="494" t="s">
        <v>721</v>
      </c>
      <c r="C23" s="1569"/>
      <c r="D23" s="1569"/>
      <c r="E23" s="1569"/>
      <c r="F23" s="1569"/>
      <c r="G23" s="1569"/>
      <c r="H23" s="1567">
        <v>0</v>
      </c>
      <c r="I23" s="1659"/>
      <c r="J23" s="1569"/>
      <c r="K23" s="1658">
        <f t="shared" si="0"/>
        <v>0</v>
      </c>
      <c r="L23" s="1565">
        <v>0</v>
      </c>
    </row>
    <row r="24" spans="1:12" ht="12.75" customHeight="1" x14ac:dyDescent="0.2">
      <c r="A24" s="1268" t="s">
        <v>735</v>
      </c>
      <c r="B24" s="494" t="s">
        <v>722</v>
      </c>
      <c r="C24" s="1569"/>
      <c r="D24" s="1569"/>
      <c r="E24" s="1569"/>
      <c r="F24" s="1569"/>
      <c r="G24" s="1569"/>
      <c r="H24" s="1567">
        <v>0</v>
      </c>
      <c r="I24" s="1659"/>
      <c r="J24" s="1569"/>
      <c r="K24" s="1658">
        <f t="shared" si="0"/>
        <v>0</v>
      </c>
      <c r="L24" s="1565">
        <v>0</v>
      </c>
    </row>
    <row r="25" spans="1:12" ht="12.75" customHeight="1" x14ac:dyDescent="0.2">
      <c r="A25" s="1268" t="s">
        <v>795</v>
      </c>
      <c r="B25" s="494" t="s">
        <v>723</v>
      </c>
      <c r="C25" s="1569"/>
      <c r="D25" s="1569"/>
      <c r="E25" s="1569"/>
      <c r="F25" s="1569"/>
      <c r="G25" s="1569"/>
      <c r="H25" s="1567">
        <v>0</v>
      </c>
      <c r="I25" s="1659"/>
      <c r="J25" s="1569"/>
      <c r="K25" s="1658">
        <f t="shared" si="0"/>
        <v>0</v>
      </c>
      <c r="L25" s="1565">
        <v>0</v>
      </c>
    </row>
    <row r="26" spans="1:12" x14ac:dyDescent="0.2">
      <c r="A26" s="1268" t="s">
        <v>617</v>
      </c>
      <c r="B26" s="494" t="s">
        <v>724</v>
      </c>
      <c r="C26" s="1569"/>
      <c r="D26" s="1569"/>
      <c r="E26" s="1569"/>
      <c r="F26" s="1569"/>
      <c r="G26" s="1569"/>
      <c r="H26" s="1567">
        <v>0</v>
      </c>
      <c r="I26" s="1659"/>
      <c r="J26" s="1569"/>
      <c r="K26" s="1658">
        <f t="shared" si="0"/>
        <v>0</v>
      </c>
      <c r="L26" s="1565">
        <v>0</v>
      </c>
    </row>
    <row r="27" spans="1:12" x14ac:dyDescent="0.2">
      <c r="A27" s="1268" t="s">
        <v>618</v>
      </c>
      <c r="B27" s="494" t="s">
        <v>725</v>
      </c>
      <c r="C27" s="1569"/>
      <c r="D27" s="1569"/>
      <c r="E27" s="1569"/>
      <c r="F27" s="1569"/>
      <c r="G27" s="1569"/>
      <c r="H27" s="1567">
        <v>0</v>
      </c>
      <c r="I27" s="1659"/>
      <c r="J27" s="1569"/>
      <c r="K27" s="1658">
        <f t="shared" si="0"/>
        <v>0</v>
      </c>
      <c r="L27" s="1565">
        <v>0</v>
      </c>
    </row>
    <row r="28" spans="1:12" x14ac:dyDescent="0.2">
      <c r="A28" s="1268" t="s">
        <v>149</v>
      </c>
      <c r="B28" s="494" t="s">
        <v>726</v>
      </c>
      <c r="C28" s="1569"/>
      <c r="D28" s="1569"/>
      <c r="E28" s="1569"/>
      <c r="F28" s="1569"/>
      <c r="G28" s="1569"/>
      <c r="H28" s="1567">
        <v>0</v>
      </c>
      <c r="I28" s="1659"/>
      <c r="J28" s="1569"/>
      <c r="K28" s="1658">
        <f t="shared" si="0"/>
        <v>0</v>
      </c>
      <c r="L28" s="1565">
        <v>0</v>
      </c>
    </row>
    <row r="29" spans="1:12" x14ac:dyDescent="0.2">
      <c r="A29" s="1268" t="s">
        <v>150</v>
      </c>
      <c r="B29" s="494" t="s">
        <v>727</v>
      </c>
      <c r="C29" s="1569"/>
      <c r="D29" s="1569"/>
      <c r="E29" s="1569"/>
      <c r="F29" s="1569"/>
      <c r="G29" s="1569"/>
      <c r="H29" s="1567">
        <v>0</v>
      </c>
      <c r="I29" s="1659"/>
      <c r="J29" s="1569"/>
      <c r="K29" s="1658">
        <f t="shared" si="0"/>
        <v>0</v>
      </c>
      <c r="L29" s="1565">
        <v>0</v>
      </c>
    </row>
    <row r="30" spans="1:12" x14ac:dyDescent="0.2">
      <c r="A30" s="1268" t="s">
        <v>151</v>
      </c>
      <c r="B30" s="494" t="s">
        <v>728</v>
      </c>
      <c r="C30" s="1569"/>
      <c r="D30" s="1569"/>
      <c r="E30" s="1569"/>
      <c r="F30" s="1569"/>
      <c r="G30" s="1569"/>
      <c r="H30" s="1567">
        <v>0</v>
      </c>
      <c r="I30" s="1659"/>
      <c r="J30" s="1569"/>
      <c r="K30" s="1658">
        <f t="shared" si="0"/>
        <v>0</v>
      </c>
      <c r="L30" s="1565">
        <v>0</v>
      </c>
    </row>
    <row r="31" spans="1:12" x14ac:dyDescent="0.2">
      <c r="A31" s="1268" t="s">
        <v>152</v>
      </c>
      <c r="B31" s="494" t="s">
        <v>729</v>
      </c>
      <c r="C31" s="1569"/>
      <c r="D31" s="1569"/>
      <c r="E31" s="1569"/>
      <c r="F31" s="1569"/>
      <c r="G31" s="1569"/>
      <c r="H31" s="1567">
        <v>0</v>
      </c>
      <c r="I31" s="1659"/>
      <c r="J31" s="1569"/>
      <c r="K31" s="1658">
        <f t="shared" si="0"/>
        <v>0</v>
      </c>
      <c r="L31" s="1565">
        <v>0</v>
      </c>
    </row>
    <row r="32" spans="1:12" x14ac:dyDescent="0.2">
      <c r="A32" s="1269" t="s">
        <v>1117</v>
      </c>
      <c r="B32" s="503" t="s">
        <v>730</v>
      </c>
      <c r="C32" s="1569"/>
      <c r="D32" s="1569"/>
      <c r="E32" s="1569"/>
      <c r="F32" s="1569"/>
      <c r="G32" s="1569"/>
      <c r="H32" s="1567">
        <v>0</v>
      </c>
      <c r="I32" s="1659"/>
      <c r="J32" s="1572"/>
      <c r="K32" s="1658">
        <f t="shared" si="0"/>
        <v>0</v>
      </c>
      <c r="L32" s="1565">
        <v>0</v>
      </c>
    </row>
    <row r="33" spans="1:14" ht="12.75" customHeight="1" thickBot="1" x14ac:dyDescent="0.25">
      <c r="A33" s="1373" t="s">
        <v>1645</v>
      </c>
      <c r="B33" s="1374" t="s">
        <v>565</v>
      </c>
      <c r="C33" s="1660">
        <f>SUM(C5:C32)</f>
        <v>13189718</v>
      </c>
      <c r="D33" s="1660">
        <f t="shared" ref="D33:L33" si="1">SUM(D5:D32)</f>
        <v>2409032</v>
      </c>
      <c r="E33" s="1660">
        <f t="shared" si="1"/>
        <v>217873</v>
      </c>
      <c r="F33" s="1660">
        <f t="shared" si="1"/>
        <v>461348</v>
      </c>
      <c r="G33" s="1660">
        <f t="shared" si="1"/>
        <v>5981</v>
      </c>
      <c r="H33" s="1660">
        <f t="shared" si="1"/>
        <v>486505</v>
      </c>
      <c r="I33" s="1660">
        <f t="shared" si="1"/>
        <v>16311</v>
      </c>
      <c r="J33" s="1660">
        <f t="shared" si="1"/>
        <v>0</v>
      </c>
      <c r="K33" s="1660">
        <f t="shared" si="1"/>
        <v>16786768</v>
      </c>
      <c r="L33" s="1660">
        <f t="shared" si="1"/>
        <v>17116305</v>
      </c>
    </row>
    <row r="34" spans="1:14" s="506" customFormat="1" ht="15.75" customHeight="1" thickTop="1" x14ac:dyDescent="0.2">
      <c r="A34" s="1339" t="s">
        <v>46</v>
      </c>
      <c r="B34" s="1340" t="s">
        <v>564</v>
      </c>
      <c r="C34" s="1661"/>
      <c r="D34" s="1661"/>
      <c r="E34" s="1661"/>
      <c r="F34" s="1661"/>
      <c r="G34" s="1661"/>
      <c r="H34" s="1661"/>
      <c r="I34" s="1659"/>
      <c r="J34" s="1659"/>
      <c r="K34" s="1659"/>
      <c r="L34" s="1659"/>
      <c r="M34" s="505"/>
      <c r="N34" s="505"/>
    </row>
    <row r="35" spans="1:14" s="506" customFormat="1" ht="15.75" customHeight="1" x14ac:dyDescent="0.2">
      <c r="A35" s="507" t="s">
        <v>586</v>
      </c>
      <c r="B35" s="508"/>
      <c r="C35" s="1662"/>
      <c r="D35" s="1662"/>
      <c r="E35" s="1662"/>
      <c r="F35" s="1662"/>
      <c r="G35" s="1662"/>
      <c r="H35" s="1662"/>
      <c r="I35" s="1659"/>
      <c r="J35" s="1659"/>
      <c r="K35" s="1659"/>
      <c r="L35" s="1659"/>
      <c r="M35" s="505"/>
      <c r="N35" s="505"/>
    </row>
    <row r="36" spans="1:14" x14ac:dyDescent="0.2">
      <c r="A36" s="1267" t="s">
        <v>1078</v>
      </c>
      <c r="B36" s="503">
        <v>2110</v>
      </c>
      <c r="C36" s="1573">
        <v>282718</v>
      </c>
      <c r="D36" s="1573">
        <v>52677</v>
      </c>
      <c r="E36" s="1573">
        <v>0</v>
      </c>
      <c r="F36" s="1573">
        <v>1317</v>
      </c>
      <c r="G36" s="1573">
        <v>0</v>
      </c>
      <c r="H36" s="1573">
        <v>0</v>
      </c>
      <c r="I36" s="1562">
        <v>0</v>
      </c>
      <c r="J36" s="1562">
        <v>0</v>
      </c>
      <c r="K36" s="1658">
        <f t="shared" ref="K36:K41" si="2">SUM(C36:J36)</f>
        <v>336712</v>
      </c>
      <c r="L36" s="1561">
        <v>415500</v>
      </c>
    </row>
    <row r="37" spans="1:14" x14ac:dyDescent="0.2">
      <c r="A37" s="1267" t="s">
        <v>1079</v>
      </c>
      <c r="B37" s="503">
        <v>2120</v>
      </c>
      <c r="C37" s="1561">
        <v>0</v>
      </c>
      <c r="D37" s="1561">
        <v>0</v>
      </c>
      <c r="E37" s="1561">
        <v>0</v>
      </c>
      <c r="F37" s="1561">
        <v>0</v>
      </c>
      <c r="G37" s="1561">
        <v>0</v>
      </c>
      <c r="H37" s="1561">
        <v>0</v>
      </c>
      <c r="I37" s="1562">
        <v>0</v>
      </c>
      <c r="J37" s="1562">
        <v>0</v>
      </c>
      <c r="K37" s="1658">
        <f t="shared" si="2"/>
        <v>0</v>
      </c>
      <c r="L37" s="1561">
        <v>0</v>
      </c>
    </row>
    <row r="38" spans="1:14" x14ac:dyDescent="0.2">
      <c r="A38" s="1267" t="s">
        <v>196</v>
      </c>
      <c r="B38" s="503">
        <v>2130</v>
      </c>
      <c r="C38" s="1561">
        <v>460969</v>
      </c>
      <c r="D38" s="1561">
        <v>65283</v>
      </c>
      <c r="E38" s="1561">
        <v>1190</v>
      </c>
      <c r="F38" s="1561">
        <v>4653</v>
      </c>
      <c r="G38" s="1561">
        <v>0</v>
      </c>
      <c r="H38" s="1561">
        <v>0</v>
      </c>
      <c r="I38" s="1562">
        <v>0</v>
      </c>
      <c r="J38" s="1562">
        <v>0</v>
      </c>
      <c r="K38" s="1658">
        <f t="shared" si="2"/>
        <v>532095</v>
      </c>
      <c r="L38" s="1561">
        <v>529800</v>
      </c>
    </row>
    <row r="39" spans="1:14" x14ac:dyDescent="0.2">
      <c r="A39" s="1267" t="s">
        <v>197</v>
      </c>
      <c r="B39" s="503">
        <v>2140</v>
      </c>
      <c r="C39" s="1561">
        <v>377352</v>
      </c>
      <c r="D39" s="1561">
        <v>41509</v>
      </c>
      <c r="E39" s="1561">
        <v>25546</v>
      </c>
      <c r="F39" s="1561">
        <v>2496</v>
      </c>
      <c r="G39" s="1561">
        <v>0</v>
      </c>
      <c r="H39" s="1561">
        <v>220</v>
      </c>
      <c r="I39" s="1562">
        <v>0</v>
      </c>
      <c r="J39" s="1562">
        <v>0</v>
      </c>
      <c r="K39" s="1658">
        <f t="shared" si="2"/>
        <v>447123</v>
      </c>
      <c r="L39" s="1561">
        <v>419150</v>
      </c>
    </row>
    <row r="40" spans="1:14" x14ac:dyDescent="0.2">
      <c r="A40" s="1267" t="s">
        <v>198</v>
      </c>
      <c r="B40" s="503">
        <v>2150</v>
      </c>
      <c r="C40" s="1561">
        <v>373515</v>
      </c>
      <c r="D40" s="1561">
        <v>28101</v>
      </c>
      <c r="E40" s="1561">
        <v>114636</v>
      </c>
      <c r="F40" s="1561">
        <v>1248</v>
      </c>
      <c r="G40" s="1561">
        <v>0</v>
      </c>
      <c r="H40" s="1561">
        <v>2005</v>
      </c>
      <c r="I40" s="1562">
        <v>903</v>
      </c>
      <c r="J40" s="1562">
        <v>0</v>
      </c>
      <c r="K40" s="1658">
        <f t="shared" si="2"/>
        <v>520408</v>
      </c>
      <c r="L40" s="1561">
        <v>550000</v>
      </c>
    </row>
    <row r="41" spans="1:14" x14ac:dyDescent="0.2">
      <c r="A41" s="1267" t="s">
        <v>1646</v>
      </c>
      <c r="B41" s="503">
        <v>2190</v>
      </c>
      <c r="C41" s="1561">
        <v>41866</v>
      </c>
      <c r="D41" s="1561">
        <v>0</v>
      </c>
      <c r="E41" s="1561">
        <v>28032</v>
      </c>
      <c r="F41" s="1561">
        <v>4143</v>
      </c>
      <c r="G41" s="1561">
        <v>0</v>
      </c>
      <c r="H41" s="1561">
        <v>0</v>
      </c>
      <c r="I41" s="1562">
        <v>0</v>
      </c>
      <c r="J41" s="1562">
        <v>0</v>
      </c>
      <c r="K41" s="1658">
        <f t="shared" si="2"/>
        <v>74041</v>
      </c>
      <c r="L41" s="1561">
        <v>96600</v>
      </c>
    </row>
    <row r="42" spans="1:14" ht="12.75" customHeight="1" thickBot="1" x14ac:dyDescent="0.25">
      <c r="A42" s="1373" t="s">
        <v>555</v>
      </c>
      <c r="B42" s="1374" t="s">
        <v>709</v>
      </c>
      <c r="C42" s="1660">
        <f>SUM(C36:C41)</f>
        <v>1536420</v>
      </c>
      <c r="D42" s="1660">
        <f t="shared" ref="D42:L42" si="3">SUM(D36:D41)</f>
        <v>187570</v>
      </c>
      <c r="E42" s="1660">
        <f t="shared" si="3"/>
        <v>169404</v>
      </c>
      <c r="F42" s="1660">
        <f t="shared" si="3"/>
        <v>13857</v>
      </c>
      <c r="G42" s="1660">
        <f t="shared" si="3"/>
        <v>0</v>
      </c>
      <c r="H42" s="1660">
        <f t="shared" si="3"/>
        <v>2225</v>
      </c>
      <c r="I42" s="1660">
        <f t="shared" si="3"/>
        <v>903</v>
      </c>
      <c r="J42" s="1660">
        <f t="shared" si="3"/>
        <v>0</v>
      </c>
      <c r="K42" s="1660">
        <f t="shared" si="3"/>
        <v>1910379</v>
      </c>
      <c r="L42" s="1660">
        <f t="shared" si="3"/>
        <v>2011050</v>
      </c>
    </row>
    <row r="43" spans="1:14" ht="15.75" customHeight="1" thickTop="1" x14ac:dyDescent="0.2">
      <c r="A43" s="509" t="s">
        <v>587</v>
      </c>
      <c r="B43" s="510"/>
      <c r="C43" s="1663"/>
      <c r="D43" s="1663"/>
      <c r="E43" s="1663"/>
      <c r="F43" s="1663"/>
      <c r="G43" s="1663"/>
      <c r="H43" s="1663"/>
      <c r="I43" s="1659"/>
      <c r="J43" s="1659"/>
      <c r="K43" s="1663"/>
      <c r="L43" s="1663"/>
    </row>
    <row r="44" spans="1:14" x14ac:dyDescent="0.2">
      <c r="A44" s="1267" t="s">
        <v>807</v>
      </c>
      <c r="B44" s="503">
        <v>2210</v>
      </c>
      <c r="C44" s="1573">
        <v>616081</v>
      </c>
      <c r="D44" s="1573">
        <v>57982</v>
      </c>
      <c r="E44" s="1573">
        <v>142398</v>
      </c>
      <c r="F44" s="1573">
        <v>70641</v>
      </c>
      <c r="G44" s="1573">
        <v>0</v>
      </c>
      <c r="H44" s="1573">
        <v>1957</v>
      </c>
      <c r="I44" s="1562">
        <v>0</v>
      </c>
      <c r="J44" s="1562">
        <v>0</v>
      </c>
      <c r="K44" s="1664">
        <f>SUM(C44:J44)</f>
        <v>889059</v>
      </c>
      <c r="L44" s="1573">
        <v>929800</v>
      </c>
    </row>
    <row r="45" spans="1:14" x14ac:dyDescent="0.2">
      <c r="A45" s="1267" t="s">
        <v>808</v>
      </c>
      <c r="B45" s="503">
        <v>2220</v>
      </c>
      <c r="C45" s="1561">
        <v>423045</v>
      </c>
      <c r="D45" s="1561">
        <v>90806</v>
      </c>
      <c r="E45" s="1561">
        <v>14304</v>
      </c>
      <c r="F45" s="1561">
        <v>44650</v>
      </c>
      <c r="G45" s="1561">
        <v>0</v>
      </c>
      <c r="H45" s="1561">
        <v>195</v>
      </c>
      <c r="I45" s="1562">
        <v>0</v>
      </c>
      <c r="J45" s="1562">
        <v>0</v>
      </c>
      <c r="K45" s="1664">
        <f>SUM(C45:J45)</f>
        <v>573000</v>
      </c>
      <c r="L45" s="1561">
        <v>556300</v>
      </c>
    </row>
    <row r="46" spans="1:14" x14ac:dyDescent="0.2">
      <c r="A46" s="1267" t="s">
        <v>809</v>
      </c>
      <c r="B46" s="503">
        <v>2230</v>
      </c>
      <c r="C46" s="1561">
        <v>0</v>
      </c>
      <c r="D46" s="1561">
        <v>0</v>
      </c>
      <c r="E46" s="1561">
        <v>39311</v>
      </c>
      <c r="F46" s="1561">
        <v>9425</v>
      </c>
      <c r="G46" s="1561">
        <v>0</v>
      </c>
      <c r="H46" s="1561">
        <v>0</v>
      </c>
      <c r="I46" s="1562">
        <v>0</v>
      </c>
      <c r="J46" s="1562">
        <v>0</v>
      </c>
      <c r="K46" s="1664">
        <f>SUM(C46:J46)</f>
        <v>48736</v>
      </c>
      <c r="L46" s="1561">
        <v>51100</v>
      </c>
    </row>
    <row r="47" spans="1:14" ht="12.75" customHeight="1" thickBot="1" x14ac:dyDescent="0.25">
      <c r="A47" s="1373" t="s">
        <v>556</v>
      </c>
      <c r="B47" s="1374" t="s">
        <v>32</v>
      </c>
      <c r="C47" s="1660">
        <f>SUM(C44:C46)</f>
        <v>1039126</v>
      </c>
      <c r="D47" s="1660">
        <f t="shared" ref="D47:K47" si="4">SUM(D44:D46)</f>
        <v>148788</v>
      </c>
      <c r="E47" s="1660">
        <f t="shared" si="4"/>
        <v>196013</v>
      </c>
      <c r="F47" s="1660">
        <f t="shared" si="4"/>
        <v>124716</v>
      </c>
      <c r="G47" s="1660">
        <f t="shared" si="4"/>
        <v>0</v>
      </c>
      <c r="H47" s="1660">
        <f t="shared" si="4"/>
        <v>2152</v>
      </c>
      <c r="I47" s="1660">
        <f t="shared" si="4"/>
        <v>0</v>
      </c>
      <c r="J47" s="1660">
        <f t="shared" si="4"/>
        <v>0</v>
      </c>
      <c r="K47" s="1660">
        <f t="shared" si="4"/>
        <v>1510795</v>
      </c>
      <c r="L47" s="1660">
        <f>SUM(L44:L46)</f>
        <v>1537200</v>
      </c>
    </row>
    <row r="48" spans="1:14" ht="15.75" customHeight="1" thickTop="1" x14ac:dyDescent="0.2">
      <c r="A48" s="509" t="s">
        <v>605</v>
      </c>
      <c r="B48" s="510"/>
      <c r="C48" s="1663"/>
      <c r="D48" s="1663"/>
      <c r="E48" s="1663"/>
      <c r="F48" s="1663"/>
      <c r="G48" s="1663"/>
      <c r="H48" s="1663"/>
      <c r="I48" s="1659"/>
      <c r="J48" s="1659"/>
      <c r="K48" s="1663"/>
      <c r="L48" s="1663"/>
    </row>
    <row r="49" spans="1:14" x14ac:dyDescent="0.2">
      <c r="A49" s="1267" t="s">
        <v>810</v>
      </c>
      <c r="B49" s="503">
        <v>2310</v>
      </c>
      <c r="C49" s="1573">
        <v>0</v>
      </c>
      <c r="D49" s="1573">
        <v>0</v>
      </c>
      <c r="E49" s="1573">
        <v>132618</v>
      </c>
      <c r="F49" s="1573">
        <v>21838</v>
      </c>
      <c r="G49" s="1573">
        <v>0</v>
      </c>
      <c r="H49" s="1573">
        <v>15950</v>
      </c>
      <c r="I49" s="1562">
        <v>0</v>
      </c>
      <c r="J49" s="1562">
        <v>0</v>
      </c>
      <c r="K49" s="1664">
        <f>SUM(C49:J49)</f>
        <v>170406</v>
      </c>
      <c r="L49" s="1573">
        <v>265600</v>
      </c>
    </row>
    <row r="50" spans="1:14" x14ac:dyDescent="0.2">
      <c r="A50" s="1267" t="s">
        <v>811</v>
      </c>
      <c r="B50" s="503">
        <v>2320</v>
      </c>
      <c r="C50" s="1561">
        <v>302031</v>
      </c>
      <c r="D50" s="1561">
        <v>80966</v>
      </c>
      <c r="E50" s="1561">
        <v>20472</v>
      </c>
      <c r="F50" s="1561">
        <v>2670</v>
      </c>
      <c r="G50" s="1561">
        <v>0</v>
      </c>
      <c r="H50" s="1561">
        <v>21292</v>
      </c>
      <c r="I50" s="1562">
        <v>0</v>
      </c>
      <c r="J50" s="1562">
        <v>0</v>
      </c>
      <c r="K50" s="1664">
        <f>SUM(C50:J50)</f>
        <v>427431</v>
      </c>
      <c r="L50" s="1561">
        <v>398410</v>
      </c>
    </row>
    <row r="51" spans="1:14" x14ac:dyDescent="0.2">
      <c r="A51" s="1267" t="s">
        <v>42</v>
      </c>
      <c r="B51" s="503">
        <v>2330</v>
      </c>
      <c r="C51" s="1561">
        <v>261106</v>
      </c>
      <c r="D51" s="1561">
        <v>72524</v>
      </c>
      <c r="E51" s="1561">
        <v>9345</v>
      </c>
      <c r="F51" s="1561">
        <v>1459</v>
      </c>
      <c r="G51" s="1561">
        <v>0</v>
      </c>
      <c r="H51" s="1561">
        <v>450</v>
      </c>
      <c r="I51" s="1562">
        <v>0</v>
      </c>
      <c r="J51" s="1562">
        <v>0</v>
      </c>
      <c r="K51" s="1664">
        <f>SUM(C51:J51)</f>
        <v>344884</v>
      </c>
      <c r="L51" s="1561">
        <v>350300</v>
      </c>
    </row>
    <row r="52" spans="1:14" ht="22.5" x14ac:dyDescent="0.2">
      <c r="A52" s="1268" t="s">
        <v>294</v>
      </c>
      <c r="B52" s="511" t="s">
        <v>362</v>
      </c>
      <c r="C52" s="1567">
        <v>0</v>
      </c>
      <c r="D52" s="1567">
        <v>0</v>
      </c>
      <c r="E52" s="1567">
        <v>251854</v>
      </c>
      <c r="F52" s="1567">
        <v>0</v>
      </c>
      <c r="G52" s="1567">
        <v>0</v>
      </c>
      <c r="H52" s="1567">
        <v>0</v>
      </c>
      <c r="I52" s="1567">
        <v>0</v>
      </c>
      <c r="J52" s="1567">
        <v>0</v>
      </c>
      <c r="K52" s="1664">
        <f>SUM(C52:J52)</f>
        <v>251854</v>
      </c>
      <c r="L52" s="1567">
        <v>272000</v>
      </c>
    </row>
    <row r="53" spans="1:14" ht="12.75" customHeight="1" thickBot="1" x14ac:dyDescent="0.25">
      <c r="A53" s="1373" t="s">
        <v>710</v>
      </c>
      <c r="B53" s="1374" t="s">
        <v>33</v>
      </c>
      <c r="C53" s="1660">
        <f>SUM(C49:C52)</f>
        <v>563137</v>
      </c>
      <c r="D53" s="1660">
        <f t="shared" ref="D53:L53" si="5">SUM(D49:D52)</f>
        <v>153490</v>
      </c>
      <c r="E53" s="1660">
        <f t="shared" si="5"/>
        <v>414289</v>
      </c>
      <c r="F53" s="1660">
        <f t="shared" si="5"/>
        <v>25967</v>
      </c>
      <c r="G53" s="1660">
        <f t="shared" si="5"/>
        <v>0</v>
      </c>
      <c r="H53" s="1660">
        <f t="shared" si="5"/>
        <v>37692</v>
      </c>
      <c r="I53" s="1660">
        <f t="shared" si="5"/>
        <v>0</v>
      </c>
      <c r="J53" s="1660">
        <f t="shared" si="5"/>
        <v>0</v>
      </c>
      <c r="K53" s="1660">
        <f t="shared" si="5"/>
        <v>1194575</v>
      </c>
      <c r="L53" s="1660">
        <f t="shared" si="5"/>
        <v>1286310</v>
      </c>
    </row>
    <row r="54" spans="1:14" ht="15.75" customHeight="1" thickTop="1" x14ac:dyDescent="0.2">
      <c r="A54" s="509" t="s">
        <v>606</v>
      </c>
      <c r="B54" s="510"/>
      <c r="C54" s="1663"/>
      <c r="D54" s="1663"/>
      <c r="E54" s="1663"/>
      <c r="F54" s="1663"/>
      <c r="G54" s="1663"/>
      <c r="H54" s="1663"/>
      <c r="I54" s="1659"/>
      <c r="J54" s="1659"/>
      <c r="K54" s="1663"/>
      <c r="L54" s="1663"/>
    </row>
    <row r="55" spans="1:14" x14ac:dyDescent="0.2">
      <c r="A55" s="1267" t="s">
        <v>1056</v>
      </c>
      <c r="B55" s="503">
        <v>2410</v>
      </c>
      <c r="C55" s="1573">
        <v>1135204</v>
      </c>
      <c r="D55" s="1573">
        <v>293957</v>
      </c>
      <c r="E55" s="1573">
        <v>3143</v>
      </c>
      <c r="F55" s="1573">
        <v>18506</v>
      </c>
      <c r="G55" s="1573">
        <v>0</v>
      </c>
      <c r="H55" s="1573">
        <v>1497</v>
      </c>
      <c r="I55" s="1562">
        <v>0</v>
      </c>
      <c r="J55" s="1562">
        <v>0</v>
      </c>
      <c r="K55" s="1664">
        <f>SUM(C55:J55)</f>
        <v>1452307</v>
      </c>
      <c r="L55" s="1573">
        <v>1454300</v>
      </c>
    </row>
    <row r="56" spans="1:14" ht="12.75" customHeight="1" x14ac:dyDescent="0.2">
      <c r="A56" s="1271" t="s">
        <v>372</v>
      </c>
      <c r="B56" s="512">
        <v>2490</v>
      </c>
      <c r="C56" s="1561">
        <v>0</v>
      </c>
      <c r="D56" s="1561">
        <v>0</v>
      </c>
      <c r="E56" s="1561">
        <v>0</v>
      </c>
      <c r="F56" s="1561">
        <v>0</v>
      </c>
      <c r="G56" s="1561">
        <v>0</v>
      </c>
      <c r="H56" s="1561">
        <v>0</v>
      </c>
      <c r="I56" s="1562">
        <v>0</v>
      </c>
      <c r="J56" s="1562">
        <v>0</v>
      </c>
      <c r="K56" s="1664">
        <f>SUM(C56:J56)</f>
        <v>0</v>
      </c>
      <c r="L56" s="1561">
        <v>0</v>
      </c>
    </row>
    <row r="57" spans="1:14" s="321" customFormat="1" ht="12.75" customHeight="1" thickBot="1" x14ac:dyDescent="0.25">
      <c r="A57" s="1373" t="s">
        <v>261</v>
      </c>
      <c r="B57" s="1375" t="s">
        <v>34</v>
      </c>
      <c r="C57" s="1665">
        <f>SUM(C55:C56)</f>
        <v>1135204</v>
      </c>
      <c r="D57" s="1665">
        <f t="shared" ref="D57:K57" si="6">SUM(D55:D56)</f>
        <v>293957</v>
      </c>
      <c r="E57" s="1665">
        <f t="shared" si="6"/>
        <v>3143</v>
      </c>
      <c r="F57" s="1665">
        <f t="shared" si="6"/>
        <v>18506</v>
      </c>
      <c r="G57" s="1665">
        <f t="shared" si="6"/>
        <v>0</v>
      </c>
      <c r="H57" s="1665">
        <f t="shared" si="6"/>
        <v>1497</v>
      </c>
      <c r="I57" s="1665">
        <f t="shared" si="6"/>
        <v>0</v>
      </c>
      <c r="J57" s="1665">
        <f t="shared" si="6"/>
        <v>0</v>
      </c>
      <c r="K57" s="1665">
        <f t="shared" si="6"/>
        <v>1452307</v>
      </c>
      <c r="L57" s="1660">
        <f>SUM(L55:L56)</f>
        <v>1454300</v>
      </c>
      <c r="M57" s="501"/>
      <c r="N57" s="501"/>
    </row>
    <row r="58" spans="1:14" s="321" customFormat="1" ht="15.75" customHeight="1" thickTop="1" x14ac:dyDescent="0.2">
      <c r="A58" s="509" t="s">
        <v>607</v>
      </c>
      <c r="B58" s="510"/>
      <c r="C58" s="1666"/>
      <c r="D58" s="1663"/>
      <c r="E58" s="1663"/>
      <c r="F58" s="1663"/>
      <c r="G58" s="1663"/>
      <c r="H58" s="1663"/>
      <c r="I58" s="1659"/>
      <c r="J58" s="1659"/>
      <c r="K58" s="1663"/>
      <c r="L58" s="1663"/>
      <c r="M58" s="501"/>
      <c r="N58" s="501"/>
    </row>
    <row r="59" spans="1:14" s="321" customFormat="1" x14ac:dyDescent="0.2">
      <c r="A59" s="1267" t="s">
        <v>1057</v>
      </c>
      <c r="B59" s="503">
        <v>2510</v>
      </c>
      <c r="C59" s="1573">
        <v>170860</v>
      </c>
      <c r="D59" s="1573">
        <v>42187</v>
      </c>
      <c r="E59" s="1573">
        <v>1167</v>
      </c>
      <c r="F59" s="1573">
        <v>0</v>
      </c>
      <c r="G59" s="1573">
        <v>0</v>
      </c>
      <c r="H59" s="1573">
        <v>1209</v>
      </c>
      <c r="I59" s="1562">
        <v>0</v>
      </c>
      <c r="J59" s="1562">
        <v>0</v>
      </c>
      <c r="K59" s="1664">
        <f t="shared" ref="K59:K64" si="7">SUM(C59:J59)</f>
        <v>215423</v>
      </c>
      <c r="L59" s="1573">
        <v>222000</v>
      </c>
      <c r="M59" s="501"/>
      <c r="N59" s="501"/>
    </row>
    <row r="60" spans="1:14" s="321" customFormat="1" x14ac:dyDescent="0.2">
      <c r="A60" s="1267" t="s">
        <v>459</v>
      </c>
      <c r="B60" s="503">
        <v>2520</v>
      </c>
      <c r="C60" s="1561">
        <v>299649</v>
      </c>
      <c r="D60" s="1561">
        <v>37969</v>
      </c>
      <c r="E60" s="1561">
        <v>112894</v>
      </c>
      <c r="F60" s="1561">
        <v>27578</v>
      </c>
      <c r="G60" s="1561">
        <v>0</v>
      </c>
      <c r="H60" s="1561">
        <v>58</v>
      </c>
      <c r="I60" s="1562">
        <v>0</v>
      </c>
      <c r="J60" s="1562">
        <v>0</v>
      </c>
      <c r="K60" s="1664">
        <f t="shared" si="7"/>
        <v>478148</v>
      </c>
      <c r="L60" s="1561">
        <v>492050</v>
      </c>
      <c r="M60" s="501"/>
      <c r="N60" s="501"/>
    </row>
    <row r="61" spans="1:14" s="321" customFormat="1" x14ac:dyDescent="0.2">
      <c r="A61" s="1267" t="s">
        <v>195</v>
      </c>
      <c r="B61" s="503">
        <v>2540</v>
      </c>
      <c r="C61" s="1561">
        <v>0</v>
      </c>
      <c r="D61" s="1561">
        <v>0</v>
      </c>
      <c r="E61" s="1561">
        <v>432896</v>
      </c>
      <c r="F61" s="1561">
        <v>274656</v>
      </c>
      <c r="G61" s="1561">
        <v>0</v>
      </c>
      <c r="H61" s="1561">
        <v>0</v>
      </c>
      <c r="I61" s="1562">
        <v>0</v>
      </c>
      <c r="J61" s="1562">
        <v>0</v>
      </c>
      <c r="K61" s="1664">
        <f t="shared" si="7"/>
        <v>707552</v>
      </c>
      <c r="L61" s="1561">
        <v>616150</v>
      </c>
      <c r="M61" s="501"/>
      <c r="N61" s="501"/>
    </row>
    <row r="62" spans="1:14" s="321" customFormat="1" x14ac:dyDescent="0.2">
      <c r="A62" s="1267" t="s">
        <v>945</v>
      </c>
      <c r="B62" s="503">
        <v>2550</v>
      </c>
      <c r="C62" s="1561">
        <v>0</v>
      </c>
      <c r="D62" s="1561">
        <v>0</v>
      </c>
      <c r="E62" s="1561">
        <v>0</v>
      </c>
      <c r="F62" s="1561">
        <v>0</v>
      </c>
      <c r="G62" s="1561">
        <v>0</v>
      </c>
      <c r="H62" s="1561">
        <v>0</v>
      </c>
      <c r="I62" s="1562">
        <v>0</v>
      </c>
      <c r="J62" s="1562">
        <v>0</v>
      </c>
      <c r="K62" s="1664">
        <f t="shared" si="7"/>
        <v>0</v>
      </c>
      <c r="L62" s="1561">
        <v>37150</v>
      </c>
      <c r="M62" s="501"/>
      <c r="N62" s="501"/>
    </row>
    <row r="63" spans="1:14" s="501" customFormat="1" x14ac:dyDescent="0.2">
      <c r="A63" s="1267" t="s">
        <v>100</v>
      </c>
      <c r="B63" s="503">
        <v>2560</v>
      </c>
      <c r="C63" s="1561">
        <v>24625</v>
      </c>
      <c r="D63" s="1561">
        <v>4197</v>
      </c>
      <c r="E63" s="1561">
        <v>0</v>
      </c>
      <c r="F63" s="1561">
        <v>200</v>
      </c>
      <c r="G63" s="1561">
        <v>0</v>
      </c>
      <c r="H63" s="1561">
        <v>0</v>
      </c>
      <c r="I63" s="1562">
        <v>0</v>
      </c>
      <c r="J63" s="1562">
        <v>0</v>
      </c>
      <c r="K63" s="1664">
        <f t="shared" si="7"/>
        <v>29022</v>
      </c>
      <c r="L63" s="1561">
        <v>0</v>
      </c>
    </row>
    <row r="64" spans="1:14" s="501" customFormat="1" x14ac:dyDescent="0.2">
      <c r="A64" s="1272" t="s">
        <v>101</v>
      </c>
      <c r="B64" s="513">
        <v>2570</v>
      </c>
      <c r="C64" s="1573">
        <v>0</v>
      </c>
      <c r="D64" s="1573">
        <v>0</v>
      </c>
      <c r="E64" s="1573">
        <v>0</v>
      </c>
      <c r="F64" s="1573">
        <v>0</v>
      </c>
      <c r="G64" s="1573">
        <v>0</v>
      </c>
      <c r="H64" s="1573">
        <v>0</v>
      </c>
      <c r="I64" s="1562">
        <v>0</v>
      </c>
      <c r="J64" s="1562">
        <v>0</v>
      </c>
      <c r="K64" s="1664">
        <f t="shared" si="7"/>
        <v>0</v>
      </c>
      <c r="L64" s="1573">
        <v>0</v>
      </c>
    </row>
    <row r="65" spans="1:14" s="321" customFormat="1" ht="12.75" customHeight="1" thickBot="1" x14ac:dyDescent="0.25">
      <c r="A65" s="1373" t="s">
        <v>712</v>
      </c>
      <c r="B65" s="1374" t="s">
        <v>35</v>
      </c>
      <c r="C65" s="1660">
        <f>SUM(C59:C64)</f>
        <v>495134</v>
      </c>
      <c r="D65" s="1660">
        <f t="shared" ref="D65:L65" si="8">SUM(D59:D64)</f>
        <v>84353</v>
      </c>
      <c r="E65" s="1660">
        <f t="shared" si="8"/>
        <v>546957</v>
      </c>
      <c r="F65" s="1660">
        <f t="shared" si="8"/>
        <v>302434</v>
      </c>
      <c r="G65" s="1660">
        <f t="shared" si="8"/>
        <v>0</v>
      </c>
      <c r="H65" s="1660">
        <f t="shared" si="8"/>
        <v>1267</v>
      </c>
      <c r="I65" s="1660">
        <f t="shared" si="8"/>
        <v>0</v>
      </c>
      <c r="J65" s="1660">
        <f t="shared" si="8"/>
        <v>0</v>
      </c>
      <c r="K65" s="1660">
        <f t="shared" si="8"/>
        <v>1430145</v>
      </c>
      <c r="L65" s="1660">
        <f t="shared" si="8"/>
        <v>1367350</v>
      </c>
      <c r="M65" s="501"/>
      <c r="N65" s="501"/>
    </row>
    <row r="66" spans="1:14" s="321" customFormat="1" ht="15.75" customHeight="1" thickTop="1" x14ac:dyDescent="0.2">
      <c r="A66" s="509" t="s">
        <v>608</v>
      </c>
      <c r="B66" s="514"/>
      <c r="C66" s="1659"/>
      <c r="D66" s="1659"/>
      <c r="E66" s="1659"/>
      <c r="F66" s="1659"/>
      <c r="G66" s="1659"/>
      <c r="H66" s="1659"/>
      <c r="I66" s="1659"/>
      <c r="J66" s="1659"/>
      <c r="K66" s="1663"/>
      <c r="L66" s="1663"/>
      <c r="M66" s="501"/>
      <c r="N66" s="501"/>
    </row>
    <row r="67" spans="1:14" s="321" customFormat="1" x14ac:dyDescent="0.2">
      <c r="A67" s="1267" t="s">
        <v>1049</v>
      </c>
      <c r="B67" s="503">
        <v>2610</v>
      </c>
      <c r="C67" s="1561">
        <v>0</v>
      </c>
      <c r="D67" s="1561">
        <v>0</v>
      </c>
      <c r="E67" s="1561">
        <v>0</v>
      </c>
      <c r="F67" s="1561">
        <v>0</v>
      </c>
      <c r="G67" s="1561">
        <v>0</v>
      </c>
      <c r="H67" s="1561">
        <v>0</v>
      </c>
      <c r="I67" s="1562">
        <v>0</v>
      </c>
      <c r="J67" s="1562">
        <v>0</v>
      </c>
      <c r="K67" s="1664">
        <f>SUM(C67:J67)</f>
        <v>0</v>
      </c>
      <c r="L67" s="1573">
        <v>0</v>
      </c>
      <c r="M67" s="501"/>
      <c r="N67" s="501"/>
    </row>
    <row r="68" spans="1:14" s="321" customFormat="1" x14ac:dyDescent="0.2">
      <c r="A68" s="1267" t="s">
        <v>602</v>
      </c>
      <c r="B68" s="503">
        <v>2620</v>
      </c>
      <c r="C68" s="1561">
        <v>0</v>
      </c>
      <c r="D68" s="1561">
        <v>0</v>
      </c>
      <c r="E68" s="1561">
        <v>9716</v>
      </c>
      <c r="F68" s="1561">
        <v>0</v>
      </c>
      <c r="G68" s="1561">
        <v>0</v>
      </c>
      <c r="H68" s="1561">
        <v>0</v>
      </c>
      <c r="I68" s="1562">
        <v>0</v>
      </c>
      <c r="J68" s="1562">
        <v>0</v>
      </c>
      <c r="K68" s="1664">
        <f>SUM(C68:J68)</f>
        <v>9716</v>
      </c>
      <c r="L68" s="1561">
        <v>35400</v>
      </c>
      <c r="M68" s="501"/>
      <c r="N68" s="501"/>
    </row>
    <row r="69" spans="1:14" s="321" customFormat="1" x14ac:dyDescent="0.2">
      <c r="A69" s="1267" t="s">
        <v>1050</v>
      </c>
      <c r="B69" s="503">
        <v>2630</v>
      </c>
      <c r="C69" s="1561">
        <v>75198</v>
      </c>
      <c r="D69" s="1561">
        <v>10215</v>
      </c>
      <c r="E69" s="1561">
        <v>3333</v>
      </c>
      <c r="F69" s="1561">
        <v>429</v>
      </c>
      <c r="G69" s="1561">
        <v>0</v>
      </c>
      <c r="H69" s="1561">
        <v>858</v>
      </c>
      <c r="I69" s="1562">
        <v>0</v>
      </c>
      <c r="J69" s="1562">
        <v>0</v>
      </c>
      <c r="K69" s="1664">
        <f>SUM(C69:J69)</f>
        <v>90033</v>
      </c>
      <c r="L69" s="1561">
        <v>88232</v>
      </c>
      <c r="M69" s="501"/>
      <c r="N69" s="501"/>
    </row>
    <row r="70" spans="1:14" s="321" customFormat="1" x14ac:dyDescent="0.2">
      <c r="A70" s="1267" t="s">
        <v>399</v>
      </c>
      <c r="B70" s="503">
        <v>2640</v>
      </c>
      <c r="C70" s="1561">
        <v>0</v>
      </c>
      <c r="D70" s="1561">
        <v>0</v>
      </c>
      <c r="E70" s="1561">
        <v>15783</v>
      </c>
      <c r="F70" s="1561">
        <v>940</v>
      </c>
      <c r="G70" s="1561">
        <v>0</v>
      </c>
      <c r="H70" s="1561">
        <v>0</v>
      </c>
      <c r="I70" s="1562">
        <v>0</v>
      </c>
      <c r="J70" s="1562">
        <v>0</v>
      </c>
      <c r="K70" s="1664">
        <f>SUM(C70:J70)</f>
        <v>16723</v>
      </c>
      <c r="L70" s="1561">
        <v>14350</v>
      </c>
      <c r="M70" s="501"/>
      <c r="N70" s="501"/>
    </row>
    <row r="71" spans="1:14" s="321" customFormat="1" x14ac:dyDescent="0.2">
      <c r="A71" s="1267" t="s">
        <v>400</v>
      </c>
      <c r="B71" s="503">
        <v>2660</v>
      </c>
      <c r="C71" s="1561">
        <v>648828</v>
      </c>
      <c r="D71" s="1561">
        <v>138841</v>
      </c>
      <c r="E71" s="1561">
        <v>153958</v>
      </c>
      <c r="F71" s="1561">
        <v>100552</v>
      </c>
      <c r="G71" s="1561">
        <v>58298</v>
      </c>
      <c r="H71" s="1561">
        <v>0</v>
      </c>
      <c r="I71" s="1562">
        <v>134783</v>
      </c>
      <c r="J71" s="1562">
        <v>0</v>
      </c>
      <c r="K71" s="1664">
        <f>SUM(C71:J71)</f>
        <v>1235260</v>
      </c>
      <c r="L71" s="1561">
        <v>1164080</v>
      </c>
      <c r="M71" s="501"/>
      <c r="N71" s="501"/>
    </row>
    <row r="72" spans="1:14" s="321" customFormat="1" ht="12.75" customHeight="1" thickBot="1" x14ac:dyDescent="0.25">
      <c r="A72" s="1373" t="s">
        <v>37</v>
      </c>
      <c r="B72" s="1376" t="s">
        <v>36</v>
      </c>
      <c r="C72" s="1660">
        <f>SUM(C67:C71)</f>
        <v>724026</v>
      </c>
      <c r="D72" s="1660">
        <f t="shared" ref="D72:K72" si="9">SUM(D67:D71)</f>
        <v>149056</v>
      </c>
      <c r="E72" s="1660">
        <f t="shared" si="9"/>
        <v>182790</v>
      </c>
      <c r="F72" s="1660">
        <f t="shared" si="9"/>
        <v>101921</v>
      </c>
      <c r="G72" s="1660">
        <f t="shared" si="9"/>
        <v>58298</v>
      </c>
      <c r="H72" s="1660">
        <f t="shared" si="9"/>
        <v>858</v>
      </c>
      <c r="I72" s="1660">
        <f t="shared" si="9"/>
        <v>134783</v>
      </c>
      <c r="J72" s="1660">
        <f t="shared" si="9"/>
        <v>0</v>
      </c>
      <c r="K72" s="1660">
        <f t="shared" si="9"/>
        <v>1351732</v>
      </c>
      <c r="L72" s="1660">
        <f>SUM(L67:L71)</f>
        <v>1302062</v>
      </c>
      <c r="M72" s="501"/>
      <c r="N72" s="501"/>
    </row>
    <row r="73" spans="1:14" s="321" customFormat="1" ht="14.25" thickTop="1" thickBot="1" x14ac:dyDescent="0.25">
      <c r="A73" s="1273" t="s">
        <v>971</v>
      </c>
      <c r="B73" s="515" t="s">
        <v>569</v>
      </c>
      <c r="C73" s="1635">
        <v>0</v>
      </c>
      <c r="D73" s="1635">
        <v>0</v>
      </c>
      <c r="E73" s="1635">
        <v>0</v>
      </c>
      <c r="F73" s="1635">
        <v>0</v>
      </c>
      <c r="G73" s="1635">
        <v>0</v>
      </c>
      <c r="H73" s="1635">
        <v>0</v>
      </c>
      <c r="I73" s="1613">
        <v>0</v>
      </c>
      <c r="J73" s="1613">
        <v>0</v>
      </c>
      <c r="K73" s="1660">
        <f>SUM(C73:J73)</f>
        <v>0</v>
      </c>
      <c r="L73" s="1637">
        <v>0</v>
      </c>
      <c r="M73" s="501"/>
      <c r="N73" s="501"/>
    </row>
    <row r="74" spans="1:14" ht="12.75" customHeight="1" thickTop="1" thickBot="1" x14ac:dyDescent="0.25">
      <c r="A74" s="1373" t="s">
        <v>804</v>
      </c>
      <c r="B74" s="1377">
        <v>2000</v>
      </c>
      <c r="C74" s="1667">
        <f>SUM(C42,C47,C53,C57,C65,C72,C73)</f>
        <v>5493047</v>
      </c>
      <c r="D74" s="1667">
        <f t="shared" ref="D74:K74" si="10">SUM(D42,D47,D53,D57,D65,D72,D73)</f>
        <v>1017214</v>
      </c>
      <c r="E74" s="1667">
        <f t="shared" si="10"/>
        <v>1512596</v>
      </c>
      <c r="F74" s="1667">
        <f t="shared" si="10"/>
        <v>587401</v>
      </c>
      <c r="G74" s="1667">
        <f t="shared" si="10"/>
        <v>58298</v>
      </c>
      <c r="H74" s="1667">
        <f t="shared" si="10"/>
        <v>45691</v>
      </c>
      <c r="I74" s="1667">
        <f t="shared" si="10"/>
        <v>135686</v>
      </c>
      <c r="J74" s="1667">
        <f t="shared" si="10"/>
        <v>0</v>
      </c>
      <c r="K74" s="1667">
        <f t="shared" si="10"/>
        <v>8849933</v>
      </c>
      <c r="L74" s="1667">
        <f>SUM(L42,L47,L53,L57,L65,L72,L73)</f>
        <v>8958272</v>
      </c>
    </row>
    <row r="75" spans="1:14" s="254" customFormat="1" ht="15.75" customHeight="1" thickTop="1" thickBot="1" x14ac:dyDescent="0.25">
      <c r="A75" s="1341" t="s">
        <v>47</v>
      </c>
      <c r="B75" s="1342" t="s">
        <v>570</v>
      </c>
      <c r="C75" s="1635">
        <v>244847</v>
      </c>
      <c r="D75" s="1635">
        <v>43981</v>
      </c>
      <c r="E75" s="1635">
        <v>15307</v>
      </c>
      <c r="F75" s="1635">
        <v>23710</v>
      </c>
      <c r="G75" s="1635">
        <v>0</v>
      </c>
      <c r="H75" s="1635">
        <v>0</v>
      </c>
      <c r="I75" s="1613">
        <v>0</v>
      </c>
      <c r="J75" s="1613">
        <v>0</v>
      </c>
      <c r="K75" s="1660">
        <f>SUM(C75:J75)</f>
        <v>327845</v>
      </c>
      <c r="L75" s="1637">
        <v>353700</v>
      </c>
      <c r="M75" s="502"/>
      <c r="N75" s="502"/>
    </row>
    <row r="76" spans="1:14" s="516" customFormat="1" ht="15.75" customHeight="1" thickTop="1" x14ac:dyDescent="0.2">
      <c r="A76" s="1343" t="s">
        <v>361</v>
      </c>
      <c r="B76" s="1340" t="s">
        <v>853</v>
      </c>
      <c r="C76" s="1661"/>
      <c r="D76" s="1661"/>
      <c r="E76" s="1659"/>
      <c r="F76" s="1661"/>
      <c r="G76" s="1661"/>
      <c r="H76" s="1659"/>
      <c r="I76" s="1659"/>
      <c r="J76" s="1659"/>
      <c r="K76" s="1659"/>
      <c r="L76" s="1659"/>
      <c r="M76" s="179"/>
      <c r="N76" s="179"/>
    </row>
    <row r="77" spans="1:14" s="254" customFormat="1" ht="15.75" customHeight="1" x14ac:dyDescent="0.2">
      <c r="A77" s="507" t="s">
        <v>609</v>
      </c>
      <c r="B77" s="508"/>
      <c r="C77" s="1659"/>
      <c r="D77" s="1659"/>
      <c r="E77" s="1662"/>
      <c r="F77" s="1659"/>
      <c r="G77" s="1659"/>
      <c r="H77" s="1662"/>
      <c r="I77" s="1659"/>
      <c r="J77" s="1659"/>
      <c r="K77" s="1662"/>
      <c r="L77" s="1662"/>
      <c r="M77" s="502"/>
      <c r="N77" s="502"/>
    </row>
    <row r="78" spans="1:14" x14ac:dyDescent="0.2">
      <c r="A78" s="1267" t="s">
        <v>492</v>
      </c>
      <c r="B78" s="503">
        <v>4110</v>
      </c>
      <c r="C78" s="1659"/>
      <c r="D78" s="1659"/>
      <c r="E78" s="1573">
        <v>0</v>
      </c>
      <c r="F78" s="1659"/>
      <c r="G78" s="1659"/>
      <c r="H78" s="1668">
        <v>0</v>
      </c>
      <c r="I78" s="1569"/>
      <c r="J78" s="1569"/>
      <c r="K78" s="1658">
        <f t="shared" ref="K78:K83" si="11">SUM(C78:J78)</f>
        <v>0</v>
      </c>
      <c r="L78" s="1573">
        <v>0</v>
      </c>
    </row>
    <row r="79" spans="1:14" x14ac:dyDescent="0.2">
      <c r="A79" s="1267" t="s">
        <v>300</v>
      </c>
      <c r="B79" s="503">
        <v>4120</v>
      </c>
      <c r="C79" s="1659"/>
      <c r="D79" s="1659"/>
      <c r="E79" s="1561">
        <v>358650</v>
      </c>
      <c r="F79" s="1659"/>
      <c r="G79" s="1659"/>
      <c r="H79" s="1561">
        <v>300000</v>
      </c>
      <c r="I79" s="1569"/>
      <c r="J79" s="1569"/>
      <c r="K79" s="1658">
        <f t="shared" si="11"/>
        <v>658650</v>
      </c>
      <c r="L79" s="1561">
        <v>620000</v>
      </c>
    </row>
    <row r="80" spans="1:14" x14ac:dyDescent="0.2">
      <c r="A80" s="1267" t="s">
        <v>301</v>
      </c>
      <c r="B80" s="503">
        <v>4130</v>
      </c>
      <c r="C80" s="1659"/>
      <c r="D80" s="1659"/>
      <c r="E80" s="1561">
        <v>0</v>
      </c>
      <c r="F80" s="1659"/>
      <c r="G80" s="1659"/>
      <c r="H80" s="1561">
        <v>0</v>
      </c>
      <c r="I80" s="1569"/>
      <c r="J80" s="1569"/>
      <c r="K80" s="1658">
        <f t="shared" si="11"/>
        <v>0</v>
      </c>
      <c r="L80" s="1561">
        <v>0</v>
      </c>
    </row>
    <row r="81" spans="1:12" x14ac:dyDescent="0.2">
      <c r="A81" s="1267" t="s">
        <v>690</v>
      </c>
      <c r="B81" s="503">
        <v>4140</v>
      </c>
      <c r="C81" s="1659"/>
      <c r="D81" s="1659"/>
      <c r="E81" s="1561">
        <v>0</v>
      </c>
      <c r="F81" s="1659"/>
      <c r="G81" s="1659"/>
      <c r="H81" s="1561">
        <v>0</v>
      </c>
      <c r="I81" s="1569"/>
      <c r="J81" s="1569"/>
      <c r="K81" s="1658">
        <f t="shared" si="11"/>
        <v>0</v>
      </c>
      <c r="L81" s="1561">
        <v>0</v>
      </c>
    </row>
    <row r="82" spans="1:12" x14ac:dyDescent="0.2">
      <c r="A82" s="1267" t="s">
        <v>86</v>
      </c>
      <c r="B82" s="503">
        <v>4170</v>
      </c>
      <c r="C82" s="1659"/>
      <c r="D82" s="1659"/>
      <c r="E82" s="1561">
        <v>0</v>
      </c>
      <c r="F82" s="1659"/>
      <c r="G82" s="1659"/>
      <c r="H82" s="1561">
        <v>0</v>
      </c>
      <c r="I82" s="1569"/>
      <c r="J82" s="1569"/>
      <c r="K82" s="1658">
        <f t="shared" si="11"/>
        <v>0</v>
      </c>
      <c r="L82" s="1561">
        <v>0</v>
      </c>
    </row>
    <row r="83" spans="1:12" x14ac:dyDescent="0.2">
      <c r="A83" s="1271" t="s">
        <v>691</v>
      </c>
      <c r="B83" s="512">
        <v>4190</v>
      </c>
      <c r="C83" s="1659"/>
      <c r="D83" s="1659"/>
      <c r="E83" s="1561">
        <v>0</v>
      </c>
      <c r="F83" s="1659"/>
      <c r="G83" s="1659"/>
      <c r="H83" s="1561">
        <v>0</v>
      </c>
      <c r="I83" s="1569"/>
      <c r="J83" s="1569"/>
      <c r="K83" s="1658">
        <f t="shared" si="11"/>
        <v>0</v>
      </c>
      <c r="L83" s="1561">
        <v>0</v>
      </c>
    </row>
    <row r="84" spans="1:12" ht="13.5" thickBot="1" x14ac:dyDescent="0.25">
      <c r="A84" s="1373" t="s">
        <v>1464</v>
      </c>
      <c r="B84" s="1378">
        <v>4100</v>
      </c>
      <c r="C84" s="1659"/>
      <c r="D84" s="1659"/>
      <c r="E84" s="1660">
        <f>SUM(E78:E83)</f>
        <v>358650</v>
      </c>
      <c r="F84" s="1659"/>
      <c r="G84" s="1659"/>
      <c r="H84" s="1660">
        <f>SUM(H78:H83)</f>
        <v>300000</v>
      </c>
      <c r="I84" s="1569"/>
      <c r="J84" s="1569"/>
      <c r="K84" s="1660">
        <f>SUM(K78:K83)</f>
        <v>658650</v>
      </c>
      <c r="L84" s="1660">
        <f>SUM(L78:L83)</f>
        <v>620000</v>
      </c>
    </row>
    <row r="85" spans="1:12" ht="12.75" customHeight="1" thickTop="1" thickBot="1" x14ac:dyDescent="0.25">
      <c r="A85" s="1274" t="s">
        <v>253</v>
      </c>
      <c r="B85" s="517">
        <v>4210</v>
      </c>
      <c r="C85" s="1659"/>
      <c r="D85" s="1659"/>
      <c r="E85" s="1669"/>
      <c r="F85" s="1659"/>
      <c r="G85" s="1659"/>
      <c r="H85" s="1616">
        <v>0</v>
      </c>
      <c r="I85" s="1569"/>
      <c r="J85" s="1569"/>
      <c r="K85" s="1667">
        <f>H85</f>
        <v>0</v>
      </c>
      <c r="L85" s="1612">
        <v>0</v>
      </c>
    </row>
    <row r="86" spans="1:12" ht="12.75" customHeight="1" thickTop="1" thickBot="1" x14ac:dyDescent="0.25">
      <c r="A86" s="1275" t="s">
        <v>692</v>
      </c>
      <c r="B86" s="518">
        <v>4220</v>
      </c>
      <c r="C86" s="1659"/>
      <c r="D86" s="1659"/>
      <c r="E86" s="1670"/>
      <c r="F86" s="1659"/>
      <c r="G86" s="1659"/>
      <c r="H86" s="1562">
        <v>0</v>
      </c>
      <c r="I86" s="1569"/>
      <c r="J86" s="1569"/>
      <c r="K86" s="1667">
        <f t="shared" ref="K86:K98" si="12">H86</f>
        <v>0</v>
      </c>
      <c r="L86" s="1612">
        <v>100000</v>
      </c>
    </row>
    <row r="87" spans="1:12" ht="14.25" thickTop="1" thickBot="1" x14ac:dyDescent="0.25">
      <c r="A87" s="1276" t="s">
        <v>693</v>
      </c>
      <c r="B87" s="519">
        <v>4230</v>
      </c>
      <c r="C87" s="1659"/>
      <c r="D87" s="1659"/>
      <c r="E87" s="1670"/>
      <c r="F87" s="1659"/>
      <c r="G87" s="1659"/>
      <c r="H87" s="1562">
        <v>0</v>
      </c>
      <c r="I87" s="1569"/>
      <c r="J87" s="1569"/>
      <c r="K87" s="1667">
        <f t="shared" si="12"/>
        <v>0</v>
      </c>
      <c r="L87" s="1612">
        <v>0</v>
      </c>
    </row>
    <row r="88" spans="1:12" ht="12.75" customHeight="1" thickTop="1" thickBot="1" x14ac:dyDescent="0.25">
      <c r="A88" s="1276" t="s">
        <v>758</v>
      </c>
      <c r="B88" s="519">
        <v>4240</v>
      </c>
      <c r="C88" s="1659"/>
      <c r="D88" s="1659"/>
      <c r="E88" s="1670"/>
      <c r="F88" s="1659"/>
      <c r="G88" s="1659"/>
      <c r="H88" s="1562">
        <v>0</v>
      </c>
      <c r="I88" s="1569"/>
      <c r="J88" s="1569"/>
      <c r="K88" s="1667">
        <f t="shared" si="12"/>
        <v>0</v>
      </c>
      <c r="L88" s="1612">
        <v>0</v>
      </c>
    </row>
    <row r="89" spans="1:12" ht="12.75" customHeight="1" thickTop="1" thickBot="1" x14ac:dyDescent="0.25">
      <c r="A89" s="1276" t="s">
        <v>694</v>
      </c>
      <c r="B89" s="519">
        <v>4270</v>
      </c>
      <c r="C89" s="1659"/>
      <c r="D89" s="1659"/>
      <c r="E89" s="1670"/>
      <c r="F89" s="1659"/>
      <c r="G89" s="1659"/>
      <c r="H89" s="1562">
        <v>0</v>
      </c>
      <c r="I89" s="1569"/>
      <c r="J89" s="1569"/>
      <c r="K89" s="1667">
        <f t="shared" si="12"/>
        <v>0</v>
      </c>
      <c r="L89" s="1612">
        <v>0</v>
      </c>
    </row>
    <row r="90" spans="1:12" ht="12.75" customHeight="1" thickTop="1" thickBot="1" x14ac:dyDescent="0.25">
      <c r="A90" s="1276" t="s">
        <v>679</v>
      </c>
      <c r="B90" s="519">
        <v>4280</v>
      </c>
      <c r="C90" s="1659"/>
      <c r="D90" s="1659"/>
      <c r="E90" s="1670"/>
      <c r="F90" s="1659"/>
      <c r="G90" s="1659"/>
      <c r="H90" s="1562">
        <v>0</v>
      </c>
      <c r="I90" s="1569"/>
      <c r="J90" s="1569"/>
      <c r="K90" s="1667">
        <f t="shared" si="12"/>
        <v>0</v>
      </c>
      <c r="L90" s="1612">
        <v>0</v>
      </c>
    </row>
    <row r="91" spans="1:12" ht="12.75" customHeight="1" thickTop="1" thickBot="1" x14ac:dyDescent="0.25">
      <c r="A91" s="1276" t="s">
        <v>680</v>
      </c>
      <c r="B91" s="519">
        <v>4290</v>
      </c>
      <c r="C91" s="1659"/>
      <c r="D91" s="1659"/>
      <c r="E91" s="1670"/>
      <c r="F91" s="1659"/>
      <c r="G91" s="1659"/>
      <c r="H91" s="1562">
        <v>0</v>
      </c>
      <c r="I91" s="1569"/>
      <c r="J91" s="1569"/>
      <c r="K91" s="1667">
        <f t="shared" si="12"/>
        <v>0</v>
      </c>
      <c r="L91" s="1612">
        <v>0</v>
      </c>
    </row>
    <row r="92" spans="1:12" ht="14.25" thickTop="1" thickBot="1" x14ac:dyDescent="0.25">
      <c r="A92" s="1379" t="s">
        <v>1539</v>
      </c>
      <c r="B92" s="1378">
        <v>4200</v>
      </c>
      <c r="C92" s="1659"/>
      <c r="D92" s="1659"/>
      <c r="E92" s="1670"/>
      <c r="F92" s="1659"/>
      <c r="G92" s="1659"/>
      <c r="H92" s="1660">
        <f>SUM(H85:H91)</f>
        <v>0</v>
      </c>
      <c r="I92" s="1569"/>
      <c r="J92" s="1569"/>
      <c r="K92" s="1667">
        <f t="shared" si="12"/>
        <v>0</v>
      </c>
      <c r="L92" s="1660">
        <f>SUM(L85:L91)</f>
        <v>100000</v>
      </c>
    </row>
    <row r="93" spans="1:12" ht="14.25" thickTop="1" thickBot="1" x14ac:dyDescent="0.25">
      <c r="A93" s="1275" t="s">
        <v>681</v>
      </c>
      <c r="B93" s="520">
        <v>4310</v>
      </c>
      <c r="C93" s="1659"/>
      <c r="D93" s="1659"/>
      <c r="E93" s="1670"/>
      <c r="F93" s="1659"/>
      <c r="G93" s="1659"/>
      <c r="H93" s="1671">
        <v>0</v>
      </c>
      <c r="I93" s="1569"/>
      <c r="J93" s="1569"/>
      <c r="K93" s="1667">
        <f t="shared" si="12"/>
        <v>0</v>
      </c>
      <c r="L93" s="1614">
        <v>0</v>
      </c>
    </row>
    <row r="94" spans="1:12" ht="12.75" customHeight="1" thickTop="1" thickBot="1" x14ac:dyDescent="0.25">
      <c r="A94" s="1276" t="s">
        <v>682</v>
      </c>
      <c r="B94" s="519">
        <v>4320</v>
      </c>
      <c r="C94" s="1659"/>
      <c r="D94" s="1659"/>
      <c r="E94" s="1670"/>
      <c r="F94" s="1659"/>
      <c r="G94" s="1659"/>
      <c r="H94" s="1562">
        <v>0</v>
      </c>
      <c r="I94" s="1569"/>
      <c r="J94" s="1569"/>
      <c r="K94" s="1667">
        <f t="shared" si="12"/>
        <v>0</v>
      </c>
      <c r="L94" s="1612">
        <v>0</v>
      </c>
    </row>
    <row r="95" spans="1:12" ht="15" customHeight="1" thickTop="1" thickBot="1" x14ac:dyDescent="0.25">
      <c r="A95" s="1276" t="s">
        <v>1467</v>
      </c>
      <c r="B95" s="519">
        <v>4330</v>
      </c>
      <c r="C95" s="1659"/>
      <c r="D95" s="1659"/>
      <c r="E95" s="1670"/>
      <c r="F95" s="1659"/>
      <c r="G95" s="1659"/>
      <c r="H95" s="1562">
        <v>0</v>
      </c>
      <c r="I95" s="1569"/>
      <c r="J95" s="1569"/>
      <c r="K95" s="1667">
        <f t="shared" si="12"/>
        <v>0</v>
      </c>
      <c r="L95" s="1612">
        <v>0</v>
      </c>
    </row>
    <row r="96" spans="1:12" ht="14.25" thickTop="1" thickBot="1" x14ac:dyDescent="0.25">
      <c r="A96" s="1276" t="s">
        <v>683</v>
      </c>
      <c r="B96" s="519">
        <v>4340</v>
      </c>
      <c r="C96" s="1659"/>
      <c r="D96" s="1659"/>
      <c r="E96" s="1670"/>
      <c r="F96" s="1659"/>
      <c r="G96" s="1659"/>
      <c r="H96" s="1562">
        <v>0</v>
      </c>
      <c r="I96" s="1569"/>
      <c r="J96" s="1569"/>
      <c r="K96" s="1667">
        <f t="shared" si="12"/>
        <v>0</v>
      </c>
      <c r="L96" s="1612">
        <v>0</v>
      </c>
    </row>
    <row r="97" spans="1:14" ht="12.75" customHeight="1" thickTop="1" thickBot="1" x14ac:dyDescent="0.25">
      <c r="A97" s="1276" t="s">
        <v>756</v>
      </c>
      <c r="B97" s="519">
        <v>4370</v>
      </c>
      <c r="C97" s="1659"/>
      <c r="D97" s="1659"/>
      <c r="E97" s="1670"/>
      <c r="F97" s="1659"/>
      <c r="G97" s="1659"/>
      <c r="H97" s="1562">
        <v>0</v>
      </c>
      <c r="I97" s="1569"/>
      <c r="J97" s="1569"/>
      <c r="K97" s="1667">
        <f t="shared" si="12"/>
        <v>0</v>
      </c>
      <c r="L97" s="1612">
        <v>0</v>
      </c>
    </row>
    <row r="98" spans="1:14" ht="14.25" thickTop="1" thickBot="1" x14ac:dyDescent="0.25">
      <c r="A98" s="1276" t="s">
        <v>757</v>
      </c>
      <c r="B98" s="519">
        <v>4380</v>
      </c>
      <c r="C98" s="1659"/>
      <c r="D98" s="1659"/>
      <c r="E98" s="1672"/>
      <c r="F98" s="1659"/>
      <c r="G98" s="1659"/>
      <c r="H98" s="1562">
        <v>0</v>
      </c>
      <c r="I98" s="1569"/>
      <c r="J98" s="1569"/>
      <c r="K98" s="1667">
        <f t="shared" si="12"/>
        <v>0</v>
      </c>
      <c r="L98" s="1612">
        <v>0</v>
      </c>
    </row>
    <row r="99" spans="1:14" ht="14.25" thickTop="1" thickBot="1" x14ac:dyDescent="0.25">
      <c r="A99" s="1276" t="s">
        <v>363</v>
      </c>
      <c r="B99" s="519">
        <v>4390</v>
      </c>
      <c r="C99" s="1659"/>
      <c r="D99" s="1659"/>
      <c r="E99" s="1614">
        <v>0</v>
      </c>
      <c r="F99" s="1659"/>
      <c r="G99" s="1659"/>
      <c r="H99" s="1562">
        <v>0</v>
      </c>
      <c r="I99" s="1569"/>
      <c r="J99" s="1569"/>
      <c r="K99" s="1667">
        <f>SUM(E99,H99)</f>
        <v>0</v>
      </c>
      <c r="L99" s="1612">
        <v>0</v>
      </c>
    </row>
    <row r="100" spans="1:14" ht="14.25" thickTop="1" thickBot="1" x14ac:dyDescent="0.25">
      <c r="A100" s="1379" t="s">
        <v>1465</v>
      </c>
      <c r="B100" s="1380">
        <v>4300</v>
      </c>
      <c r="C100" s="1659"/>
      <c r="D100" s="1659"/>
      <c r="E100" s="1667">
        <f>SUM(E93:E99)</f>
        <v>0</v>
      </c>
      <c r="F100" s="1659"/>
      <c r="G100" s="1659"/>
      <c r="H100" s="1667">
        <f>SUM(H93:H99)</f>
        <v>0</v>
      </c>
      <c r="I100" s="1569"/>
      <c r="J100" s="1569"/>
      <c r="K100" s="1667">
        <f>SUM(K93:K99)</f>
        <v>0</v>
      </c>
      <c r="L100" s="1667">
        <f>SUM(L93:L99)</f>
        <v>0</v>
      </c>
    </row>
    <row r="101" spans="1:14" ht="12.75" customHeight="1" thickTop="1" thickBot="1" x14ac:dyDescent="0.25">
      <c r="A101" s="1273" t="s">
        <v>1468</v>
      </c>
      <c r="B101" s="521" t="s">
        <v>923</v>
      </c>
      <c r="C101" s="1659"/>
      <c r="D101" s="1659"/>
      <c r="E101" s="1613">
        <v>0</v>
      </c>
      <c r="F101" s="1659"/>
      <c r="G101" s="1659"/>
      <c r="H101" s="1613">
        <v>0</v>
      </c>
      <c r="I101" s="1569"/>
      <c r="J101" s="1569"/>
      <c r="K101" s="1673">
        <f>SUM(C101:J101)</f>
        <v>0</v>
      </c>
      <c r="L101" s="1612">
        <v>0</v>
      </c>
    </row>
    <row r="102" spans="1:14" ht="12.75" customHeight="1" thickTop="1" thickBot="1" x14ac:dyDescent="0.25">
      <c r="A102" s="1373" t="s">
        <v>1466</v>
      </c>
      <c r="B102" s="1378">
        <v>4000</v>
      </c>
      <c r="C102" s="1659"/>
      <c r="D102" s="1659"/>
      <c r="E102" s="1667">
        <f>SUM(E84,E92,E100,E101)</f>
        <v>358650</v>
      </c>
      <c r="F102" s="1659"/>
      <c r="G102" s="1659"/>
      <c r="H102" s="1667">
        <f>SUM(H84,H92,H100,H101)</f>
        <v>300000</v>
      </c>
      <c r="I102" s="1569"/>
      <c r="J102" s="1569"/>
      <c r="K102" s="1667">
        <f>SUM(K84,K92,K100,K101)</f>
        <v>658650</v>
      </c>
      <c r="L102" s="1667">
        <f>SUM(L84,L92,L100,L101)</f>
        <v>720000</v>
      </c>
    </row>
    <row r="103" spans="1:14" s="516" customFormat="1" ht="15.75" customHeight="1" thickTop="1" x14ac:dyDescent="0.2">
      <c r="A103" s="1343" t="s">
        <v>509</v>
      </c>
      <c r="B103" s="1340" t="s">
        <v>488</v>
      </c>
      <c r="C103" s="1659"/>
      <c r="D103" s="1659"/>
      <c r="E103" s="1659"/>
      <c r="F103" s="1659"/>
      <c r="G103" s="1659"/>
      <c r="H103" s="1661"/>
      <c r="I103" s="1563"/>
      <c r="J103" s="1563"/>
      <c r="K103" s="1661"/>
      <c r="L103" s="1661"/>
      <c r="M103" s="179"/>
      <c r="N103" s="179"/>
    </row>
    <row r="104" spans="1:14" s="524" customFormat="1" ht="15.75" customHeight="1" x14ac:dyDescent="0.2">
      <c r="A104" s="522" t="s">
        <v>610</v>
      </c>
      <c r="B104" s="523"/>
      <c r="C104" s="1659"/>
      <c r="D104" s="1659"/>
      <c r="E104" s="1659"/>
      <c r="F104" s="1659"/>
      <c r="G104" s="1659"/>
      <c r="H104" s="1662"/>
      <c r="I104" s="1563"/>
      <c r="J104" s="1563"/>
      <c r="K104" s="1662"/>
      <c r="L104" s="1662"/>
      <c r="M104" s="502"/>
      <c r="N104" s="502"/>
    </row>
    <row r="105" spans="1:14" s="493" customFormat="1" x14ac:dyDescent="0.2">
      <c r="A105" s="1267" t="s">
        <v>87</v>
      </c>
      <c r="B105" s="503">
        <v>5110</v>
      </c>
      <c r="C105" s="1659"/>
      <c r="D105" s="1659"/>
      <c r="E105" s="1659"/>
      <c r="F105" s="1659"/>
      <c r="G105" s="1659"/>
      <c r="H105" s="1573">
        <v>0</v>
      </c>
      <c r="I105" s="1563"/>
      <c r="J105" s="1563"/>
      <c r="K105" s="1658">
        <f>H105</f>
        <v>0</v>
      </c>
      <c r="L105" s="1573">
        <v>0</v>
      </c>
      <c r="M105" s="205"/>
      <c r="N105" s="205"/>
    </row>
    <row r="106" spans="1:14" s="493" customFormat="1" x14ac:dyDescent="0.2">
      <c r="A106" s="1267" t="s">
        <v>88</v>
      </c>
      <c r="B106" s="503">
        <v>5120</v>
      </c>
      <c r="C106" s="1659"/>
      <c r="D106" s="1659"/>
      <c r="E106" s="1659"/>
      <c r="F106" s="1659"/>
      <c r="G106" s="1659"/>
      <c r="H106" s="1561">
        <v>0</v>
      </c>
      <c r="I106" s="1563"/>
      <c r="J106" s="1563"/>
      <c r="K106" s="1658">
        <f>H106</f>
        <v>0</v>
      </c>
      <c r="L106" s="1561">
        <v>0</v>
      </c>
      <c r="M106" s="205"/>
      <c r="N106" s="205"/>
    </row>
    <row r="107" spans="1:14" s="493" customFormat="1" ht="12.75" customHeight="1" x14ac:dyDescent="0.2">
      <c r="A107" s="1267" t="s">
        <v>1158</v>
      </c>
      <c r="B107" s="503">
        <v>5130</v>
      </c>
      <c r="C107" s="1659"/>
      <c r="D107" s="1659"/>
      <c r="E107" s="1659"/>
      <c r="F107" s="1659"/>
      <c r="G107" s="1659"/>
      <c r="H107" s="1561">
        <v>0</v>
      </c>
      <c r="I107" s="1563"/>
      <c r="J107" s="1563"/>
      <c r="K107" s="1658">
        <f>H107</f>
        <v>0</v>
      </c>
      <c r="L107" s="1561">
        <v>0</v>
      </c>
      <c r="M107" s="205"/>
      <c r="N107" s="205"/>
    </row>
    <row r="108" spans="1:14" s="493" customFormat="1" x14ac:dyDescent="0.2">
      <c r="A108" s="1267" t="s">
        <v>89</v>
      </c>
      <c r="B108" s="503" t="s">
        <v>584</v>
      </c>
      <c r="C108" s="1659"/>
      <c r="D108" s="1659"/>
      <c r="E108" s="1659"/>
      <c r="F108" s="1659"/>
      <c r="G108" s="1659"/>
      <c r="H108" s="1561">
        <v>0</v>
      </c>
      <c r="I108" s="1563"/>
      <c r="J108" s="1563"/>
      <c r="K108" s="1658">
        <f>H108</f>
        <v>0</v>
      </c>
      <c r="L108" s="1561">
        <v>0</v>
      </c>
      <c r="M108" s="205"/>
      <c r="N108" s="205"/>
    </row>
    <row r="109" spans="1:14" s="493" customFormat="1" x14ac:dyDescent="0.2">
      <c r="A109" s="1267" t="s">
        <v>252</v>
      </c>
      <c r="B109" s="512">
        <v>5150</v>
      </c>
      <c r="C109" s="1659"/>
      <c r="D109" s="1659"/>
      <c r="E109" s="1659"/>
      <c r="F109" s="1659"/>
      <c r="G109" s="1659"/>
      <c r="H109" s="1561">
        <v>0</v>
      </c>
      <c r="I109" s="1563"/>
      <c r="J109" s="1563"/>
      <c r="K109" s="1658">
        <f>H109</f>
        <v>0</v>
      </c>
      <c r="L109" s="1561">
        <v>0</v>
      </c>
      <c r="M109" s="205"/>
      <c r="N109" s="205"/>
    </row>
    <row r="110" spans="1:14" s="493" customFormat="1" ht="12.75" customHeight="1" thickBot="1" x14ac:dyDescent="0.25">
      <c r="A110" s="1373" t="s">
        <v>1091</v>
      </c>
      <c r="B110" s="1376" t="s">
        <v>711</v>
      </c>
      <c r="C110" s="1659"/>
      <c r="D110" s="1659"/>
      <c r="E110" s="1659"/>
      <c r="F110" s="1659"/>
      <c r="G110" s="1659"/>
      <c r="H110" s="1660">
        <f>SUM(H105:H109)</f>
        <v>0</v>
      </c>
      <c r="I110" s="1563"/>
      <c r="J110" s="1563"/>
      <c r="K110" s="1660">
        <f>SUM(K105:K109)</f>
        <v>0</v>
      </c>
      <c r="L110" s="1660">
        <f>SUM(L105:L109)</f>
        <v>0</v>
      </c>
      <c r="M110" s="205"/>
      <c r="N110" s="205"/>
    </row>
    <row r="111" spans="1:14" s="493" customFormat="1" ht="12.75" customHeight="1" thickTop="1" thickBot="1" x14ac:dyDescent="0.25">
      <c r="A111" s="1277" t="s">
        <v>364</v>
      </c>
      <c r="B111" s="525" t="s">
        <v>38</v>
      </c>
      <c r="C111" s="1659"/>
      <c r="D111" s="1659"/>
      <c r="E111" s="1659"/>
      <c r="F111" s="1659"/>
      <c r="G111" s="1659"/>
      <c r="H111" s="1616"/>
      <c r="I111" s="1563"/>
      <c r="J111" s="1563"/>
      <c r="K111" s="1674">
        <f>H111</f>
        <v>0</v>
      </c>
      <c r="L111" s="1614">
        <v>0</v>
      </c>
      <c r="M111" s="205"/>
      <c r="N111" s="205"/>
    </row>
    <row r="112" spans="1:14" s="493" customFormat="1" ht="12.75" customHeight="1" thickTop="1" thickBot="1" x14ac:dyDescent="0.25">
      <c r="A112" s="1373" t="s">
        <v>632</v>
      </c>
      <c r="B112" s="1374" t="s">
        <v>488</v>
      </c>
      <c r="C112" s="1659"/>
      <c r="D112" s="1659"/>
      <c r="E112" s="1659"/>
      <c r="F112" s="1659"/>
      <c r="G112" s="1659"/>
      <c r="H112" s="1660">
        <f>SUM(H110:H111)</f>
        <v>0</v>
      </c>
      <c r="I112" s="1563"/>
      <c r="J112" s="1563"/>
      <c r="K112" s="1660">
        <f>SUM(K110:K111)</f>
        <v>0</v>
      </c>
      <c r="L112" s="1667">
        <f>SUM(L110,L111)</f>
        <v>0</v>
      </c>
      <c r="M112" s="205"/>
      <c r="N112" s="205"/>
    </row>
    <row r="113" spans="1:14" s="254" customFormat="1" ht="15.75" customHeight="1" thickTop="1" thickBot="1" x14ac:dyDescent="0.25">
      <c r="A113" s="1337" t="s">
        <v>510</v>
      </c>
      <c r="B113" s="1344" t="s">
        <v>854</v>
      </c>
      <c r="C113" s="1662"/>
      <c r="D113" s="1662"/>
      <c r="E113" s="1659"/>
      <c r="F113" s="1659"/>
      <c r="G113" s="1659"/>
      <c r="H113" s="1662"/>
      <c r="I113" s="1563"/>
      <c r="J113" s="1563"/>
      <c r="K113" s="1662"/>
      <c r="L113" s="1613">
        <v>0</v>
      </c>
      <c r="M113" s="502"/>
      <c r="N113" s="502"/>
    </row>
    <row r="114" spans="1:14" ht="12.75" customHeight="1" thickTop="1" thickBot="1" x14ac:dyDescent="0.25">
      <c r="A114" s="1373" t="s">
        <v>48</v>
      </c>
      <c r="B114" s="1381"/>
      <c r="C114" s="1660">
        <f>SUM(C33,C74,C75,C102,C112,C113)</f>
        <v>18927612</v>
      </c>
      <c r="D114" s="1660">
        <f t="shared" ref="D114:K114" si="13">SUM(D33,D74,D75,D102,D112,D113)</f>
        <v>3470227</v>
      </c>
      <c r="E114" s="1660">
        <f t="shared" si="13"/>
        <v>2104426</v>
      </c>
      <c r="F114" s="1660">
        <f t="shared" si="13"/>
        <v>1072459</v>
      </c>
      <c r="G114" s="1660">
        <f t="shared" si="13"/>
        <v>64279</v>
      </c>
      <c r="H114" s="1660">
        <f>SUM(H33,H74,H75,H102,H112,H113)</f>
        <v>832196</v>
      </c>
      <c r="I114" s="1660">
        <f t="shared" si="13"/>
        <v>151997</v>
      </c>
      <c r="J114" s="1660">
        <f t="shared" si="13"/>
        <v>0</v>
      </c>
      <c r="K114" s="1660">
        <f t="shared" si="13"/>
        <v>26623196</v>
      </c>
      <c r="L114" s="1660">
        <f>SUM(L33,L74,L75,L102,L112,L113)</f>
        <v>27148277</v>
      </c>
    </row>
    <row r="115" spans="1:14" ht="13.5" thickTop="1" x14ac:dyDescent="0.2">
      <c r="A115" s="2312" t="s">
        <v>987</v>
      </c>
      <c r="B115" s="2313"/>
      <c r="C115" s="1661"/>
      <c r="D115" s="1661"/>
      <c r="E115" s="1661"/>
      <c r="F115" s="1661"/>
      <c r="G115" s="1661"/>
      <c r="H115" s="1661"/>
      <c r="I115" s="1661"/>
      <c r="J115" s="1661"/>
      <c r="K115" s="1675">
        <f>'Revenues 9-14'!C268-'Expenditures 15-22'!K114</f>
        <v>234307</v>
      </c>
      <c r="L115" s="1661"/>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90" t="s">
        <v>292</v>
      </c>
      <c r="B117" s="2291"/>
      <c r="C117" s="1677"/>
      <c r="D117" s="1678"/>
      <c r="E117" s="1678"/>
      <c r="F117" s="1678"/>
      <c r="G117" s="1678"/>
      <c r="H117" s="1678"/>
      <c r="I117" s="1678"/>
      <c r="J117" s="1678"/>
      <c r="K117" s="1678"/>
      <c r="L117" s="1679"/>
      <c r="M117" s="170"/>
      <c r="N117" s="170"/>
    </row>
    <row r="118" spans="1:14" ht="15.75" customHeight="1" x14ac:dyDescent="0.2">
      <c r="A118" s="1345" t="s">
        <v>1026</v>
      </c>
      <c r="B118" s="1346" t="s">
        <v>564</v>
      </c>
      <c r="C118" s="1659"/>
      <c r="D118" s="1659"/>
      <c r="E118" s="1659"/>
      <c r="F118" s="1659"/>
      <c r="G118" s="1659"/>
      <c r="H118" s="1659"/>
      <c r="I118" s="1659"/>
      <c r="J118" s="1659"/>
      <c r="K118" s="1659"/>
      <c r="L118" s="1659"/>
    </row>
    <row r="119" spans="1:14" ht="15.75" customHeight="1" x14ac:dyDescent="0.2">
      <c r="A119" s="529" t="s">
        <v>586</v>
      </c>
      <c r="B119" s="508"/>
      <c r="C119" s="1662"/>
      <c r="D119" s="1662"/>
      <c r="E119" s="1662"/>
      <c r="F119" s="1659"/>
      <c r="G119" s="1659"/>
      <c r="H119" s="1662"/>
      <c r="I119" s="1659"/>
      <c r="J119" s="1659"/>
      <c r="K119" s="1662"/>
      <c r="L119" s="1662"/>
    </row>
    <row r="120" spans="1:14" ht="12.75" customHeight="1" x14ac:dyDescent="0.2">
      <c r="A120" s="1271" t="s">
        <v>1959</v>
      </c>
      <c r="B120" s="512" t="s">
        <v>709</v>
      </c>
      <c r="C120" s="1561">
        <v>0</v>
      </c>
      <c r="D120" s="1561">
        <v>0</v>
      </c>
      <c r="E120" s="1561">
        <v>0</v>
      </c>
      <c r="F120" s="1561">
        <v>0</v>
      </c>
      <c r="G120" s="1561">
        <v>0</v>
      </c>
      <c r="H120" s="1561">
        <v>0</v>
      </c>
      <c r="I120" s="1562">
        <v>0</v>
      </c>
      <c r="J120" s="1562">
        <v>0</v>
      </c>
      <c r="K120" s="1658">
        <f>SUM(C120:J120)</f>
        <v>0</v>
      </c>
      <c r="L120" s="1561">
        <v>0</v>
      </c>
    </row>
    <row r="121" spans="1:14" ht="15.75" customHeight="1" x14ac:dyDescent="0.2">
      <c r="A121" s="530" t="s">
        <v>607</v>
      </c>
      <c r="B121" s="508"/>
      <c r="C121" s="1603"/>
      <c r="D121" s="1603"/>
      <c r="E121" s="1603"/>
      <c r="F121" s="1603"/>
      <c r="G121" s="1603"/>
      <c r="H121" s="1603"/>
      <c r="I121" s="1659"/>
      <c r="J121" s="1659"/>
      <c r="K121" s="1662"/>
      <c r="L121" s="1603"/>
    </row>
    <row r="122" spans="1:14" ht="13.5" thickBot="1" x14ac:dyDescent="0.25">
      <c r="A122" s="1267" t="s">
        <v>1057</v>
      </c>
      <c r="B122" s="503">
        <v>2510</v>
      </c>
      <c r="C122" s="1561">
        <v>0</v>
      </c>
      <c r="D122" s="1561">
        <v>0</v>
      </c>
      <c r="E122" s="1561">
        <v>0</v>
      </c>
      <c r="F122" s="1561">
        <v>0</v>
      </c>
      <c r="G122" s="1561">
        <v>0</v>
      </c>
      <c r="H122" s="1561">
        <v>0</v>
      </c>
      <c r="I122" s="1562">
        <v>0</v>
      </c>
      <c r="J122" s="1562">
        <v>0</v>
      </c>
      <c r="K122" s="1660">
        <f>SUM(C122:J122)</f>
        <v>0</v>
      </c>
      <c r="L122" s="1561">
        <v>0</v>
      </c>
    </row>
    <row r="123" spans="1:14" ht="14.25" thickTop="1" thickBot="1" x14ac:dyDescent="0.25">
      <c r="A123" s="1267" t="s">
        <v>4</v>
      </c>
      <c r="B123" s="503">
        <v>2530</v>
      </c>
      <c r="C123" s="1561">
        <v>0</v>
      </c>
      <c r="D123" s="1561">
        <v>0</v>
      </c>
      <c r="E123" s="1561">
        <v>0</v>
      </c>
      <c r="F123" s="1561">
        <v>0</v>
      </c>
      <c r="G123" s="1561">
        <v>0</v>
      </c>
      <c r="H123" s="1561">
        <v>0</v>
      </c>
      <c r="I123" s="1562">
        <v>0</v>
      </c>
      <c r="J123" s="1562">
        <v>0</v>
      </c>
      <c r="K123" s="1660">
        <f>SUM(C123:J123)</f>
        <v>0</v>
      </c>
      <c r="L123" s="1561">
        <v>0</v>
      </c>
    </row>
    <row r="124" spans="1:14" ht="14.25" thickTop="1" thickBot="1" x14ac:dyDescent="0.25">
      <c r="A124" s="1267" t="s">
        <v>195</v>
      </c>
      <c r="B124" s="503">
        <v>2540</v>
      </c>
      <c r="C124" s="1561">
        <v>898006</v>
      </c>
      <c r="D124" s="1561">
        <v>152139</v>
      </c>
      <c r="E124" s="1561">
        <v>333892</v>
      </c>
      <c r="F124" s="1561">
        <v>167398</v>
      </c>
      <c r="G124" s="1561">
        <v>624249</v>
      </c>
      <c r="H124" s="1561">
        <v>0</v>
      </c>
      <c r="I124" s="1562">
        <v>36927</v>
      </c>
      <c r="J124" s="1562">
        <v>0</v>
      </c>
      <c r="K124" s="1660">
        <f>SUM(C124:J124)</f>
        <v>2212611</v>
      </c>
      <c r="L124" s="1561">
        <v>2285041</v>
      </c>
    </row>
    <row r="125" spans="1:14" ht="14.25" thickTop="1" thickBot="1" x14ac:dyDescent="0.25">
      <c r="A125" s="1267" t="s">
        <v>945</v>
      </c>
      <c r="B125" s="503">
        <v>2550</v>
      </c>
      <c r="C125" s="1561">
        <v>0</v>
      </c>
      <c r="D125" s="1561">
        <v>0</v>
      </c>
      <c r="E125" s="1561">
        <v>0</v>
      </c>
      <c r="F125" s="1561">
        <v>0</v>
      </c>
      <c r="G125" s="1561">
        <v>0</v>
      </c>
      <c r="H125" s="1561">
        <v>0</v>
      </c>
      <c r="I125" s="1562">
        <v>0</v>
      </c>
      <c r="J125" s="1562">
        <v>0</v>
      </c>
      <c r="K125" s="1660">
        <f>SUM(C125:J125)</f>
        <v>0</v>
      </c>
      <c r="L125" s="1561">
        <v>0</v>
      </c>
    </row>
    <row r="126" spans="1:14" ht="14.25" thickTop="1" thickBot="1" x14ac:dyDescent="0.25">
      <c r="A126" s="1267" t="s">
        <v>100</v>
      </c>
      <c r="B126" s="503">
        <v>2560</v>
      </c>
      <c r="C126" s="1680"/>
      <c r="D126" s="1680"/>
      <c r="E126" s="1680"/>
      <c r="F126" s="1680"/>
      <c r="G126" s="1561">
        <v>0</v>
      </c>
      <c r="H126" s="1680"/>
      <c r="I126" s="1567">
        <v>0</v>
      </c>
      <c r="J126" s="1659"/>
      <c r="K126" s="1660">
        <f>SUM(C126:J126)</f>
        <v>0</v>
      </c>
      <c r="L126" s="1561">
        <v>0</v>
      </c>
    </row>
    <row r="127" spans="1:14" ht="12.75" customHeight="1" thickTop="1" thickBot="1" x14ac:dyDescent="0.25">
      <c r="A127" s="1373" t="s">
        <v>712</v>
      </c>
      <c r="B127" s="1374" t="s">
        <v>35</v>
      </c>
      <c r="C127" s="1660">
        <f>SUM(C122:C126)</f>
        <v>898006</v>
      </c>
      <c r="D127" s="1660">
        <f t="shared" ref="D127:L127" si="14">SUM(D122:D126)</f>
        <v>152139</v>
      </c>
      <c r="E127" s="1660">
        <f t="shared" si="14"/>
        <v>333892</v>
      </c>
      <c r="F127" s="1660">
        <f t="shared" si="14"/>
        <v>167398</v>
      </c>
      <c r="G127" s="1660">
        <f t="shared" si="14"/>
        <v>624249</v>
      </c>
      <c r="H127" s="1660">
        <f t="shared" si="14"/>
        <v>0</v>
      </c>
      <c r="I127" s="1660">
        <f t="shared" si="14"/>
        <v>36927</v>
      </c>
      <c r="J127" s="1660">
        <f t="shared" si="14"/>
        <v>0</v>
      </c>
      <c r="K127" s="1660">
        <f t="shared" si="14"/>
        <v>2212611</v>
      </c>
      <c r="L127" s="1660">
        <f t="shared" si="14"/>
        <v>2285041</v>
      </c>
    </row>
    <row r="128" spans="1:14" ht="12.75" customHeight="1" thickTop="1" x14ac:dyDescent="0.2">
      <c r="A128" s="1274" t="s">
        <v>971</v>
      </c>
      <c r="B128" s="531" t="s">
        <v>569</v>
      </c>
      <c r="C128" s="1681">
        <v>0</v>
      </c>
      <c r="D128" s="1681">
        <v>0</v>
      </c>
      <c r="E128" s="1681">
        <v>0</v>
      </c>
      <c r="F128" s="1681">
        <v>0</v>
      </c>
      <c r="G128" s="1681">
        <v>0</v>
      </c>
      <c r="H128" s="1681">
        <v>0</v>
      </c>
      <c r="I128" s="1616">
        <v>0</v>
      </c>
      <c r="J128" s="1616">
        <v>0</v>
      </c>
      <c r="K128" s="1682">
        <f>SUM(C128:J128)</f>
        <v>0</v>
      </c>
      <c r="L128" s="1681">
        <v>0</v>
      </c>
    </row>
    <row r="129" spans="1:14" ht="12.75" customHeight="1" thickBot="1" x14ac:dyDescent="0.25">
      <c r="A129" s="1382" t="s">
        <v>804</v>
      </c>
      <c r="B129" s="1383" t="s">
        <v>564</v>
      </c>
      <c r="C129" s="1667">
        <f>SUM(C120,C127,C128)</f>
        <v>898006</v>
      </c>
      <c r="D129" s="1667">
        <f t="shared" ref="D129:L129" si="15">SUM(D120,D127,D128)</f>
        <v>152139</v>
      </c>
      <c r="E129" s="1667">
        <f t="shared" si="15"/>
        <v>333892</v>
      </c>
      <c r="F129" s="1667">
        <f t="shared" si="15"/>
        <v>167398</v>
      </c>
      <c r="G129" s="1667">
        <f t="shared" si="15"/>
        <v>624249</v>
      </c>
      <c r="H129" s="1667">
        <f t="shared" si="15"/>
        <v>0</v>
      </c>
      <c r="I129" s="1667">
        <f t="shared" si="15"/>
        <v>36927</v>
      </c>
      <c r="J129" s="1667">
        <f t="shared" si="15"/>
        <v>0</v>
      </c>
      <c r="K129" s="1667">
        <f t="shared" si="15"/>
        <v>2212611</v>
      </c>
      <c r="L129" s="1667">
        <f t="shared" si="15"/>
        <v>2285041</v>
      </c>
    </row>
    <row r="130" spans="1:14" ht="15.75" customHeight="1" thickTop="1" thickBot="1" x14ac:dyDescent="0.25">
      <c r="A130" s="1341" t="s">
        <v>1027</v>
      </c>
      <c r="B130" s="1342" t="s">
        <v>570</v>
      </c>
      <c r="C130" s="1637">
        <v>0</v>
      </c>
      <c r="D130" s="1637">
        <v>0</v>
      </c>
      <c r="E130" s="1637">
        <v>0</v>
      </c>
      <c r="F130" s="1637">
        <v>0</v>
      </c>
      <c r="G130" s="1637">
        <v>0</v>
      </c>
      <c r="H130" s="1637">
        <v>0</v>
      </c>
      <c r="I130" s="1613">
        <v>0</v>
      </c>
      <c r="J130" s="1613">
        <v>0</v>
      </c>
      <c r="K130" s="1660">
        <f>SUM(C130:J130)</f>
        <v>0</v>
      </c>
      <c r="L130" s="1637">
        <v>0</v>
      </c>
    </row>
    <row r="131" spans="1:14" ht="15.75" customHeight="1" thickTop="1" x14ac:dyDescent="0.2">
      <c r="A131" s="1347" t="s">
        <v>611</v>
      </c>
      <c r="B131" s="1340" t="s">
        <v>853</v>
      </c>
      <c r="C131" s="1563"/>
      <c r="D131" s="1563"/>
      <c r="E131" s="1631"/>
      <c r="F131" s="1563"/>
      <c r="G131" s="1563"/>
      <c r="H131" s="1631"/>
      <c r="I131" s="1563"/>
      <c r="J131" s="1563"/>
      <c r="K131" s="1631"/>
      <c r="L131" s="1631"/>
    </row>
    <row r="132" spans="1:14" s="361" customFormat="1" ht="13.5" customHeight="1" x14ac:dyDescent="0.2">
      <c r="A132" s="532" t="s">
        <v>609</v>
      </c>
      <c r="B132" s="533"/>
      <c r="C132" s="1563"/>
      <c r="D132" s="1563"/>
      <c r="E132" s="1603"/>
      <c r="F132" s="1563"/>
      <c r="G132" s="1563"/>
      <c r="H132" s="1603"/>
      <c r="I132" s="1563"/>
      <c r="J132" s="1563"/>
      <c r="K132" s="1603"/>
      <c r="L132" s="1603"/>
      <c r="M132" s="201"/>
      <c r="N132" s="201"/>
    </row>
    <row r="133" spans="1:14" s="361" customFormat="1" ht="13.5" customHeight="1" x14ac:dyDescent="0.2">
      <c r="A133" s="1254" t="s">
        <v>492</v>
      </c>
      <c r="B133" s="1467" t="s">
        <v>1812</v>
      </c>
      <c r="C133" s="1563"/>
      <c r="D133" s="1563"/>
      <c r="E133" s="1671">
        <v>0</v>
      </c>
      <c r="F133" s="1563"/>
      <c r="G133" s="1563"/>
      <c r="H133" s="1671">
        <v>0</v>
      </c>
      <c r="I133" s="1563"/>
      <c r="J133" s="1563"/>
      <c r="K133" s="1683">
        <f>SUM(E133,H133)</f>
        <v>0</v>
      </c>
      <c r="L133" s="1671">
        <v>0</v>
      </c>
      <c r="M133" s="201"/>
      <c r="N133" s="201"/>
    </row>
    <row r="134" spans="1:14" x14ac:dyDescent="0.2">
      <c r="A134" s="1267" t="s">
        <v>300</v>
      </c>
      <c r="B134" s="503">
        <v>4120</v>
      </c>
      <c r="C134" s="1659"/>
      <c r="D134" s="1659"/>
      <c r="E134" s="1570">
        <v>0</v>
      </c>
      <c r="F134" s="1659"/>
      <c r="G134" s="1659"/>
      <c r="H134" s="1573">
        <v>0</v>
      </c>
      <c r="I134" s="1569"/>
      <c r="J134" s="1659"/>
      <c r="K134" s="1664">
        <f>SUM(E134,H134)</f>
        <v>0</v>
      </c>
      <c r="L134" s="1573">
        <v>0</v>
      </c>
    </row>
    <row r="135" spans="1:14" x14ac:dyDescent="0.2">
      <c r="A135" s="1267" t="s">
        <v>690</v>
      </c>
      <c r="B135" s="503">
        <v>4140</v>
      </c>
      <c r="C135" s="1659"/>
      <c r="D135" s="1659"/>
      <c r="E135" s="1562">
        <v>0</v>
      </c>
      <c r="F135" s="1659"/>
      <c r="G135" s="1659"/>
      <c r="H135" s="1561">
        <v>0</v>
      </c>
      <c r="I135" s="1569"/>
      <c r="J135" s="1659"/>
      <c r="K135" s="1664">
        <f>SUM(E135,H135)</f>
        <v>0</v>
      </c>
      <c r="L135" s="1561">
        <v>0</v>
      </c>
    </row>
    <row r="136" spans="1:14" x14ac:dyDescent="0.2">
      <c r="A136" s="1271" t="s">
        <v>691</v>
      </c>
      <c r="B136" s="512">
        <v>4190</v>
      </c>
      <c r="C136" s="1659"/>
      <c r="D136" s="1659"/>
      <c r="E136" s="1562">
        <v>0</v>
      </c>
      <c r="F136" s="1659"/>
      <c r="G136" s="1659"/>
      <c r="H136" s="1561">
        <v>0</v>
      </c>
      <c r="I136" s="1569"/>
      <c r="J136" s="1659"/>
      <c r="K136" s="1664">
        <f>SUM(E136,H136)</f>
        <v>0</v>
      </c>
      <c r="L136" s="1561">
        <v>0</v>
      </c>
    </row>
    <row r="137" spans="1:14" ht="12.75" customHeight="1" thickBot="1" x14ac:dyDescent="0.25">
      <c r="A137" s="1373" t="s">
        <v>476</v>
      </c>
      <c r="B137" s="1378">
        <v>4100</v>
      </c>
      <c r="C137" s="1659"/>
      <c r="D137" s="1659"/>
      <c r="E137" s="1660">
        <f>SUM(E133:E136)</f>
        <v>0</v>
      </c>
      <c r="F137" s="1659"/>
      <c r="G137" s="1659"/>
      <c r="H137" s="1660">
        <f>SUM(H133:H136)</f>
        <v>0</v>
      </c>
      <c r="I137" s="1569"/>
      <c r="J137" s="1659"/>
      <c r="K137" s="1660">
        <f>SUM(K133:K136)</f>
        <v>0</v>
      </c>
      <c r="L137" s="1660">
        <f>SUM(L133:L136)</f>
        <v>0</v>
      </c>
    </row>
    <row r="138" spans="1:14" ht="12.75" customHeight="1" thickTop="1" thickBot="1" x14ac:dyDescent="0.25">
      <c r="A138" s="1273" t="s">
        <v>96</v>
      </c>
      <c r="B138" s="521" t="s">
        <v>923</v>
      </c>
      <c r="C138" s="1659"/>
      <c r="D138" s="1659"/>
      <c r="E138" s="1571"/>
      <c r="F138" s="1659"/>
      <c r="G138" s="1659"/>
      <c r="H138" s="1637">
        <v>0</v>
      </c>
      <c r="I138" s="1569"/>
      <c r="J138" s="1659"/>
      <c r="K138" s="1664">
        <f>SUM(E138,H138)</f>
        <v>0</v>
      </c>
      <c r="L138" s="1637">
        <v>0</v>
      </c>
    </row>
    <row r="139" spans="1:14" ht="12.75" customHeight="1" thickTop="1" thickBot="1" x14ac:dyDescent="0.25">
      <c r="A139" s="1373" t="s">
        <v>1466</v>
      </c>
      <c r="B139" s="1378">
        <v>4000</v>
      </c>
      <c r="C139" s="1659"/>
      <c r="D139" s="1659"/>
      <c r="E139" s="1660">
        <f>SUM(E137,E138)</f>
        <v>0</v>
      </c>
      <c r="F139" s="1659"/>
      <c r="G139" s="1659"/>
      <c r="H139" s="1673">
        <f>SUM(H137:H138)</f>
        <v>0</v>
      </c>
      <c r="I139" s="1569"/>
      <c r="J139" s="1659"/>
      <c r="K139" s="1664">
        <f>SUM(K137,K138)</f>
        <v>0</v>
      </c>
      <c r="L139" s="1673">
        <f>SUM(L137,L138)</f>
        <v>0</v>
      </c>
    </row>
    <row r="140" spans="1:14" ht="15.75" customHeight="1" thickTop="1" x14ac:dyDescent="0.2">
      <c r="A140" s="1343" t="s">
        <v>1028</v>
      </c>
      <c r="B140" s="1344" t="s">
        <v>488</v>
      </c>
      <c r="C140" s="1659"/>
      <c r="D140" s="1659"/>
      <c r="E140" s="1670"/>
      <c r="F140" s="1670"/>
      <c r="G140" s="1670"/>
      <c r="H140" s="1669"/>
      <c r="I140" s="1569"/>
      <c r="J140" s="1670"/>
      <c r="K140" s="1669"/>
      <c r="L140" s="1669"/>
    </row>
    <row r="141" spans="1:14" ht="15.75" customHeight="1" x14ac:dyDescent="0.2">
      <c r="A141" s="530" t="s">
        <v>610</v>
      </c>
      <c r="B141" s="508"/>
      <c r="C141" s="1659"/>
      <c r="D141" s="1659"/>
      <c r="E141" s="1659"/>
      <c r="F141" s="1659"/>
      <c r="G141" s="1659"/>
      <c r="H141" s="1662"/>
      <c r="I141" s="1563"/>
      <c r="J141" s="1659"/>
      <c r="K141" s="1662"/>
      <c r="L141" s="1662"/>
    </row>
    <row r="142" spans="1:14" x14ac:dyDescent="0.2">
      <c r="A142" s="1267" t="s">
        <v>87</v>
      </c>
      <c r="B142" s="503">
        <v>5110</v>
      </c>
      <c r="C142" s="1659"/>
      <c r="D142" s="1659"/>
      <c r="E142" s="1659"/>
      <c r="F142" s="1659"/>
      <c r="G142" s="1659"/>
      <c r="H142" s="1573">
        <v>0</v>
      </c>
      <c r="I142" s="1563"/>
      <c r="J142" s="1659"/>
      <c r="K142" s="1664">
        <f>SUM(H142)</f>
        <v>0</v>
      </c>
      <c r="L142" s="1573">
        <v>0</v>
      </c>
    </row>
    <row r="143" spans="1:14" x14ac:dyDescent="0.2">
      <c r="A143" s="1267" t="s">
        <v>88</v>
      </c>
      <c r="B143" s="503">
        <v>5120</v>
      </c>
      <c r="C143" s="1659"/>
      <c r="D143" s="1659"/>
      <c r="E143" s="1659"/>
      <c r="F143" s="1659"/>
      <c r="G143" s="1659"/>
      <c r="H143" s="1561">
        <v>0</v>
      </c>
      <c r="I143" s="1563"/>
      <c r="J143" s="1659"/>
      <c r="K143" s="1664">
        <f>SUM(H143)</f>
        <v>0</v>
      </c>
      <c r="L143" s="1561">
        <v>0</v>
      </c>
    </row>
    <row r="144" spans="1:14" ht="12.75" customHeight="1" x14ac:dyDescent="0.2">
      <c r="A144" s="1267" t="s">
        <v>1158</v>
      </c>
      <c r="B144" s="512" t="s">
        <v>612</v>
      </c>
      <c r="C144" s="1659"/>
      <c r="D144" s="1659"/>
      <c r="E144" s="1659"/>
      <c r="F144" s="1659"/>
      <c r="G144" s="1659"/>
      <c r="H144" s="1561">
        <v>0</v>
      </c>
      <c r="I144" s="1563"/>
      <c r="J144" s="1659"/>
      <c r="K144" s="1664">
        <f>SUM(H144)</f>
        <v>0</v>
      </c>
      <c r="L144" s="1561">
        <v>0</v>
      </c>
    </row>
    <row r="145" spans="1:14" x14ac:dyDescent="0.2">
      <c r="A145" s="1267" t="s">
        <v>89</v>
      </c>
      <c r="B145" s="503" t="s">
        <v>584</v>
      </c>
      <c r="C145" s="1659"/>
      <c r="D145" s="1659"/>
      <c r="E145" s="1659"/>
      <c r="F145" s="1659"/>
      <c r="G145" s="1659"/>
      <c r="H145" s="1561">
        <v>0</v>
      </c>
      <c r="I145" s="1563"/>
      <c r="J145" s="1659"/>
      <c r="K145" s="1664">
        <f>SUM(H145)</f>
        <v>0</v>
      </c>
      <c r="L145" s="1561">
        <v>0</v>
      </c>
    </row>
    <row r="146" spans="1:14" ht="12.75" customHeight="1" x14ac:dyDescent="0.2">
      <c r="A146" s="1267" t="s">
        <v>614</v>
      </c>
      <c r="B146" s="503" t="s">
        <v>613</v>
      </c>
      <c r="C146" s="1659"/>
      <c r="D146" s="1659"/>
      <c r="E146" s="1659"/>
      <c r="F146" s="1659"/>
      <c r="G146" s="1659"/>
      <c r="H146" s="1561">
        <v>0</v>
      </c>
      <c r="I146" s="1563"/>
      <c r="J146" s="1659"/>
      <c r="K146" s="1664">
        <f>SUM(H146)</f>
        <v>0</v>
      </c>
      <c r="L146" s="1561">
        <v>0</v>
      </c>
    </row>
    <row r="147" spans="1:14" ht="12.75" customHeight="1" thickBot="1" x14ac:dyDescent="0.25">
      <c r="A147" s="1278" t="s">
        <v>621</v>
      </c>
      <c r="B147" s="534" t="s">
        <v>711</v>
      </c>
      <c r="C147" s="1659"/>
      <c r="D147" s="1659"/>
      <c r="E147" s="1659"/>
      <c r="F147" s="1659"/>
      <c r="G147" s="1659"/>
      <c r="H147" s="1581">
        <f>SUM(H142:H146)</f>
        <v>0</v>
      </c>
      <c r="I147" s="1563"/>
      <c r="J147" s="1659"/>
      <c r="K147" s="1660">
        <f>SUM(K142:K146)</f>
        <v>0</v>
      </c>
      <c r="L147" s="1581">
        <f>SUM(L142:L146)</f>
        <v>0</v>
      </c>
    </row>
    <row r="148" spans="1:14" ht="15.75" customHeight="1" thickTop="1" x14ac:dyDescent="0.2">
      <c r="A148" s="535" t="s">
        <v>1092</v>
      </c>
      <c r="B148" s="536" t="s">
        <v>38</v>
      </c>
      <c r="C148" s="1659"/>
      <c r="D148" s="1659"/>
      <c r="E148" s="1659"/>
      <c r="F148" s="1659"/>
      <c r="G148" s="1659"/>
      <c r="H148" s="1571">
        <v>0</v>
      </c>
      <c r="I148" s="1563"/>
      <c r="J148" s="1659"/>
      <c r="K148" s="1664">
        <f>SUM(H148)</f>
        <v>0</v>
      </c>
      <c r="L148" s="1585">
        <v>0</v>
      </c>
    </row>
    <row r="149" spans="1:14" ht="12.75" customHeight="1" thickBot="1" x14ac:dyDescent="0.25">
      <c r="A149" s="1270" t="s">
        <v>632</v>
      </c>
      <c r="B149" s="504" t="s">
        <v>488</v>
      </c>
      <c r="C149" s="1659"/>
      <c r="D149" s="1659"/>
      <c r="E149" s="1659"/>
      <c r="F149" s="1659"/>
      <c r="G149" s="1659"/>
      <c r="H149" s="1660">
        <f>SUM(H147,H148)</f>
        <v>0</v>
      </c>
      <c r="I149" s="1563"/>
      <c r="J149" s="1659"/>
      <c r="K149" s="1660">
        <f>SUM(K147:K148)</f>
        <v>0</v>
      </c>
      <c r="L149" s="1660">
        <f>SUM(L142:L146,L148)</f>
        <v>0</v>
      </c>
    </row>
    <row r="150" spans="1:14" ht="15.75" customHeight="1" thickTop="1" thickBot="1" x14ac:dyDescent="0.25">
      <c r="A150" s="1337" t="s">
        <v>1029</v>
      </c>
      <c r="B150" s="1344" t="s">
        <v>854</v>
      </c>
      <c r="C150" s="1659"/>
      <c r="D150" s="1659"/>
      <c r="E150" s="1659"/>
      <c r="F150" s="1659"/>
      <c r="G150" s="1659"/>
      <c r="H150" s="1684"/>
      <c r="I150" s="1603"/>
      <c r="J150" s="1659"/>
      <c r="K150" s="1662"/>
      <c r="L150" s="1635">
        <v>0</v>
      </c>
    </row>
    <row r="151" spans="1:14" ht="12.75" customHeight="1" thickTop="1" thickBot="1" x14ac:dyDescent="0.25">
      <c r="A151" s="2302" t="s">
        <v>615</v>
      </c>
      <c r="B151" s="2284"/>
      <c r="C151" s="1660">
        <f>SUM(C129,C130,C139,C149,C150)</f>
        <v>898006</v>
      </c>
      <c r="D151" s="1660">
        <f t="shared" ref="D151:K151" si="16">SUM(D129,D130,D139,D149,D150)</f>
        <v>152139</v>
      </c>
      <c r="E151" s="1660">
        <f t="shared" si="16"/>
        <v>333892</v>
      </c>
      <c r="F151" s="1660">
        <f t="shared" si="16"/>
        <v>167398</v>
      </c>
      <c r="G151" s="1660">
        <f t="shared" si="16"/>
        <v>624249</v>
      </c>
      <c r="H151" s="1660">
        <f t="shared" si="16"/>
        <v>0</v>
      </c>
      <c r="I151" s="1660">
        <f t="shared" si="16"/>
        <v>36927</v>
      </c>
      <c r="J151" s="1660">
        <f t="shared" si="16"/>
        <v>0</v>
      </c>
      <c r="K151" s="1660">
        <f t="shared" si="16"/>
        <v>2212611</v>
      </c>
      <c r="L151" s="1660">
        <f>SUM(L129,L130,L139,L149,L150)</f>
        <v>2285041</v>
      </c>
    </row>
    <row r="152" spans="1:14" ht="12.75" customHeight="1" thickTop="1" x14ac:dyDescent="0.2">
      <c r="A152" s="2305" t="s">
        <v>1166</v>
      </c>
      <c r="B152" s="2306"/>
      <c r="C152" s="1661"/>
      <c r="D152" s="1661"/>
      <c r="E152" s="1661"/>
      <c r="F152" s="1661"/>
      <c r="G152" s="1661"/>
      <c r="H152" s="1661"/>
      <c r="I152" s="1661"/>
      <c r="J152" s="1659"/>
      <c r="K152" s="1675">
        <f>'Revenues 9-14'!D268-'Expenditures 15-22'!K151</f>
        <v>-297951</v>
      </c>
      <c r="L152" s="1661"/>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90" t="s">
        <v>616</v>
      </c>
      <c r="B154" s="2292"/>
      <c r="C154" s="1677"/>
      <c r="D154" s="1678"/>
      <c r="E154" s="1678"/>
      <c r="F154" s="1678"/>
      <c r="G154" s="1678"/>
      <c r="H154" s="1678"/>
      <c r="I154" s="1678"/>
      <c r="J154" s="1678"/>
      <c r="K154" s="1678"/>
      <c r="L154" s="1679"/>
      <c r="M154" s="541"/>
      <c r="N154" s="541"/>
    </row>
    <row r="155" spans="1:14" s="506" customFormat="1" ht="15.75" customHeight="1" thickBot="1" x14ac:dyDescent="0.25">
      <c r="A155" s="1348" t="s">
        <v>81</v>
      </c>
      <c r="B155" s="1349" t="s">
        <v>853</v>
      </c>
      <c r="C155" s="1659"/>
      <c r="D155" s="1659"/>
      <c r="E155" s="1659"/>
      <c r="F155" s="1659"/>
      <c r="G155" s="1659"/>
      <c r="H155" s="1685"/>
      <c r="I155" s="1659"/>
      <c r="J155" s="1659"/>
      <c r="K155" s="1686"/>
      <c r="L155" s="1685"/>
      <c r="M155" s="505"/>
      <c r="N155" s="505"/>
    </row>
    <row r="156" spans="1:14" s="506" customFormat="1" ht="15.75" customHeight="1" thickTop="1" x14ac:dyDescent="0.2">
      <c r="A156" s="1453" t="s">
        <v>1813</v>
      </c>
      <c r="B156" s="1454"/>
      <c r="C156" s="1659"/>
      <c r="D156" s="1659"/>
      <c r="E156" s="1659"/>
      <c r="F156" s="1659"/>
      <c r="G156" s="1659"/>
      <c r="H156" s="1687"/>
      <c r="I156" s="1659"/>
      <c r="J156" s="1659"/>
      <c r="K156" s="1688"/>
      <c r="L156" s="1687"/>
      <c r="M156" s="505"/>
      <c r="N156" s="505"/>
    </row>
    <row r="157" spans="1:14" s="506" customFormat="1" ht="12" x14ac:dyDescent="0.2">
      <c r="A157" s="1455" t="s">
        <v>492</v>
      </c>
      <c r="B157" s="1456" t="s">
        <v>1812</v>
      </c>
      <c r="C157" s="1659"/>
      <c r="D157" s="1659"/>
      <c r="E157" s="1659"/>
      <c r="F157" s="1659"/>
      <c r="G157" s="1659"/>
      <c r="H157" s="1671">
        <v>0</v>
      </c>
      <c r="I157" s="1659"/>
      <c r="J157" s="1659"/>
      <c r="K157" s="1658">
        <f>H157</f>
        <v>0</v>
      </c>
      <c r="L157" s="1562">
        <v>0</v>
      </c>
      <c r="M157" s="505"/>
      <c r="N157" s="505"/>
    </row>
    <row r="158" spans="1:14" s="506" customFormat="1" ht="12" x14ac:dyDescent="0.2">
      <c r="A158" s="1455" t="s">
        <v>300</v>
      </c>
      <c r="B158" s="1456" t="s">
        <v>1814</v>
      </c>
      <c r="C158" s="1659"/>
      <c r="D158" s="1659"/>
      <c r="E158" s="1659"/>
      <c r="F158" s="1659"/>
      <c r="G158" s="1659"/>
      <c r="H158" s="1562">
        <v>0</v>
      </c>
      <c r="I158" s="1659"/>
      <c r="J158" s="1659"/>
      <c r="K158" s="1658">
        <f>H158</f>
        <v>0</v>
      </c>
      <c r="L158" s="1562">
        <v>0</v>
      </c>
      <c r="M158" s="505"/>
      <c r="N158" s="505"/>
    </row>
    <row r="159" spans="1:14" s="506" customFormat="1" ht="12" x14ac:dyDescent="0.2">
      <c r="A159" s="1455" t="s">
        <v>1815</v>
      </c>
      <c r="B159" s="1456" t="s">
        <v>553</v>
      </c>
      <c r="C159" s="1659"/>
      <c r="D159" s="1659"/>
      <c r="E159" s="1659"/>
      <c r="F159" s="1659"/>
      <c r="G159" s="1659"/>
      <c r="H159" s="1562">
        <v>0</v>
      </c>
      <c r="I159" s="1659"/>
      <c r="J159" s="1659"/>
      <c r="K159" s="1658">
        <f>H159</f>
        <v>0</v>
      </c>
      <c r="L159" s="1562">
        <v>0</v>
      </c>
      <c r="M159" s="505"/>
      <c r="N159" s="505"/>
    </row>
    <row r="160" spans="1:14" s="506" customFormat="1" ht="15.75" customHeight="1" thickBot="1" x14ac:dyDescent="0.25">
      <c r="A160" s="1457" t="s">
        <v>1816</v>
      </c>
      <c r="B160" s="1458" t="s">
        <v>853</v>
      </c>
      <c r="C160" s="1659"/>
      <c r="D160" s="1659"/>
      <c r="E160" s="1659"/>
      <c r="F160" s="1659"/>
      <c r="G160" s="1659"/>
      <c r="H160" s="1581">
        <f>SUM(H157:H159)</f>
        <v>0</v>
      </c>
      <c r="I160" s="1659"/>
      <c r="J160" s="1659"/>
      <c r="K160" s="1660">
        <f>SUM(K157:K159)</f>
        <v>0</v>
      </c>
      <c r="L160" s="1581">
        <f>SUM(L157:L159)</f>
        <v>0</v>
      </c>
      <c r="M160" s="505"/>
      <c r="N160" s="505"/>
    </row>
    <row r="161" spans="1:14" s="254" customFormat="1" ht="15.75" customHeight="1" thickTop="1" x14ac:dyDescent="0.2">
      <c r="A161" s="1343" t="s">
        <v>82</v>
      </c>
      <c r="B161" s="1344" t="s">
        <v>488</v>
      </c>
      <c r="C161" s="1659"/>
      <c r="D161" s="1659"/>
      <c r="E161" s="1659"/>
      <c r="F161" s="1659"/>
      <c r="G161" s="1659"/>
      <c r="H161" s="1659"/>
      <c r="I161" s="1659"/>
      <c r="J161" s="1659"/>
      <c r="K161" s="1659"/>
      <c r="L161" s="1659"/>
      <c r="M161" s="502"/>
      <c r="N161" s="502"/>
    </row>
    <row r="162" spans="1:14" s="254" customFormat="1" ht="15.75" customHeight="1" x14ac:dyDescent="0.2">
      <c r="A162" s="530" t="s">
        <v>610</v>
      </c>
      <c r="B162" s="508"/>
      <c r="C162" s="1659"/>
      <c r="D162" s="1659"/>
      <c r="E162" s="1659"/>
      <c r="F162" s="1659"/>
      <c r="G162" s="1659"/>
      <c r="H162" s="1659"/>
      <c r="I162" s="1659"/>
      <c r="J162" s="1659"/>
      <c r="K162" s="1662"/>
      <c r="L162" s="1662"/>
      <c r="M162" s="502"/>
      <c r="N162" s="502"/>
    </row>
    <row r="163" spans="1:14" x14ac:dyDescent="0.2">
      <c r="A163" s="1267" t="s">
        <v>87</v>
      </c>
      <c r="B163" s="503">
        <v>5110</v>
      </c>
      <c r="C163" s="1659"/>
      <c r="D163" s="1659"/>
      <c r="E163" s="1659"/>
      <c r="F163" s="1659"/>
      <c r="G163" s="1659"/>
      <c r="H163" s="1561">
        <v>0</v>
      </c>
      <c r="I163" s="1659"/>
      <c r="J163" s="1659"/>
      <c r="K163" s="1658">
        <f>SUM(C163:J163)</f>
        <v>0</v>
      </c>
      <c r="L163" s="1561">
        <v>0</v>
      </c>
    </row>
    <row r="164" spans="1:14" x14ac:dyDescent="0.2">
      <c r="A164" s="1267" t="s">
        <v>88</v>
      </c>
      <c r="B164" s="503">
        <v>5120</v>
      </c>
      <c r="C164" s="1659"/>
      <c r="D164" s="1659"/>
      <c r="E164" s="1659"/>
      <c r="F164" s="1659"/>
      <c r="G164" s="1659"/>
      <c r="H164" s="1561">
        <v>0</v>
      </c>
      <c r="I164" s="1659"/>
      <c r="J164" s="1659"/>
      <c r="K164" s="1658">
        <f>SUM(C164:J164)</f>
        <v>0</v>
      </c>
      <c r="L164" s="1561">
        <v>0</v>
      </c>
    </row>
    <row r="165" spans="1:14" ht="12.75" customHeight="1" x14ac:dyDescent="0.2">
      <c r="A165" s="1267" t="s">
        <v>1158</v>
      </c>
      <c r="B165" s="503" t="s">
        <v>612</v>
      </c>
      <c r="C165" s="1659"/>
      <c r="D165" s="1659"/>
      <c r="E165" s="1659"/>
      <c r="F165" s="1659"/>
      <c r="G165" s="1659"/>
      <c r="H165" s="1561">
        <v>0</v>
      </c>
      <c r="I165" s="1659"/>
      <c r="J165" s="1659"/>
      <c r="K165" s="1658">
        <f>SUM(C165:J165)</f>
        <v>0</v>
      </c>
      <c r="L165" s="1561">
        <v>0</v>
      </c>
    </row>
    <row r="166" spans="1:14" x14ac:dyDescent="0.2">
      <c r="A166" s="1267" t="s">
        <v>89</v>
      </c>
      <c r="B166" s="512" t="s">
        <v>584</v>
      </c>
      <c r="C166" s="1659"/>
      <c r="D166" s="1659"/>
      <c r="E166" s="1659"/>
      <c r="F166" s="1659"/>
      <c r="G166" s="1659"/>
      <c r="H166" s="1561">
        <v>0</v>
      </c>
      <c r="I166" s="1659"/>
      <c r="J166" s="1659"/>
      <c r="K166" s="1658">
        <f>SUM(C166:J166)</f>
        <v>0</v>
      </c>
      <c r="L166" s="1561">
        <v>0</v>
      </c>
    </row>
    <row r="167" spans="1:14" ht="12.75" customHeight="1" x14ac:dyDescent="0.2">
      <c r="A167" s="1267" t="s">
        <v>614</v>
      </c>
      <c r="B167" s="503" t="s">
        <v>613</v>
      </c>
      <c r="C167" s="1659"/>
      <c r="D167" s="1659"/>
      <c r="E167" s="1659"/>
      <c r="F167" s="1659"/>
      <c r="G167" s="1659"/>
      <c r="H167" s="1561">
        <v>0</v>
      </c>
      <c r="I167" s="1659"/>
      <c r="J167" s="1659"/>
      <c r="K167" s="1658">
        <f>SUM(C167:J167)</f>
        <v>0</v>
      </c>
      <c r="L167" s="1561">
        <v>0</v>
      </c>
    </row>
    <row r="168" spans="1:14" ht="13.5" thickBot="1" x14ac:dyDescent="0.25">
      <c r="A168" s="1373" t="s">
        <v>273</v>
      </c>
      <c r="B168" s="1376" t="s">
        <v>711</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681">
        <v>386493</v>
      </c>
      <c r="I169" s="1659"/>
      <c r="J169" s="1659"/>
      <c r="K169" s="1658">
        <f>SUM(C169:H169)</f>
        <v>386493</v>
      </c>
      <c r="L169" s="1681">
        <v>388910</v>
      </c>
    </row>
    <row r="170" spans="1:14" ht="33.75" customHeight="1" x14ac:dyDescent="0.2">
      <c r="A170" s="543" t="s">
        <v>1647</v>
      </c>
      <c r="B170" s="545" t="s">
        <v>31</v>
      </c>
      <c r="C170" s="1659"/>
      <c r="D170" s="1659"/>
      <c r="E170" s="1659"/>
      <c r="F170" s="1659"/>
      <c r="G170" s="1659"/>
      <c r="H170" s="1632">
        <v>766119</v>
      </c>
      <c r="I170" s="1659"/>
      <c r="J170" s="1659"/>
      <c r="K170" s="1658">
        <f>SUM(C170:J170)</f>
        <v>766119</v>
      </c>
      <c r="L170" s="1632">
        <v>759200</v>
      </c>
    </row>
    <row r="171" spans="1:14" ht="15.75" customHeight="1" x14ac:dyDescent="0.2">
      <c r="A171" s="507" t="s">
        <v>759</v>
      </c>
      <c r="B171" s="546" t="s">
        <v>84</v>
      </c>
      <c r="C171" s="1659"/>
      <c r="D171" s="1659"/>
      <c r="E171" s="1561">
        <v>2375</v>
      </c>
      <c r="F171" s="1659"/>
      <c r="G171" s="1659"/>
      <c r="H171" s="1632">
        <v>0</v>
      </c>
      <c r="I171" s="1569"/>
      <c r="J171" s="1659"/>
      <c r="K171" s="1658">
        <f>SUM(C171:J171)</f>
        <v>2375</v>
      </c>
      <c r="L171" s="1632">
        <v>2375</v>
      </c>
    </row>
    <row r="172" spans="1:14" ht="12.75" customHeight="1" thickBot="1" x14ac:dyDescent="0.25">
      <c r="A172" s="1373" t="s">
        <v>632</v>
      </c>
      <c r="B172" s="1374" t="s">
        <v>488</v>
      </c>
      <c r="C172" s="1659"/>
      <c r="D172" s="1659"/>
      <c r="E172" s="1667">
        <f>SUM(E168,E169,E170,E171)</f>
        <v>2375</v>
      </c>
      <c r="F172" s="1659"/>
      <c r="G172" s="1659"/>
      <c r="H172" s="1667">
        <f>SUM(H168,H169,H170,H171)</f>
        <v>1152612</v>
      </c>
      <c r="I172" s="1670"/>
      <c r="J172" s="1659"/>
      <c r="K172" s="1667">
        <f>SUM(K168,K169,K170,K171)</f>
        <v>1154987</v>
      </c>
      <c r="L172" s="1667">
        <f>SUM(L168,L169,L170,L171)</f>
        <v>1150485</v>
      </c>
    </row>
    <row r="173" spans="1:14" ht="15.75" customHeight="1" thickTop="1" thickBot="1" x14ac:dyDescent="0.25">
      <c r="A173" s="1350" t="s">
        <v>85</v>
      </c>
      <c r="B173" s="1342" t="s">
        <v>854</v>
      </c>
      <c r="C173" s="1659"/>
      <c r="D173" s="1659"/>
      <c r="E173" s="1662"/>
      <c r="F173" s="1659"/>
      <c r="G173" s="1659"/>
      <c r="H173" s="1663"/>
      <c r="I173" s="1670"/>
      <c r="J173" s="1659"/>
      <c r="K173" s="1662"/>
      <c r="L173" s="1637">
        <v>0</v>
      </c>
    </row>
    <row r="174" spans="1:14" ht="12.75" customHeight="1" thickTop="1" thickBot="1" x14ac:dyDescent="0.25">
      <c r="A174" s="1384" t="s">
        <v>90</v>
      </c>
      <c r="B174" s="1385"/>
      <c r="C174" s="1659"/>
      <c r="D174" s="1659"/>
      <c r="E174" s="1667">
        <f>SUM(E172,E173)</f>
        <v>2375</v>
      </c>
      <c r="F174" s="1659"/>
      <c r="G174" s="1659"/>
      <c r="H174" s="1667">
        <f>SUM(H160,H172,H173)</f>
        <v>1152612</v>
      </c>
      <c r="I174" s="1670"/>
      <c r="J174" s="1659"/>
      <c r="K174" s="1667">
        <f>SUM(K160,K172,K173)</f>
        <v>1154987</v>
      </c>
      <c r="L174" s="1667">
        <f>SUM(L160,L172,L173)</f>
        <v>1150485</v>
      </c>
    </row>
    <row r="175" spans="1:14" ht="13.5" thickTop="1" x14ac:dyDescent="0.2">
      <c r="A175" s="2312" t="s">
        <v>987</v>
      </c>
      <c r="B175" s="2313"/>
      <c r="C175" s="1659"/>
      <c r="D175" s="1659"/>
      <c r="E175" s="1659"/>
      <c r="F175" s="1659"/>
      <c r="G175" s="1659"/>
      <c r="H175" s="1661"/>
      <c r="I175" s="1659"/>
      <c r="J175" s="1659"/>
      <c r="K175" s="1675">
        <f>'Revenues 9-14'!E268-'Expenditures 15-22'!K174</f>
        <v>-794768</v>
      </c>
      <c r="L175" s="1661"/>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297" t="s">
        <v>929</v>
      </c>
      <c r="B177" s="1298"/>
      <c r="C177" s="1689"/>
      <c r="D177" s="1690"/>
      <c r="E177" s="1690"/>
      <c r="F177" s="1690"/>
      <c r="G177" s="1690"/>
      <c r="H177" s="1690"/>
      <c r="I177" s="1690"/>
      <c r="J177" s="1690"/>
      <c r="K177" s="1690"/>
      <c r="L177" s="1691"/>
      <c r="M177" s="501"/>
      <c r="N177" s="501"/>
    </row>
    <row r="178" spans="1:14" s="548" customFormat="1" ht="15.75" customHeight="1" x14ac:dyDescent="0.2">
      <c r="A178" s="1351" t="s">
        <v>930</v>
      </c>
      <c r="B178" s="1352"/>
      <c r="C178" s="1659"/>
      <c r="D178" s="1659"/>
      <c r="E178" s="1659"/>
      <c r="F178" s="1659"/>
      <c r="G178" s="1659"/>
      <c r="H178" s="1659"/>
      <c r="I178" s="1659"/>
      <c r="J178" s="1659"/>
      <c r="K178" s="1659"/>
      <c r="L178" s="1659"/>
      <c r="M178" s="539"/>
      <c r="N178" s="539"/>
    </row>
    <row r="179" spans="1:14" s="548" customFormat="1" ht="15.75" customHeight="1" x14ac:dyDescent="0.2">
      <c r="A179" s="549" t="s">
        <v>586</v>
      </c>
      <c r="B179" s="508"/>
      <c r="C179" s="1662"/>
      <c r="D179" s="1662"/>
      <c r="E179" s="1662"/>
      <c r="F179" s="1659"/>
      <c r="G179" s="1659"/>
      <c r="H179" s="1662"/>
      <c r="I179" s="1659"/>
      <c r="J179" s="1659"/>
      <c r="K179" s="1662"/>
      <c r="L179" s="1662"/>
      <c r="M179" s="539"/>
      <c r="N179" s="539"/>
    </row>
    <row r="180" spans="1:14" ht="12.75" customHeight="1" x14ac:dyDescent="0.2">
      <c r="A180" s="1267" t="s">
        <v>1959</v>
      </c>
      <c r="B180" s="503" t="s">
        <v>709</v>
      </c>
      <c r="C180" s="1561">
        <v>0</v>
      </c>
      <c r="D180" s="1561">
        <v>0</v>
      </c>
      <c r="E180" s="1561">
        <v>0</v>
      </c>
      <c r="F180" s="1561">
        <v>0</v>
      </c>
      <c r="G180" s="1561">
        <v>0</v>
      </c>
      <c r="H180" s="1561">
        <v>0</v>
      </c>
      <c r="I180" s="1562">
        <v>0</v>
      </c>
      <c r="J180" s="1562">
        <v>0</v>
      </c>
      <c r="K180" s="1658">
        <f>SUM(C180:J180)</f>
        <v>0</v>
      </c>
      <c r="L180" s="1561">
        <v>0</v>
      </c>
    </row>
    <row r="181" spans="1:14" ht="15.75" customHeight="1" x14ac:dyDescent="0.2">
      <c r="A181" s="509" t="s">
        <v>607</v>
      </c>
      <c r="B181" s="550"/>
      <c r="C181" s="1633"/>
      <c r="D181" s="1633"/>
      <c r="E181" s="1633"/>
      <c r="F181" s="1633"/>
      <c r="G181" s="1633"/>
      <c r="H181" s="1633"/>
      <c r="I181" s="1563"/>
      <c r="J181" s="1563"/>
      <c r="K181" s="1633"/>
      <c r="L181" s="1633"/>
    </row>
    <row r="182" spans="1:14" ht="12.75" customHeight="1" x14ac:dyDescent="0.2">
      <c r="A182" s="1267" t="s">
        <v>945</v>
      </c>
      <c r="B182" s="503">
        <v>2550</v>
      </c>
      <c r="C182" s="1561">
        <v>1036353</v>
      </c>
      <c r="D182" s="1561">
        <v>305629</v>
      </c>
      <c r="E182" s="1561">
        <v>625164</v>
      </c>
      <c r="F182" s="1561">
        <v>85060</v>
      </c>
      <c r="G182" s="1561">
        <v>0</v>
      </c>
      <c r="H182" s="1561">
        <v>1774</v>
      </c>
      <c r="I182" s="1562">
        <v>483</v>
      </c>
      <c r="J182" s="1562">
        <v>0</v>
      </c>
      <c r="K182" s="1658">
        <f>SUM(C182:J182)</f>
        <v>2054463</v>
      </c>
      <c r="L182" s="1561">
        <v>1832499</v>
      </c>
    </row>
    <row r="183" spans="1:14" ht="12.75" customHeight="1" thickBot="1" x14ac:dyDescent="0.25">
      <c r="A183" s="1272" t="s">
        <v>971</v>
      </c>
      <c r="B183" s="551">
        <v>2900</v>
      </c>
      <c r="C183" s="1635">
        <v>0</v>
      </c>
      <c r="D183" s="1635">
        <v>0</v>
      </c>
      <c r="E183" s="1635">
        <v>0</v>
      </c>
      <c r="F183" s="1635">
        <v>0</v>
      </c>
      <c r="G183" s="1635">
        <v>0</v>
      </c>
      <c r="H183" s="1635">
        <v>0</v>
      </c>
      <c r="I183" s="1614">
        <v>0</v>
      </c>
      <c r="J183" s="1614">
        <v>0</v>
      </c>
      <c r="K183" s="1667">
        <f>SUM(C183:J183)</f>
        <v>0</v>
      </c>
      <c r="L183" s="1635">
        <v>0</v>
      </c>
    </row>
    <row r="184" spans="1:14" ht="12.75" customHeight="1" thickTop="1" thickBot="1" x14ac:dyDescent="0.25">
      <c r="A184" s="1386" t="s">
        <v>804</v>
      </c>
      <c r="B184" s="1374" t="s">
        <v>564</v>
      </c>
      <c r="C184" s="1667">
        <f>SUM(C180,C182,C183)</f>
        <v>1036353</v>
      </c>
      <c r="D184" s="1667">
        <f t="shared" ref="D184:J184" si="17">SUM(D180,D182,D183)</f>
        <v>305629</v>
      </c>
      <c r="E184" s="1667">
        <f t="shared" si="17"/>
        <v>625164</v>
      </c>
      <c r="F184" s="1667">
        <f t="shared" si="17"/>
        <v>85060</v>
      </c>
      <c r="G184" s="1667">
        <f t="shared" si="17"/>
        <v>0</v>
      </c>
      <c r="H184" s="1667">
        <f t="shared" si="17"/>
        <v>1774</v>
      </c>
      <c r="I184" s="1667">
        <f t="shared" si="17"/>
        <v>483</v>
      </c>
      <c r="J184" s="1667">
        <f t="shared" si="17"/>
        <v>0</v>
      </c>
      <c r="K184" s="1667">
        <f>SUM(K180,K182,K183)</f>
        <v>2054463</v>
      </c>
      <c r="L184" s="1667">
        <f>SUM(L180, L182:L183)</f>
        <v>1832499</v>
      </c>
    </row>
    <row r="185" spans="1:14" ht="15.75" customHeight="1" thickTop="1" thickBot="1" x14ac:dyDescent="0.25">
      <c r="A185" s="1353" t="s">
        <v>931</v>
      </c>
      <c r="B185" s="1342">
        <v>3000</v>
      </c>
      <c r="C185" s="1637"/>
      <c r="D185" s="1637"/>
      <c r="E185" s="1637"/>
      <c r="F185" s="1637"/>
      <c r="G185" s="1637"/>
      <c r="H185" s="1637"/>
      <c r="I185" s="1613"/>
      <c r="J185" s="1613"/>
      <c r="K185" s="1660">
        <f>SUM(C185:J185)</f>
        <v>0</v>
      </c>
      <c r="L185" s="1637">
        <v>0</v>
      </c>
    </row>
    <row r="186" spans="1:14" s="548" customFormat="1" ht="15.75" customHeight="1" thickTop="1" x14ac:dyDescent="0.2">
      <c r="A186" s="1337" t="s">
        <v>91</v>
      </c>
      <c r="B186" s="1340" t="s">
        <v>853</v>
      </c>
      <c r="C186" s="1659"/>
      <c r="D186" s="1659"/>
      <c r="E186" s="1659"/>
      <c r="F186" s="1659"/>
      <c r="G186" s="1659"/>
      <c r="H186" s="1659"/>
      <c r="I186" s="1659"/>
      <c r="J186" s="1659"/>
      <c r="K186" s="1659"/>
      <c r="L186" s="1659"/>
      <c r="M186" s="539"/>
      <c r="N186" s="539"/>
    </row>
    <row r="187" spans="1:14" s="548" customFormat="1" ht="15.75" customHeight="1" x14ac:dyDescent="0.2">
      <c r="A187" s="507" t="s">
        <v>1119</v>
      </c>
      <c r="B187" s="508"/>
      <c r="C187" s="1659"/>
      <c r="D187" s="1659"/>
      <c r="E187" s="1659"/>
      <c r="F187" s="1659"/>
      <c r="G187" s="1659"/>
      <c r="H187" s="1659"/>
      <c r="I187" s="1659"/>
      <c r="J187" s="1659"/>
      <c r="K187" s="1659"/>
      <c r="L187" s="1659"/>
      <c r="M187" s="539"/>
      <c r="N187" s="539"/>
    </row>
    <row r="188" spans="1:14" x14ac:dyDescent="0.2">
      <c r="A188" s="1267" t="s">
        <v>492</v>
      </c>
      <c r="B188" s="503">
        <v>4110</v>
      </c>
      <c r="C188" s="1659"/>
      <c r="D188" s="1659"/>
      <c r="E188" s="1561">
        <v>0</v>
      </c>
      <c r="F188" s="1659"/>
      <c r="G188" s="1659"/>
      <c r="H188" s="1561">
        <v>0</v>
      </c>
      <c r="I188" s="1569"/>
      <c r="J188" s="1659"/>
      <c r="K188" s="1658">
        <f t="shared" ref="K188:K193" si="18">SUM(E188,H188)</f>
        <v>0</v>
      </c>
      <c r="L188" s="1561">
        <v>0</v>
      </c>
    </row>
    <row r="189" spans="1:14" x14ac:dyDescent="0.2">
      <c r="A189" s="1267" t="s">
        <v>300</v>
      </c>
      <c r="B189" s="503">
        <v>4120</v>
      </c>
      <c r="C189" s="1659"/>
      <c r="D189" s="1659"/>
      <c r="E189" s="1561">
        <v>0</v>
      </c>
      <c r="F189" s="1659"/>
      <c r="G189" s="1659"/>
      <c r="H189" s="1561">
        <v>0</v>
      </c>
      <c r="I189" s="1569"/>
      <c r="J189" s="1659"/>
      <c r="K189" s="1658">
        <f t="shared" si="18"/>
        <v>0</v>
      </c>
      <c r="L189" s="1561">
        <v>0</v>
      </c>
    </row>
    <row r="190" spans="1:14" x14ac:dyDescent="0.2">
      <c r="A190" s="1267" t="s">
        <v>301</v>
      </c>
      <c r="B190" s="512">
        <v>4130</v>
      </c>
      <c r="C190" s="1659"/>
      <c r="D190" s="1659"/>
      <c r="E190" s="1561">
        <v>0</v>
      </c>
      <c r="F190" s="1659"/>
      <c r="G190" s="1659"/>
      <c r="H190" s="1561">
        <v>0</v>
      </c>
      <c r="I190" s="1569"/>
      <c r="J190" s="1659"/>
      <c r="K190" s="1658">
        <f t="shared" si="18"/>
        <v>0</v>
      </c>
      <c r="L190" s="1561">
        <v>0</v>
      </c>
    </row>
    <row r="191" spans="1:14" x14ac:dyDescent="0.2">
      <c r="A191" s="1267" t="s">
        <v>690</v>
      </c>
      <c r="B191" s="503">
        <v>4140</v>
      </c>
      <c r="C191" s="1659"/>
      <c r="D191" s="1659"/>
      <c r="E191" s="1561">
        <v>0</v>
      </c>
      <c r="F191" s="1659"/>
      <c r="G191" s="1659"/>
      <c r="H191" s="1561">
        <v>0</v>
      </c>
      <c r="I191" s="1569"/>
      <c r="J191" s="1659"/>
      <c r="K191" s="1658">
        <f t="shared" si="18"/>
        <v>0</v>
      </c>
      <c r="L191" s="1561">
        <v>0</v>
      </c>
    </row>
    <row r="192" spans="1:14" x14ac:dyDescent="0.2">
      <c r="A192" s="1267" t="s">
        <v>86</v>
      </c>
      <c r="B192" s="503">
        <v>4170</v>
      </c>
      <c r="C192" s="1659"/>
      <c r="D192" s="1659"/>
      <c r="E192" s="1561">
        <v>0</v>
      </c>
      <c r="F192" s="1659"/>
      <c r="G192" s="1659"/>
      <c r="H192" s="1561">
        <v>0</v>
      </c>
      <c r="I192" s="1569"/>
      <c r="J192" s="1659"/>
      <c r="K192" s="1658">
        <f t="shared" si="18"/>
        <v>0</v>
      </c>
      <c r="L192" s="1561">
        <v>0</v>
      </c>
    </row>
    <row r="193" spans="1:14" x14ac:dyDescent="0.2">
      <c r="A193" s="1271" t="s">
        <v>691</v>
      </c>
      <c r="B193" s="512">
        <v>4190</v>
      </c>
      <c r="C193" s="1659"/>
      <c r="D193" s="1659"/>
      <c r="E193" s="1561">
        <v>0</v>
      </c>
      <c r="F193" s="1659"/>
      <c r="G193" s="1659"/>
      <c r="H193" s="1561">
        <v>0</v>
      </c>
      <c r="I193" s="1569"/>
      <c r="J193" s="1659"/>
      <c r="K193" s="1658">
        <f t="shared" si="18"/>
        <v>0</v>
      </c>
      <c r="L193" s="1561">
        <v>0</v>
      </c>
    </row>
    <row r="194" spans="1:14" ht="12.75" customHeight="1" thickBot="1" x14ac:dyDescent="0.25">
      <c r="A194" s="1373" t="s">
        <v>1128</v>
      </c>
      <c r="B194" s="1374" t="s">
        <v>554</v>
      </c>
      <c r="C194" s="1659"/>
      <c r="D194" s="1659"/>
      <c r="E194" s="1660">
        <f>SUM(E188:E193)</f>
        <v>0</v>
      </c>
      <c r="F194" s="1659"/>
      <c r="G194" s="1659"/>
      <c r="H194" s="1660">
        <f>SUM(H188:H193)</f>
        <v>0</v>
      </c>
      <c r="I194" s="1569"/>
      <c r="J194" s="1659"/>
      <c r="K194" s="1660">
        <f>SUM(K188:K193)</f>
        <v>0</v>
      </c>
      <c r="L194" s="1660">
        <f>SUM(L188:L193)</f>
        <v>0</v>
      </c>
    </row>
    <row r="195" spans="1:14" ht="15.75" customHeight="1" thickTop="1" x14ac:dyDescent="0.2">
      <c r="A195" s="543" t="s">
        <v>92</v>
      </c>
      <c r="B195" s="552" t="s">
        <v>923</v>
      </c>
      <c r="C195" s="1659"/>
      <c r="D195" s="1659"/>
      <c r="E195" s="1681">
        <v>0</v>
      </c>
      <c r="F195" s="1659"/>
      <c r="G195" s="1659"/>
      <c r="H195" s="1681">
        <v>0</v>
      </c>
      <c r="I195" s="1569"/>
      <c r="J195" s="1659"/>
      <c r="K195" s="1682">
        <f>SUM(E195,H195)</f>
        <v>0</v>
      </c>
      <c r="L195" s="1681">
        <v>0</v>
      </c>
    </row>
    <row r="196" spans="1:14" ht="12.75" customHeight="1" thickBot="1" x14ac:dyDescent="0.25">
      <c r="A196" s="1373" t="s">
        <v>1466</v>
      </c>
      <c r="B196" s="1374" t="s">
        <v>853</v>
      </c>
      <c r="C196" s="1659"/>
      <c r="D196" s="1659"/>
      <c r="E196" s="1667">
        <f>SUM(E194,E195)</f>
        <v>0</v>
      </c>
      <c r="F196" s="1659"/>
      <c r="G196" s="1659"/>
      <c r="H196" s="1667">
        <f>SUM(H194,H195)</f>
        <v>0</v>
      </c>
      <c r="I196" s="1569"/>
      <c r="J196" s="1659"/>
      <c r="K196" s="1667">
        <f>SUM(K194,K195)</f>
        <v>0</v>
      </c>
      <c r="L196" s="1667">
        <f>SUM(L194,L195)</f>
        <v>0</v>
      </c>
    </row>
    <row r="197" spans="1:14" s="548" customFormat="1" ht="15.75" customHeight="1" thickTop="1" x14ac:dyDescent="0.2">
      <c r="A197" s="1343" t="s">
        <v>932</v>
      </c>
      <c r="B197" s="1340" t="s">
        <v>488</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67" t="s">
        <v>87</v>
      </c>
      <c r="B199" s="503">
        <v>5110</v>
      </c>
      <c r="C199" s="1659"/>
      <c r="D199" s="1659"/>
      <c r="E199" s="1659"/>
      <c r="F199" s="1659"/>
      <c r="G199" s="1659"/>
      <c r="H199" s="1561">
        <v>0</v>
      </c>
      <c r="I199" s="1659"/>
      <c r="J199" s="1659"/>
      <c r="K199" s="1658">
        <f>SUM(H199)</f>
        <v>0</v>
      </c>
      <c r="L199" s="1561">
        <v>0</v>
      </c>
    </row>
    <row r="200" spans="1:14" x14ac:dyDescent="0.2">
      <c r="A200" s="1267" t="s">
        <v>88</v>
      </c>
      <c r="B200" s="503">
        <v>5120</v>
      </c>
      <c r="C200" s="1659"/>
      <c r="D200" s="1659"/>
      <c r="E200" s="1659"/>
      <c r="F200" s="1659"/>
      <c r="G200" s="1659"/>
      <c r="H200" s="1561">
        <v>0</v>
      </c>
      <c r="I200" s="1659"/>
      <c r="J200" s="1659"/>
      <c r="K200" s="1658">
        <f>SUM(H200)</f>
        <v>0</v>
      </c>
      <c r="L200" s="1561">
        <v>0</v>
      </c>
    </row>
    <row r="201" spans="1:14" ht="12.75" customHeight="1" x14ac:dyDescent="0.2">
      <c r="A201" s="1267" t="s">
        <v>1158</v>
      </c>
      <c r="B201" s="512" t="s">
        <v>612</v>
      </c>
      <c r="C201" s="1659"/>
      <c r="D201" s="1659"/>
      <c r="E201" s="1659"/>
      <c r="F201" s="1659"/>
      <c r="G201" s="1659"/>
      <c r="H201" s="1561">
        <v>0</v>
      </c>
      <c r="I201" s="1659"/>
      <c r="J201" s="1659"/>
      <c r="K201" s="1658">
        <f>SUM(H201)</f>
        <v>0</v>
      </c>
      <c r="L201" s="1561">
        <v>0</v>
      </c>
    </row>
    <row r="202" spans="1:14" x14ac:dyDescent="0.2">
      <c r="A202" s="1267" t="s">
        <v>89</v>
      </c>
      <c r="B202" s="503" t="s">
        <v>584</v>
      </c>
      <c r="C202" s="1659"/>
      <c r="D202" s="1659"/>
      <c r="E202" s="1659"/>
      <c r="F202" s="1659"/>
      <c r="G202" s="1659"/>
      <c r="H202" s="1561">
        <v>0</v>
      </c>
      <c r="I202" s="1659"/>
      <c r="J202" s="1659"/>
      <c r="K202" s="1658">
        <f>SUM(H202)</f>
        <v>0</v>
      </c>
      <c r="L202" s="1561">
        <v>0</v>
      </c>
    </row>
    <row r="203" spans="1:14" x14ac:dyDescent="0.2">
      <c r="A203" s="1279" t="s">
        <v>614</v>
      </c>
      <c r="B203" s="503" t="s">
        <v>613</v>
      </c>
      <c r="C203" s="1659"/>
      <c r="D203" s="1659"/>
      <c r="E203" s="1659"/>
      <c r="F203" s="1659"/>
      <c r="G203" s="1659"/>
      <c r="H203" s="1565">
        <v>0</v>
      </c>
      <c r="I203" s="1659"/>
      <c r="J203" s="1659"/>
      <c r="K203" s="1658">
        <f>SUM(H203)</f>
        <v>0</v>
      </c>
      <c r="L203" s="1565">
        <v>0</v>
      </c>
    </row>
    <row r="204" spans="1:14" ht="13.5" thickBot="1" x14ac:dyDescent="0.25">
      <c r="A204" s="1373" t="s">
        <v>273</v>
      </c>
      <c r="B204" s="1374" t="s">
        <v>711</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616">
        <v>0</v>
      </c>
      <c r="I205" s="1659"/>
      <c r="J205" s="1659"/>
      <c r="K205" s="1682">
        <f>SUM(H205)</f>
        <v>0</v>
      </c>
      <c r="L205" s="1616">
        <v>0</v>
      </c>
    </row>
    <row r="206" spans="1:14" ht="30" customHeight="1" x14ac:dyDescent="0.2">
      <c r="A206" s="555" t="s">
        <v>1648</v>
      </c>
      <c r="B206" s="546" t="s">
        <v>31</v>
      </c>
      <c r="C206" s="1659"/>
      <c r="D206" s="1659"/>
      <c r="E206" s="1659"/>
      <c r="F206" s="1659"/>
      <c r="G206" s="1659"/>
      <c r="H206" s="1561">
        <v>0</v>
      </c>
      <c r="I206" s="1659"/>
      <c r="J206" s="1659"/>
      <c r="K206" s="1658">
        <f>SUM(H206)</f>
        <v>0</v>
      </c>
      <c r="L206" s="1561">
        <v>0</v>
      </c>
    </row>
    <row r="207" spans="1:14" ht="15.75" customHeight="1" x14ac:dyDescent="0.2">
      <c r="A207" s="507" t="s">
        <v>759</v>
      </c>
      <c r="B207" s="546" t="s">
        <v>84</v>
      </c>
      <c r="C207" s="1659"/>
      <c r="D207" s="1659"/>
      <c r="E207" s="1659"/>
      <c r="F207" s="1659"/>
      <c r="G207" s="1659"/>
      <c r="H207" s="1562">
        <v>0</v>
      </c>
      <c r="I207" s="1659"/>
      <c r="J207" s="1659"/>
      <c r="K207" s="1658">
        <f>H207</f>
        <v>0</v>
      </c>
      <c r="L207" s="1561">
        <v>0</v>
      </c>
    </row>
    <row r="208" spans="1:14" ht="12.75" customHeight="1" thickBot="1" x14ac:dyDescent="0.25">
      <c r="A208" s="1382" t="s">
        <v>632</v>
      </c>
      <c r="B208" s="1383" t="s">
        <v>488</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37" t="s">
        <v>865</v>
      </c>
      <c r="B209" s="1344" t="s">
        <v>854</v>
      </c>
      <c r="C209" s="1662"/>
      <c r="D209" s="1662"/>
      <c r="E209" s="1662"/>
      <c r="F209" s="1662"/>
      <c r="G209" s="1662"/>
      <c r="H209" s="1662"/>
      <c r="I209" s="1659"/>
      <c r="J209" s="1659"/>
      <c r="K209" s="1662"/>
      <c r="L209" s="1637">
        <v>0</v>
      </c>
    </row>
    <row r="210" spans="1:14" ht="12.75" customHeight="1" thickTop="1" thickBot="1" x14ac:dyDescent="0.25">
      <c r="A210" s="1387" t="s">
        <v>274</v>
      </c>
      <c r="B210" s="1388"/>
      <c r="C210" s="1660">
        <f>SUM(C184,C185)</f>
        <v>1036353</v>
      </c>
      <c r="D210" s="1660">
        <f>SUM(D184,D185)</f>
        <v>305629</v>
      </c>
      <c r="E210" s="1660">
        <f>SUM(E184,E185,E196)</f>
        <v>625164</v>
      </c>
      <c r="F210" s="1660">
        <f>SUM(F184,F185)</f>
        <v>85060</v>
      </c>
      <c r="G210" s="1660">
        <f>SUM(G184,G185)</f>
        <v>0</v>
      </c>
      <c r="H210" s="1660">
        <f>SUM(H184,H185,H196,H208,H209)</f>
        <v>1774</v>
      </c>
      <c r="I210" s="1660">
        <f>SUM(I184,I185)</f>
        <v>483</v>
      </c>
      <c r="J210" s="1660">
        <f>SUM(J184,J185)</f>
        <v>0</v>
      </c>
      <c r="K210" s="1658">
        <f>SUM(K184,K185,K196,K208,K209)</f>
        <v>2054463</v>
      </c>
      <c r="L210" s="1660">
        <f>SUM(L184,L185,L196,L208,L209)</f>
        <v>1832499</v>
      </c>
    </row>
    <row r="211" spans="1:14" ht="13.5" thickTop="1" x14ac:dyDescent="0.2">
      <c r="A211" s="2312" t="s">
        <v>987</v>
      </c>
      <c r="B211" s="2313"/>
      <c r="C211" s="1661"/>
      <c r="D211" s="1661"/>
      <c r="E211" s="1661"/>
      <c r="F211" s="1661"/>
      <c r="G211" s="1661"/>
      <c r="H211" s="1661"/>
      <c r="I211" s="1659"/>
      <c r="J211" s="1659"/>
      <c r="K211" s="1675">
        <f>'Revenues 9-14'!F268-'Expenditures 15-22'!K210</f>
        <v>97834</v>
      </c>
      <c r="L211" s="1661"/>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307" t="s">
        <v>957</v>
      </c>
      <c r="B213" s="2308"/>
      <c r="C213" s="1689"/>
      <c r="D213" s="1690"/>
      <c r="E213" s="1690"/>
      <c r="F213" s="1690"/>
      <c r="G213" s="1690"/>
      <c r="H213" s="1690"/>
      <c r="I213" s="1690"/>
      <c r="J213" s="1690"/>
      <c r="K213" s="1690"/>
      <c r="L213" s="1691"/>
      <c r="M213" s="501"/>
      <c r="N213" s="501"/>
    </row>
    <row r="214" spans="1:14" s="548" customFormat="1" ht="15.75" customHeight="1" x14ac:dyDescent="0.2">
      <c r="A214" s="1354" t="s">
        <v>866</v>
      </c>
      <c r="B214" s="1346" t="s">
        <v>565</v>
      </c>
      <c r="C214" s="1659"/>
      <c r="D214" s="1662"/>
      <c r="E214" s="1659"/>
      <c r="F214" s="1659"/>
      <c r="G214" s="1659"/>
      <c r="H214" s="1659"/>
      <c r="I214" s="1659"/>
      <c r="J214" s="1659"/>
      <c r="K214" s="1662"/>
      <c r="L214" s="1662"/>
      <c r="M214" s="539"/>
      <c r="N214" s="539"/>
    </row>
    <row r="215" spans="1:14" x14ac:dyDescent="0.2">
      <c r="A215" s="1267" t="s">
        <v>953</v>
      </c>
      <c r="B215" s="503">
        <v>1100</v>
      </c>
      <c r="C215" s="1659"/>
      <c r="D215" s="1561">
        <v>171812</v>
      </c>
      <c r="E215" s="1659"/>
      <c r="F215" s="1659"/>
      <c r="G215" s="1659"/>
      <c r="H215" s="1659"/>
      <c r="I215" s="1659"/>
      <c r="J215" s="1659"/>
      <c r="K215" s="1658">
        <f>D215</f>
        <v>171812</v>
      </c>
      <c r="L215" s="1561">
        <v>175300</v>
      </c>
    </row>
    <row r="216" spans="1:14" x14ac:dyDescent="0.2">
      <c r="A216" s="1267" t="s">
        <v>162</v>
      </c>
      <c r="B216" s="503" t="s">
        <v>959</v>
      </c>
      <c r="C216" s="1659"/>
      <c r="D216" s="1562">
        <v>0</v>
      </c>
      <c r="E216" s="1659"/>
      <c r="F216" s="1659"/>
      <c r="G216" s="1659"/>
      <c r="H216" s="1659"/>
      <c r="I216" s="1659"/>
      <c r="J216" s="1659"/>
      <c r="K216" s="1658">
        <f t="shared" ref="K216:K228" si="19">D216</f>
        <v>0</v>
      </c>
      <c r="L216" s="1561">
        <v>0</v>
      </c>
    </row>
    <row r="217" spans="1:14" x14ac:dyDescent="0.2">
      <c r="A217" s="1267" t="s">
        <v>163</v>
      </c>
      <c r="B217" s="503">
        <v>1200</v>
      </c>
      <c r="C217" s="1659"/>
      <c r="D217" s="1561">
        <v>137460</v>
      </c>
      <c r="E217" s="1659"/>
      <c r="F217" s="1659"/>
      <c r="G217" s="1659"/>
      <c r="H217" s="1659"/>
      <c r="I217" s="1659"/>
      <c r="J217" s="1659"/>
      <c r="K217" s="1658">
        <f t="shared" si="19"/>
        <v>137460</v>
      </c>
      <c r="L217" s="1561">
        <v>143200</v>
      </c>
    </row>
    <row r="218" spans="1:14" x14ac:dyDescent="0.2">
      <c r="A218" s="1267" t="s">
        <v>275</v>
      </c>
      <c r="B218" s="503" t="s">
        <v>960</v>
      </c>
      <c r="C218" s="1659"/>
      <c r="D218" s="1562">
        <v>20919</v>
      </c>
      <c r="E218" s="1659"/>
      <c r="F218" s="1659"/>
      <c r="G218" s="1659"/>
      <c r="H218" s="1659"/>
      <c r="I218" s="1659"/>
      <c r="J218" s="1659"/>
      <c r="K218" s="1658">
        <f t="shared" si="19"/>
        <v>20919</v>
      </c>
      <c r="L218" s="1561">
        <v>20100</v>
      </c>
    </row>
    <row r="219" spans="1:14" x14ac:dyDescent="0.2">
      <c r="A219" s="1267" t="s">
        <v>276</v>
      </c>
      <c r="B219" s="503">
        <v>1250</v>
      </c>
      <c r="C219" s="1659"/>
      <c r="D219" s="1561">
        <v>16635</v>
      </c>
      <c r="E219" s="1659"/>
      <c r="F219" s="1659"/>
      <c r="G219" s="1659"/>
      <c r="H219" s="1659"/>
      <c r="I219" s="1659"/>
      <c r="J219" s="1659"/>
      <c r="K219" s="1658">
        <f t="shared" si="19"/>
        <v>16635</v>
      </c>
      <c r="L219" s="1561">
        <v>19300</v>
      </c>
    </row>
    <row r="220" spans="1:14" x14ac:dyDescent="0.2">
      <c r="A220" s="1267" t="s">
        <v>277</v>
      </c>
      <c r="B220" s="503" t="s">
        <v>160</v>
      </c>
      <c r="C220" s="1659"/>
      <c r="D220" s="1562">
        <v>0</v>
      </c>
      <c r="E220" s="1659"/>
      <c r="F220" s="1659"/>
      <c r="G220" s="1659"/>
      <c r="H220" s="1659"/>
      <c r="I220" s="1659"/>
      <c r="J220" s="1659"/>
      <c r="K220" s="1658">
        <f t="shared" si="19"/>
        <v>0</v>
      </c>
      <c r="L220" s="1561">
        <v>0</v>
      </c>
    </row>
    <row r="221" spans="1:14" x14ac:dyDescent="0.2">
      <c r="A221" s="1267" t="s">
        <v>954</v>
      </c>
      <c r="B221" s="503">
        <v>1300</v>
      </c>
      <c r="C221" s="1659"/>
      <c r="D221" s="1561">
        <v>0</v>
      </c>
      <c r="E221" s="1659"/>
      <c r="F221" s="1659"/>
      <c r="G221" s="1659"/>
      <c r="H221" s="1659"/>
      <c r="I221" s="1659"/>
      <c r="J221" s="1659"/>
      <c r="K221" s="1658">
        <f t="shared" si="19"/>
        <v>0</v>
      </c>
      <c r="L221" s="1561">
        <v>0</v>
      </c>
    </row>
    <row r="222" spans="1:14" x14ac:dyDescent="0.2">
      <c r="A222" s="1267" t="s">
        <v>716</v>
      </c>
      <c r="B222" s="503">
        <v>1400</v>
      </c>
      <c r="C222" s="1659"/>
      <c r="D222" s="1561">
        <v>0</v>
      </c>
      <c r="E222" s="1659"/>
      <c r="F222" s="1659"/>
      <c r="G222" s="1659"/>
      <c r="H222" s="1659"/>
      <c r="I222" s="1659"/>
      <c r="J222" s="1659"/>
      <c r="K222" s="1658">
        <f t="shared" si="19"/>
        <v>0</v>
      </c>
      <c r="L222" s="1561">
        <v>0</v>
      </c>
    </row>
    <row r="223" spans="1:14" x14ac:dyDescent="0.2">
      <c r="A223" s="1267" t="s">
        <v>955</v>
      </c>
      <c r="B223" s="503">
        <v>1500</v>
      </c>
      <c r="C223" s="1659"/>
      <c r="D223" s="1561">
        <v>1656</v>
      </c>
      <c r="E223" s="1659"/>
      <c r="F223" s="1659"/>
      <c r="G223" s="1659"/>
      <c r="H223" s="1659"/>
      <c r="I223" s="1659"/>
      <c r="J223" s="1659"/>
      <c r="K223" s="1658">
        <f t="shared" si="19"/>
        <v>1656</v>
      </c>
      <c r="L223" s="1561">
        <v>2700</v>
      </c>
    </row>
    <row r="224" spans="1:14" x14ac:dyDescent="0.2">
      <c r="A224" s="1267" t="s">
        <v>956</v>
      </c>
      <c r="B224" s="503">
        <v>1600</v>
      </c>
      <c r="C224" s="1659"/>
      <c r="D224" s="1561">
        <v>971</v>
      </c>
      <c r="E224" s="1659"/>
      <c r="F224" s="1659"/>
      <c r="G224" s="1659"/>
      <c r="H224" s="1659"/>
      <c r="I224" s="1659"/>
      <c r="J224" s="1659"/>
      <c r="K224" s="1658">
        <f t="shared" si="19"/>
        <v>971</v>
      </c>
      <c r="L224" s="1561">
        <v>2300</v>
      </c>
    </row>
    <row r="225" spans="1:12" x14ac:dyDescent="0.2">
      <c r="A225" s="1267" t="s">
        <v>978</v>
      </c>
      <c r="B225" s="503">
        <v>1650</v>
      </c>
      <c r="C225" s="1659"/>
      <c r="D225" s="1561">
        <v>5144</v>
      </c>
      <c r="E225" s="1659"/>
      <c r="F225" s="1659"/>
      <c r="G225" s="1659"/>
      <c r="H225" s="1659"/>
      <c r="I225" s="1659"/>
      <c r="J225" s="1659"/>
      <c r="K225" s="1658">
        <f t="shared" si="19"/>
        <v>5144</v>
      </c>
      <c r="L225" s="1561">
        <v>4300</v>
      </c>
    </row>
    <row r="226" spans="1:12" x14ac:dyDescent="0.2">
      <c r="A226" s="1267" t="s">
        <v>717</v>
      </c>
      <c r="B226" s="503" t="s">
        <v>161</v>
      </c>
      <c r="C226" s="1659"/>
      <c r="D226" s="1562">
        <v>0</v>
      </c>
      <c r="E226" s="1659"/>
      <c r="F226" s="1659"/>
      <c r="G226" s="1659"/>
      <c r="H226" s="1659"/>
      <c r="I226" s="1659"/>
      <c r="J226" s="1659"/>
      <c r="K226" s="1658">
        <f t="shared" si="19"/>
        <v>0</v>
      </c>
      <c r="L226" s="1561">
        <v>0</v>
      </c>
    </row>
    <row r="227" spans="1:12" x14ac:dyDescent="0.2">
      <c r="A227" s="1267" t="s">
        <v>1076</v>
      </c>
      <c r="B227" s="503">
        <v>1800</v>
      </c>
      <c r="C227" s="1659"/>
      <c r="D227" s="1561">
        <v>10302</v>
      </c>
      <c r="E227" s="1659"/>
      <c r="F227" s="1659"/>
      <c r="G227" s="1659"/>
      <c r="H227" s="1659"/>
      <c r="I227" s="1659"/>
      <c r="J227" s="1659"/>
      <c r="K227" s="1658">
        <f t="shared" si="19"/>
        <v>10302</v>
      </c>
      <c r="L227" s="1561">
        <v>14100</v>
      </c>
    </row>
    <row r="228" spans="1:12" x14ac:dyDescent="0.2">
      <c r="A228" s="1267" t="s">
        <v>1077</v>
      </c>
      <c r="B228" s="503">
        <v>1900</v>
      </c>
      <c r="C228" s="1659"/>
      <c r="D228" s="1561">
        <v>0</v>
      </c>
      <c r="E228" s="1659"/>
      <c r="F228" s="1659"/>
      <c r="G228" s="1659"/>
      <c r="H228" s="1659"/>
      <c r="I228" s="1659"/>
      <c r="J228" s="1659"/>
      <c r="K228" s="1658">
        <f t="shared" si="19"/>
        <v>0</v>
      </c>
      <c r="L228" s="1561">
        <v>0</v>
      </c>
    </row>
    <row r="229" spans="1:12" ht="12.75" customHeight="1" thickBot="1" x14ac:dyDescent="0.25">
      <c r="A229" s="1373" t="s">
        <v>708</v>
      </c>
      <c r="B229" s="1376" t="s">
        <v>565</v>
      </c>
      <c r="C229" s="1659"/>
      <c r="D229" s="1660">
        <f>SUM(D215:D228)</f>
        <v>364899</v>
      </c>
      <c r="E229" s="1659"/>
      <c r="F229" s="1659"/>
      <c r="G229" s="1659"/>
      <c r="H229" s="1659"/>
      <c r="I229" s="1659"/>
      <c r="J229" s="1659"/>
      <c r="K229" s="1660">
        <f>SUM(K215:K228)</f>
        <v>364899</v>
      </c>
      <c r="L229" s="1660">
        <f>SUM(L215:L228)</f>
        <v>381300</v>
      </c>
    </row>
    <row r="230" spans="1:12" ht="15.75" customHeight="1" thickTop="1" x14ac:dyDescent="0.2">
      <c r="A230" s="1343" t="s">
        <v>867</v>
      </c>
      <c r="B230" s="1344" t="s">
        <v>564</v>
      </c>
      <c r="C230" s="1659"/>
      <c r="D230" s="1659"/>
      <c r="E230" s="1659"/>
      <c r="F230" s="1659"/>
      <c r="G230" s="1659"/>
      <c r="H230" s="1659"/>
      <c r="I230" s="1659"/>
      <c r="J230" s="1659"/>
      <c r="K230" s="1659"/>
      <c r="L230" s="1659"/>
    </row>
    <row r="231" spans="1:12" ht="15.75" customHeight="1" x14ac:dyDescent="0.2">
      <c r="A231" s="530" t="s">
        <v>586</v>
      </c>
      <c r="B231" s="508"/>
      <c r="C231" s="1659"/>
      <c r="D231" s="1659"/>
      <c r="E231" s="1659"/>
      <c r="F231" s="1659"/>
      <c r="G231" s="1659"/>
      <c r="H231" s="1659"/>
      <c r="I231" s="1659"/>
      <c r="J231" s="1659"/>
      <c r="K231" s="1659"/>
      <c r="L231" s="1659"/>
    </row>
    <row r="232" spans="1:12" x14ac:dyDescent="0.2">
      <c r="A232" s="1267" t="s">
        <v>1078</v>
      </c>
      <c r="B232" s="503">
        <v>2110</v>
      </c>
      <c r="C232" s="1659"/>
      <c r="D232" s="1561">
        <v>3934</v>
      </c>
      <c r="E232" s="1659"/>
      <c r="F232" s="1659"/>
      <c r="G232" s="1659"/>
      <c r="H232" s="1659"/>
      <c r="I232" s="1659"/>
      <c r="J232" s="1659"/>
      <c r="K232" s="1658">
        <f t="shared" ref="K232:K237" si="20">D232</f>
        <v>3934</v>
      </c>
      <c r="L232" s="1561">
        <v>4000</v>
      </c>
    </row>
    <row r="233" spans="1:12" x14ac:dyDescent="0.2">
      <c r="A233" s="1267" t="s">
        <v>1079</v>
      </c>
      <c r="B233" s="503">
        <v>2120</v>
      </c>
      <c r="C233" s="1659"/>
      <c r="D233" s="1561">
        <v>0</v>
      </c>
      <c r="E233" s="1659"/>
      <c r="F233" s="1659"/>
      <c r="G233" s="1659"/>
      <c r="H233" s="1659"/>
      <c r="I233" s="1659"/>
      <c r="J233" s="1659"/>
      <c r="K233" s="1658">
        <f t="shared" si="20"/>
        <v>0</v>
      </c>
      <c r="L233" s="1561">
        <v>0</v>
      </c>
    </row>
    <row r="234" spans="1:12" x14ac:dyDescent="0.2">
      <c r="A234" s="1267" t="s">
        <v>196</v>
      </c>
      <c r="B234" s="503">
        <v>2130</v>
      </c>
      <c r="C234" s="1659"/>
      <c r="D234" s="1561">
        <v>77789</v>
      </c>
      <c r="E234" s="1659"/>
      <c r="F234" s="1659"/>
      <c r="G234" s="1659"/>
      <c r="H234" s="1659"/>
      <c r="I234" s="1659"/>
      <c r="J234" s="1659"/>
      <c r="K234" s="1658">
        <f t="shared" si="20"/>
        <v>77789</v>
      </c>
      <c r="L234" s="1561">
        <v>76000</v>
      </c>
    </row>
    <row r="235" spans="1:12" x14ac:dyDescent="0.2">
      <c r="A235" s="1267" t="s">
        <v>197</v>
      </c>
      <c r="B235" s="503">
        <v>2140</v>
      </c>
      <c r="C235" s="1659"/>
      <c r="D235" s="1561">
        <v>5365</v>
      </c>
      <c r="E235" s="1659"/>
      <c r="F235" s="1659"/>
      <c r="G235" s="1659"/>
      <c r="H235" s="1659"/>
      <c r="I235" s="1659"/>
      <c r="J235" s="1659"/>
      <c r="K235" s="1658">
        <f t="shared" si="20"/>
        <v>5365</v>
      </c>
      <c r="L235" s="1561">
        <v>5000</v>
      </c>
    </row>
    <row r="236" spans="1:12" x14ac:dyDescent="0.2">
      <c r="A236" s="1267" t="s">
        <v>198</v>
      </c>
      <c r="B236" s="503">
        <v>2150</v>
      </c>
      <c r="C236" s="1659"/>
      <c r="D236" s="1561">
        <v>5397</v>
      </c>
      <c r="E236" s="1659"/>
      <c r="F236" s="1659"/>
      <c r="G236" s="1659"/>
      <c r="H236" s="1659"/>
      <c r="I236" s="1659"/>
      <c r="J236" s="1659"/>
      <c r="K236" s="1658">
        <f t="shared" si="20"/>
        <v>5397</v>
      </c>
      <c r="L236" s="1561">
        <v>5600</v>
      </c>
    </row>
    <row r="237" spans="1:12" x14ac:dyDescent="0.2">
      <c r="A237" s="1267" t="s">
        <v>164</v>
      </c>
      <c r="B237" s="503">
        <v>2190</v>
      </c>
      <c r="C237" s="1659"/>
      <c r="D237" s="1561">
        <v>1095</v>
      </c>
      <c r="E237" s="1659"/>
      <c r="F237" s="1659"/>
      <c r="G237" s="1659"/>
      <c r="H237" s="1659"/>
      <c r="I237" s="1659"/>
      <c r="J237" s="1659"/>
      <c r="K237" s="1658">
        <f t="shared" si="20"/>
        <v>1095</v>
      </c>
      <c r="L237" s="1561">
        <v>1800</v>
      </c>
    </row>
    <row r="238" spans="1:12" ht="12.75" customHeight="1" thickBot="1" x14ac:dyDescent="0.25">
      <c r="A238" s="1373" t="s">
        <v>555</v>
      </c>
      <c r="B238" s="1376" t="s">
        <v>709</v>
      </c>
      <c r="C238" s="1659"/>
      <c r="D238" s="1660">
        <f>SUM(D232:D237)</f>
        <v>93580</v>
      </c>
      <c r="E238" s="1659"/>
      <c r="F238" s="1659"/>
      <c r="G238" s="1659"/>
      <c r="H238" s="1659"/>
      <c r="I238" s="1659"/>
      <c r="J238" s="1659"/>
      <c r="K238" s="1660">
        <f>SUM(K232:K237)</f>
        <v>93580</v>
      </c>
      <c r="L238" s="1660">
        <f>SUM(L232:L237)</f>
        <v>92400</v>
      </c>
    </row>
    <row r="239" spans="1:12" ht="15.75" customHeight="1" thickTop="1" x14ac:dyDescent="0.2">
      <c r="A239" s="509" t="s">
        <v>587</v>
      </c>
      <c r="B239" s="514"/>
      <c r="C239" s="1659"/>
      <c r="D239" s="1663"/>
      <c r="E239" s="1659"/>
      <c r="F239" s="1659"/>
      <c r="G239" s="1659"/>
      <c r="H239" s="1659"/>
      <c r="I239" s="1659"/>
      <c r="J239" s="1659"/>
      <c r="K239" s="1663"/>
      <c r="L239" s="1663"/>
    </row>
    <row r="240" spans="1:12" x14ac:dyDescent="0.2">
      <c r="A240" s="1267" t="s">
        <v>807</v>
      </c>
      <c r="B240" s="503">
        <v>2210</v>
      </c>
      <c r="C240" s="1659"/>
      <c r="D240" s="1573">
        <v>21788</v>
      </c>
      <c r="E240" s="1659"/>
      <c r="F240" s="1659"/>
      <c r="G240" s="1659"/>
      <c r="H240" s="1659"/>
      <c r="I240" s="1659"/>
      <c r="J240" s="1659"/>
      <c r="K240" s="1664">
        <f>D240</f>
        <v>21788</v>
      </c>
      <c r="L240" s="1573">
        <v>17200</v>
      </c>
    </row>
    <row r="241" spans="1:12" x14ac:dyDescent="0.2">
      <c r="A241" s="1267" t="s">
        <v>808</v>
      </c>
      <c r="B241" s="503">
        <v>2220</v>
      </c>
      <c r="C241" s="1659"/>
      <c r="D241" s="1561">
        <v>16547</v>
      </c>
      <c r="E241" s="1659"/>
      <c r="F241" s="1659"/>
      <c r="G241" s="1659"/>
      <c r="H241" s="1659"/>
      <c r="I241" s="1659"/>
      <c r="J241" s="1659"/>
      <c r="K241" s="1664">
        <f>D241</f>
        <v>16547</v>
      </c>
      <c r="L241" s="1561">
        <v>15700</v>
      </c>
    </row>
    <row r="242" spans="1:12" x14ac:dyDescent="0.2">
      <c r="A242" s="1267" t="s">
        <v>809</v>
      </c>
      <c r="B242" s="503">
        <v>2230</v>
      </c>
      <c r="C242" s="1659"/>
      <c r="D242" s="1561">
        <v>0</v>
      </c>
      <c r="E242" s="1659"/>
      <c r="F242" s="1659"/>
      <c r="G242" s="1659"/>
      <c r="H242" s="1659"/>
      <c r="I242" s="1659"/>
      <c r="J242" s="1659"/>
      <c r="K242" s="1664">
        <f>D242</f>
        <v>0</v>
      </c>
      <c r="L242" s="1561">
        <v>0</v>
      </c>
    </row>
    <row r="243" spans="1:12" ht="12.75" customHeight="1" thickBot="1" x14ac:dyDescent="0.25">
      <c r="A243" s="1389" t="s">
        <v>556</v>
      </c>
      <c r="B243" s="1390">
        <v>2200</v>
      </c>
      <c r="C243" s="1659"/>
      <c r="D243" s="1660">
        <f>SUM(D240:D242)</f>
        <v>38335</v>
      </c>
      <c r="E243" s="1659"/>
      <c r="F243" s="1659"/>
      <c r="G243" s="1659"/>
      <c r="H243" s="1659"/>
      <c r="I243" s="1659"/>
      <c r="J243" s="1659"/>
      <c r="K243" s="1660">
        <f>SUM(K240:K242)</f>
        <v>38335</v>
      </c>
      <c r="L243" s="1660">
        <f>SUM(L240:L242)</f>
        <v>32900</v>
      </c>
    </row>
    <row r="244" spans="1:12" ht="15.75" customHeight="1" thickTop="1" x14ac:dyDescent="0.2">
      <c r="A244" s="509" t="s">
        <v>605</v>
      </c>
      <c r="B244" s="556"/>
      <c r="C244" s="1659"/>
      <c r="D244" s="1663"/>
      <c r="E244" s="1659"/>
      <c r="F244" s="1659"/>
      <c r="G244" s="1659"/>
      <c r="H244" s="1659"/>
      <c r="I244" s="1659"/>
      <c r="J244" s="1659"/>
      <c r="K244" s="1663"/>
      <c r="L244" s="1663"/>
    </row>
    <row r="245" spans="1:12" x14ac:dyDescent="0.2">
      <c r="A245" s="1267" t="s">
        <v>810</v>
      </c>
      <c r="B245" s="503">
        <v>2310</v>
      </c>
      <c r="C245" s="1659"/>
      <c r="D245" s="1573">
        <v>0</v>
      </c>
      <c r="E245" s="1659"/>
      <c r="F245" s="1659"/>
      <c r="G245" s="1659"/>
      <c r="H245" s="1659"/>
      <c r="I245" s="1659"/>
      <c r="J245" s="1659"/>
      <c r="K245" s="1664">
        <f>D245</f>
        <v>0</v>
      </c>
      <c r="L245" s="1573">
        <v>0</v>
      </c>
    </row>
    <row r="246" spans="1:12" x14ac:dyDescent="0.2">
      <c r="A246" s="1267" t="s">
        <v>811</v>
      </c>
      <c r="B246" s="503">
        <v>2320</v>
      </c>
      <c r="C246" s="1659"/>
      <c r="D246" s="1561">
        <v>18734</v>
      </c>
      <c r="E246" s="1659"/>
      <c r="F246" s="1659"/>
      <c r="G246" s="1659"/>
      <c r="H246" s="1659"/>
      <c r="I246" s="1659"/>
      <c r="J246" s="1659"/>
      <c r="K246" s="1664">
        <f t="shared" ref="K246:K256" si="21">D246</f>
        <v>18734</v>
      </c>
      <c r="L246" s="1561">
        <v>18200</v>
      </c>
    </row>
    <row r="247" spans="1:12" x14ac:dyDescent="0.2">
      <c r="A247" s="1267" t="s">
        <v>812</v>
      </c>
      <c r="B247" s="503">
        <v>2330</v>
      </c>
      <c r="C247" s="1659"/>
      <c r="D247" s="1561">
        <v>15000</v>
      </c>
      <c r="E247" s="1659"/>
      <c r="F247" s="1659"/>
      <c r="G247" s="1659"/>
      <c r="H247" s="1659"/>
      <c r="I247" s="1659"/>
      <c r="J247" s="1659"/>
      <c r="K247" s="1664">
        <f t="shared" si="21"/>
        <v>15000</v>
      </c>
      <c r="L247" s="1561">
        <v>15300</v>
      </c>
    </row>
    <row r="248" spans="1:12" x14ac:dyDescent="0.2">
      <c r="A248" s="1268" t="s">
        <v>295</v>
      </c>
      <c r="B248" s="494" t="s">
        <v>278</v>
      </c>
      <c r="C248" s="1659"/>
      <c r="D248" s="1567">
        <v>0</v>
      </c>
      <c r="E248" s="1659"/>
      <c r="F248" s="1659"/>
      <c r="G248" s="1659"/>
      <c r="H248" s="1659"/>
      <c r="I248" s="1659"/>
      <c r="J248" s="1659"/>
      <c r="K248" s="1664">
        <f t="shared" si="21"/>
        <v>0</v>
      </c>
      <c r="L248" s="1561">
        <v>0</v>
      </c>
    </row>
    <row r="249" spans="1:12" x14ac:dyDescent="0.2">
      <c r="A249" s="1269" t="s">
        <v>1778</v>
      </c>
      <c r="B249" s="557" t="s">
        <v>279</v>
      </c>
      <c r="C249" s="1659"/>
      <c r="D249" s="1567">
        <v>0</v>
      </c>
      <c r="E249" s="1659"/>
      <c r="F249" s="1659"/>
      <c r="G249" s="1659"/>
      <c r="H249" s="1659"/>
      <c r="I249" s="1659"/>
      <c r="J249" s="1659"/>
      <c r="K249" s="1664">
        <f t="shared" si="21"/>
        <v>0</v>
      </c>
      <c r="L249" s="1561">
        <v>0</v>
      </c>
    </row>
    <row r="250" spans="1:12" x14ac:dyDescent="0.2">
      <c r="A250" s="1268" t="s">
        <v>1779</v>
      </c>
      <c r="B250" s="494" t="s">
        <v>280</v>
      </c>
      <c r="C250" s="1659"/>
      <c r="D250" s="1567">
        <v>0</v>
      </c>
      <c r="E250" s="1659"/>
      <c r="F250" s="1659"/>
      <c r="G250" s="1659"/>
      <c r="H250" s="1659"/>
      <c r="I250" s="1659"/>
      <c r="J250" s="1659"/>
      <c r="K250" s="1664">
        <f t="shared" si="21"/>
        <v>0</v>
      </c>
      <c r="L250" s="1561">
        <v>0</v>
      </c>
    </row>
    <row r="251" spans="1:12" x14ac:dyDescent="0.2">
      <c r="A251" s="1268" t="s">
        <v>236</v>
      </c>
      <c r="B251" s="494" t="s">
        <v>281</v>
      </c>
      <c r="C251" s="1659"/>
      <c r="D251" s="1567">
        <v>0</v>
      </c>
      <c r="E251" s="1659"/>
      <c r="F251" s="1659"/>
      <c r="G251" s="1659"/>
      <c r="H251" s="1659"/>
      <c r="I251" s="1659"/>
      <c r="J251" s="1659"/>
      <c r="K251" s="1664">
        <f t="shared" si="21"/>
        <v>0</v>
      </c>
      <c r="L251" s="1561">
        <v>0</v>
      </c>
    </row>
    <row r="252" spans="1:12" x14ac:dyDescent="0.2">
      <c r="A252" s="1268" t="s">
        <v>695</v>
      </c>
      <c r="B252" s="494" t="s">
        <v>282</v>
      </c>
      <c r="C252" s="1659"/>
      <c r="D252" s="1567">
        <v>0</v>
      </c>
      <c r="E252" s="1659"/>
      <c r="F252" s="1659"/>
      <c r="G252" s="1659"/>
      <c r="H252" s="1659"/>
      <c r="I252" s="1659"/>
      <c r="J252" s="1659"/>
      <c r="K252" s="1664">
        <f t="shared" si="21"/>
        <v>0</v>
      </c>
      <c r="L252" s="1561">
        <v>0</v>
      </c>
    </row>
    <row r="253" spans="1:12" x14ac:dyDescent="0.2">
      <c r="A253" s="1268" t="s">
        <v>237</v>
      </c>
      <c r="B253" s="494" t="s">
        <v>283</v>
      </c>
      <c r="C253" s="1659"/>
      <c r="D253" s="1567">
        <v>0</v>
      </c>
      <c r="E253" s="1659"/>
      <c r="F253" s="1659"/>
      <c r="G253" s="1659"/>
      <c r="H253" s="1659"/>
      <c r="I253" s="1659"/>
      <c r="J253" s="1659"/>
      <c r="K253" s="1664">
        <f t="shared" si="21"/>
        <v>0</v>
      </c>
      <c r="L253" s="1561">
        <v>0</v>
      </c>
    </row>
    <row r="254" spans="1:12" ht="22.5" x14ac:dyDescent="0.2">
      <c r="A254" s="1268" t="s">
        <v>1020</v>
      </c>
      <c r="B254" s="557" t="s">
        <v>284</v>
      </c>
      <c r="C254" s="1659"/>
      <c r="D254" s="1567">
        <v>0</v>
      </c>
      <c r="E254" s="1659"/>
      <c r="F254" s="1659"/>
      <c r="G254" s="1659"/>
      <c r="H254" s="1659"/>
      <c r="I254" s="1659"/>
      <c r="J254" s="1659"/>
      <c r="K254" s="1664">
        <f t="shared" si="21"/>
        <v>0</v>
      </c>
      <c r="L254" s="1561">
        <v>0</v>
      </c>
    </row>
    <row r="255" spans="1:12" x14ac:dyDescent="0.2">
      <c r="A255" s="1268" t="s">
        <v>1021</v>
      </c>
      <c r="B255" s="494" t="s">
        <v>285</v>
      </c>
      <c r="C255" s="1659"/>
      <c r="D255" s="1567">
        <v>0</v>
      </c>
      <c r="E255" s="1659"/>
      <c r="F255" s="1659"/>
      <c r="G255" s="1659"/>
      <c r="H255" s="1659"/>
      <c r="I255" s="1659"/>
      <c r="J255" s="1659"/>
      <c r="K255" s="1664">
        <f t="shared" si="21"/>
        <v>0</v>
      </c>
      <c r="L255" s="1561">
        <v>0</v>
      </c>
    </row>
    <row r="256" spans="1:12" x14ac:dyDescent="0.2">
      <c r="A256" s="1268" t="s">
        <v>963</v>
      </c>
      <c r="B256" s="503" t="s">
        <v>286</v>
      </c>
      <c r="C256" s="1659"/>
      <c r="D256" s="1567">
        <v>0</v>
      </c>
      <c r="E256" s="1659"/>
      <c r="F256" s="1659"/>
      <c r="G256" s="1659"/>
      <c r="H256" s="1659"/>
      <c r="I256" s="1659"/>
      <c r="J256" s="1659"/>
      <c r="K256" s="1664">
        <f t="shared" si="21"/>
        <v>0</v>
      </c>
      <c r="L256" s="1561">
        <v>0</v>
      </c>
    </row>
    <row r="257" spans="1:14" ht="12.75" customHeight="1" thickBot="1" x14ac:dyDescent="0.25">
      <c r="A257" s="1373" t="s">
        <v>710</v>
      </c>
      <c r="B257" s="1391">
        <v>2300</v>
      </c>
      <c r="C257" s="1659"/>
      <c r="D257" s="1660">
        <f>SUM(D245:D256)</f>
        <v>33734</v>
      </c>
      <c r="E257" s="1659"/>
      <c r="F257" s="1659"/>
      <c r="G257" s="1659"/>
      <c r="H257" s="1659"/>
      <c r="I257" s="1659"/>
      <c r="J257" s="1659"/>
      <c r="K257" s="1660">
        <f>SUM(K245:K256)</f>
        <v>33734</v>
      </c>
      <c r="L257" s="1660">
        <f>SUM(L245:L256)</f>
        <v>33500</v>
      </c>
    </row>
    <row r="258" spans="1:14" ht="15.75" customHeight="1" thickTop="1" x14ac:dyDescent="0.2">
      <c r="A258" s="509" t="s">
        <v>606</v>
      </c>
      <c r="B258" s="558"/>
      <c r="C258" s="1659"/>
      <c r="D258" s="1663"/>
      <c r="E258" s="1659"/>
      <c r="F258" s="1659"/>
      <c r="G258" s="1659"/>
      <c r="H258" s="1659"/>
      <c r="I258" s="1659"/>
      <c r="J258" s="1659"/>
      <c r="K258" s="1663"/>
      <c r="L258" s="1663"/>
    </row>
    <row r="259" spans="1:14" x14ac:dyDescent="0.2">
      <c r="A259" s="1267" t="s">
        <v>1056</v>
      </c>
      <c r="B259" s="559">
        <v>2410</v>
      </c>
      <c r="C259" s="1659"/>
      <c r="D259" s="1573">
        <v>84461</v>
      </c>
      <c r="E259" s="1659"/>
      <c r="F259" s="1659"/>
      <c r="G259" s="1659"/>
      <c r="H259" s="1659"/>
      <c r="I259" s="1659"/>
      <c r="J259" s="1659"/>
      <c r="K259" s="1664">
        <f>D259</f>
        <v>84461</v>
      </c>
      <c r="L259" s="1573">
        <v>80000</v>
      </c>
    </row>
    <row r="260" spans="1:14" s="493" customFormat="1" x14ac:dyDescent="0.2">
      <c r="A260" s="1285" t="s">
        <v>1777</v>
      </c>
      <c r="B260" s="512">
        <v>2490</v>
      </c>
      <c r="C260" s="1659"/>
      <c r="D260" s="1561">
        <v>0</v>
      </c>
      <c r="E260" s="1659"/>
      <c r="F260" s="1659"/>
      <c r="G260" s="1659"/>
      <c r="H260" s="1659"/>
      <c r="I260" s="1659"/>
      <c r="J260" s="1659"/>
      <c r="K260" s="1664">
        <f>D260</f>
        <v>0</v>
      </c>
      <c r="L260" s="1561">
        <v>0</v>
      </c>
      <c r="M260" s="205"/>
      <c r="N260" s="205"/>
    </row>
    <row r="261" spans="1:14" ht="12.75" customHeight="1" thickBot="1" x14ac:dyDescent="0.25">
      <c r="A261" s="1387" t="s">
        <v>261</v>
      </c>
      <c r="B261" s="1392" t="s">
        <v>34</v>
      </c>
      <c r="C261" s="1659"/>
      <c r="D261" s="1660">
        <f>SUM(D259:D260)</f>
        <v>84461</v>
      </c>
      <c r="E261" s="1659"/>
      <c r="F261" s="1659"/>
      <c r="G261" s="1659"/>
      <c r="H261" s="1659"/>
      <c r="I261" s="1659"/>
      <c r="J261" s="1659"/>
      <c r="K261" s="1660">
        <f>SUM(K259:K260)</f>
        <v>84461</v>
      </c>
      <c r="L261" s="1660">
        <f>SUM(L259:L260)</f>
        <v>80000</v>
      </c>
    </row>
    <row r="262" spans="1:14" ht="15.75" customHeight="1" thickTop="1" x14ac:dyDescent="0.2">
      <c r="A262" s="509" t="s">
        <v>607</v>
      </c>
      <c r="B262" s="558"/>
      <c r="C262" s="1659"/>
      <c r="D262" s="1659"/>
      <c r="E262" s="1659"/>
      <c r="F262" s="1659"/>
      <c r="G262" s="1659"/>
      <c r="H262" s="1659"/>
      <c r="I262" s="1659"/>
      <c r="J262" s="1659"/>
      <c r="K262" s="1663"/>
      <c r="L262" s="1663"/>
    </row>
    <row r="263" spans="1:14" x14ac:dyDescent="0.2">
      <c r="A263" s="1267" t="s">
        <v>1057</v>
      </c>
      <c r="B263" s="559">
        <v>2510</v>
      </c>
      <c r="C263" s="1659"/>
      <c r="D263" s="1561">
        <v>2435</v>
      </c>
      <c r="E263" s="1659"/>
      <c r="F263" s="1659"/>
      <c r="G263" s="1659"/>
      <c r="H263" s="1659"/>
      <c r="I263" s="1659"/>
      <c r="J263" s="1659"/>
      <c r="K263" s="1664">
        <f>D263</f>
        <v>2435</v>
      </c>
      <c r="L263" s="1573">
        <v>2600</v>
      </c>
    </row>
    <row r="264" spans="1:14" x14ac:dyDescent="0.2">
      <c r="A264" s="1267" t="s">
        <v>459</v>
      </c>
      <c r="B264" s="559">
        <v>2520</v>
      </c>
      <c r="C264" s="1659"/>
      <c r="D264" s="1561">
        <v>55263</v>
      </c>
      <c r="E264" s="1659"/>
      <c r="F264" s="1659"/>
      <c r="G264" s="1659"/>
      <c r="H264" s="1659"/>
      <c r="I264" s="1659"/>
      <c r="J264" s="1659"/>
      <c r="K264" s="1664">
        <f t="shared" ref="K264:K269" si="22">D264</f>
        <v>55263</v>
      </c>
      <c r="L264" s="1561">
        <v>49900</v>
      </c>
    </row>
    <row r="265" spans="1:14" x14ac:dyDescent="0.2">
      <c r="A265" s="1267" t="s">
        <v>4</v>
      </c>
      <c r="B265" s="503">
        <v>2530</v>
      </c>
      <c r="C265" s="1659"/>
      <c r="D265" s="1561">
        <v>0</v>
      </c>
      <c r="E265" s="1659"/>
      <c r="F265" s="1659"/>
      <c r="G265" s="1659"/>
      <c r="H265" s="1659"/>
      <c r="I265" s="1659"/>
      <c r="J265" s="1659"/>
      <c r="K265" s="1664">
        <f t="shared" si="22"/>
        <v>0</v>
      </c>
      <c r="L265" s="1561">
        <v>0</v>
      </c>
    </row>
    <row r="266" spans="1:14" x14ac:dyDescent="0.2">
      <c r="A266" s="1267" t="s">
        <v>195</v>
      </c>
      <c r="B266" s="503">
        <v>2540</v>
      </c>
      <c r="C266" s="1659"/>
      <c r="D266" s="1561">
        <v>173260</v>
      </c>
      <c r="E266" s="1659"/>
      <c r="F266" s="1659"/>
      <c r="G266" s="1659"/>
      <c r="H266" s="1659"/>
      <c r="I266" s="1659"/>
      <c r="J266" s="1659"/>
      <c r="K266" s="1664">
        <f t="shared" si="22"/>
        <v>173260</v>
      </c>
      <c r="L266" s="1561">
        <v>176100</v>
      </c>
    </row>
    <row r="267" spans="1:14" x14ac:dyDescent="0.2">
      <c r="A267" s="1267" t="s">
        <v>945</v>
      </c>
      <c r="B267" s="503">
        <v>2550</v>
      </c>
      <c r="C267" s="1659"/>
      <c r="D267" s="1561">
        <v>178143</v>
      </c>
      <c r="E267" s="1659"/>
      <c r="F267" s="1659"/>
      <c r="G267" s="1659"/>
      <c r="H267" s="1659"/>
      <c r="I267" s="1659"/>
      <c r="J267" s="1659"/>
      <c r="K267" s="1664">
        <f t="shared" si="22"/>
        <v>178143</v>
      </c>
      <c r="L267" s="1561">
        <v>163900</v>
      </c>
    </row>
    <row r="268" spans="1:14" x14ac:dyDescent="0.2">
      <c r="A268" s="1267" t="s">
        <v>100</v>
      </c>
      <c r="B268" s="503">
        <v>2560</v>
      </c>
      <c r="C268" s="1659"/>
      <c r="D268" s="1561">
        <v>3010</v>
      </c>
      <c r="E268" s="1659"/>
      <c r="F268" s="1659"/>
      <c r="G268" s="1659"/>
      <c r="H268" s="1659"/>
      <c r="I268" s="1659"/>
      <c r="J268" s="1659"/>
      <c r="K268" s="1664">
        <f t="shared" si="22"/>
        <v>3010</v>
      </c>
      <c r="L268" s="1561">
        <v>6300</v>
      </c>
    </row>
    <row r="269" spans="1:14" x14ac:dyDescent="0.2">
      <c r="A269" s="1267" t="s">
        <v>101</v>
      </c>
      <c r="B269" s="503">
        <v>2570</v>
      </c>
      <c r="C269" s="1659"/>
      <c r="D269" s="1561">
        <v>0</v>
      </c>
      <c r="E269" s="1659"/>
      <c r="F269" s="1659"/>
      <c r="G269" s="1659"/>
      <c r="H269" s="1659"/>
      <c r="I269" s="1659"/>
      <c r="J269" s="1659"/>
      <c r="K269" s="1664">
        <f t="shared" si="22"/>
        <v>0</v>
      </c>
      <c r="L269" s="1561">
        <v>0</v>
      </c>
    </row>
    <row r="270" spans="1:14" ht="12.75" customHeight="1" thickBot="1" x14ac:dyDescent="0.25">
      <c r="A270" s="1373" t="s">
        <v>712</v>
      </c>
      <c r="B270" s="1376" t="s">
        <v>35</v>
      </c>
      <c r="C270" s="1659"/>
      <c r="D270" s="1660">
        <f>SUM(D263:D269)</f>
        <v>412111</v>
      </c>
      <c r="E270" s="1659"/>
      <c r="F270" s="1659"/>
      <c r="G270" s="1659"/>
      <c r="H270" s="1659"/>
      <c r="I270" s="1659"/>
      <c r="J270" s="1659"/>
      <c r="K270" s="1660">
        <f>SUM(K263:K269)</f>
        <v>412111</v>
      </c>
      <c r="L270" s="1660">
        <f>SUM(L263:L269)</f>
        <v>398800</v>
      </c>
    </row>
    <row r="271" spans="1:14" ht="15.75" customHeight="1" thickTop="1" x14ac:dyDescent="0.2">
      <c r="A271" s="543" t="s">
        <v>608</v>
      </c>
      <c r="B271" s="510"/>
      <c r="C271" s="1659"/>
      <c r="D271" s="1663"/>
      <c r="E271" s="1659"/>
      <c r="F271" s="1659"/>
      <c r="G271" s="1659"/>
      <c r="H271" s="1659"/>
      <c r="I271" s="1659"/>
      <c r="J271" s="1659"/>
      <c r="K271" s="1663"/>
      <c r="L271" s="1663"/>
    </row>
    <row r="272" spans="1:14" x14ac:dyDescent="0.2">
      <c r="A272" s="1267" t="s">
        <v>1049</v>
      </c>
      <c r="B272" s="503">
        <v>2610</v>
      </c>
      <c r="C272" s="1659"/>
      <c r="D272" s="1573">
        <v>0</v>
      </c>
      <c r="E272" s="1659"/>
      <c r="F272" s="1659"/>
      <c r="G272" s="1659"/>
      <c r="H272" s="1659"/>
      <c r="I272" s="1659"/>
      <c r="J272" s="1659"/>
      <c r="K272" s="1664">
        <f>D272</f>
        <v>0</v>
      </c>
      <c r="L272" s="1573">
        <v>0</v>
      </c>
    </row>
    <row r="273" spans="1:12" x14ac:dyDescent="0.2">
      <c r="A273" s="1267" t="s">
        <v>602</v>
      </c>
      <c r="B273" s="512">
        <v>2620</v>
      </c>
      <c r="C273" s="1659"/>
      <c r="D273" s="1561">
        <v>0</v>
      </c>
      <c r="E273" s="1659"/>
      <c r="F273" s="1659"/>
      <c r="G273" s="1659"/>
      <c r="H273" s="1659"/>
      <c r="I273" s="1659"/>
      <c r="J273" s="1659"/>
      <c r="K273" s="1664">
        <f>D273</f>
        <v>0</v>
      </c>
      <c r="L273" s="1561">
        <v>0</v>
      </c>
    </row>
    <row r="274" spans="1:12" ht="12" customHeight="1" x14ac:dyDescent="0.2">
      <c r="A274" s="1267" t="s">
        <v>1050</v>
      </c>
      <c r="B274" s="503">
        <v>2630</v>
      </c>
      <c r="C274" s="1659"/>
      <c r="D274" s="1561">
        <v>14128</v>
      </c>
      <c r="E274" s="1659"/>
      <c r="F274" s="1659"/>
      <c r="G274" s="1659"/>
      <c r="H274" s="1659"/>
      <c r="I274" s="1659"/>
      <c r="J274" s="1659"/>
      <c r="K274" s="1664">
        <f>D274</f>
        <v>14128</v>
      </c>
      <c r="L274" s="1561">
        <v>13500</v>
      </c>
    </row>
    <row r="275" spans="1:12" x14ac:dyDescent="0.2">
      <c r="A275" s="1267" t="s">
        <v>399</v>
      </c>
      <c r="B275" s="503">
        <v>2640</v>
      </c>
      <c r="C275" s="1659"/>
      <c r="D275" s="1561">
        <v>0</v>
      </c>
      <c r="E275" s="1659"/>
      <c r="F275" s="1659"/>
      <c r="G275" s="1659"/>
      <c r="H275" s="1659"/>
      <c r="I275" s="1659"/>
      <c r="J275" s="1659"/>
      <c r="K275" s="1664">
        <f>D275</f>
        <v>0</v>
      </c>
      <c r="L275" s="1561">
        <v>0</v>
      </c>
    </row>
    <row r="276" spans="1:12" x14ac:dyDescent="0.2">
      <c r="A276" s="1267" t="s">
        <v>400</v>
      </c>
      <c r="B276" s="503">
        <v>2660</v>
      </c>
      <c r="C276" s="1659"/>
      <c r="D276" s="1561">
        <v>57037</v>
      </c>
      <c r="E276" s="1659"/>
      <c r="F276" s="1659"/>
      <c r="G276" s="1659"/>
      <c r="H276" s="1659"/>
      <c r="I276" s="1659"/>
      <c r="J276" s="1659"/>
      <c r="K276" s="1664">
        <f>D276</f>
        <v>57037</v>
      </c>
      <c r="L276" s="1561">
        <v>55900</v>
      </c>
    </row>
    <row r="277" spans="1:12" ht="12.75" customHeight="1" thickBot="1" x14ac:dyDescent="0.25">
      <c r="A277" s="1386" t="s">
        <v>37</v>
      </c>
      <c r="B277" s="1374" t="s">
        <v>36</v>
      </c>
      <c r="C277" s="1659"/>
      <c r="D277" s="1660">
        <f>SUM(D272:D276)</f>
        <v>71165</v>
      </c>
      <c r="E277" s="1659"/>
      <c r="F277" s="1659"/>
      <c r="G277" s="1659"/>
      <c r="H277" s="1659"/>
      <c r="I277" s="1659"/>
      <c r="J277" s="1659"/>
      <c r="K277" s="1660">
        <f>SUM(K272:K276)</f>
        <v>71165</v>
      </c>
      <c r="L277" s="1660">
        <f>SUM(L272:L276)</f>
        <v>69400</v>
      </c>
    </row>
    <row r="278" spans="1:12" ht="13.5" customHeight="1" thickTop="1" x14ac:dyDescent="0.2">
      <c r="A278" s="1273" t="s">
        <v>971</v>
      </c>
      <c r="B278" s="531" t="s">
        <v>569</v>
      </c>
      <c r="C278" s="1659"/>
      <c r="D278" s="1681">
        <v>0</v>
      </c>
      <c r="E278" s="1659"/>
      <c r="F278" s="1659"/>
      <c r="G278" s="1659"/>
      <c r="H278" s="1659"/>
      <c r="I278" s="1659"/>
      <c r="J278" s="1659"/>
      <c r="K278" s="1682">
        <f>D278</f>
        <v>0</v>
      </c>
      <c r="L278" s="1681">
        <v>0</v>
      </c>
    </row>
    <row r="279" spans="1:12" ht="12.75" customHeight="1" thickBot="1" x14ac:dyDescent="0.25">
      <c r="A279" s="1393" t="s">
        <v>804</v>
      </c>
      <c r="B279" s="1380">
        <v>2000</v>
      </c>
      <c r="C279" s="1659"/>
      <c r="D279" s="1667">
        <f>SUM(D238,D243,D257,D261,D270,D277,D278)</f>
        <v>733386</v>
      </c>
      <c r="E279" s="1659"/>
      <c r="F279" s="1659"/>
      <c r="G279" s="1659"/>
      <c r="H279" s="1659"/>
      <c r="I279" s="1659"/>
      <c r="J279" s="1659"/>
      <c r="K279" s="1667">
        <f>SUM(K238,K243,K257,K261,K270,K277,K278)</f>
        <v>733386</v>
      </c>
      <c r="L279" s="1667">
        <f>SUM(L238,L243,L257,L261,L270,L277,L278)</f>
        <v>707000</v>
      </c>
    </row>
    <row r="280" spans="1:12" ht="15.75" customHeight="1" thickTop="1" thickBot="1" x14ac:dyDescent="0.25">
      <c r="A280" s="1355" t="s">
        <v>868</v>
      </c>
      <c r="B280" s="1344">
        <v>3000</v>
      </c>
      <c r="C280" s="1659"/>
      <c r="D280" s="1637">
        <v>38430</v>
      </c>
      <c r="E280" s="1659"/>
      <c r="F280" s="1659"/>
      <c r="G280" s="1659"/>
      <c r="H280" s="1659"/>
      <c r="I280" s="1659"/>
      <c r="J280" s="1659"/>
      <c r="K280" s="1673">
        <f>D280</f>
        <v>38430</v>
      </c>
      <c r="L280" s="1637">
        <v>38800</v>
      </c>
    </row>
    <row r="281" spans="1:12" ht="15.75" customHeight="1" thickTop="1" x14ac:dyDescent="0.2">
      <c r="A281" s="1345" t="s">
        <v>141</v>
      </c>
      <c r="B281" s="1346" t="s">
        <v>853</v>
      </c>
      <c r="C281" s="1659"/>
      <c r="D281" s="1631"/>
      <c r="E281" s="1659"/>
      <c r="F281" s="1659"/>
      <c r="G281" s="1659"/>
      <c r="H281" s="1659"/>
      <c r="I281" s="1659"/>
      <c r="J281" s="1659"/>
      <c r="K281" s="1659"/>
      <c r="L281" s="1659"/>
    </row>
    <row r="282" spans="1:12" ht="15.75" customHeight="1" x14ac:dyDescent="0.2">
      <c r="A282" s="1459" t="s">
        <v>492</v>
      </c>
      <c r="B282" s="562" t="s">
        <v>1812</v>
      </c>
      <c r="C282" s="1659"/>
      <c r="D282" s="1562">
        <v>0</v>
      </c>
      <c r="E282" s="1659"/>
      <c r="F282" s="1659"/>
      <c r="G282" s="1659"/>
      <c r="H282" s="1659"/>
      <c r="I282" s="1659"/>
      <c r="J282" s="1659"/>
      <c r="K282" s="1658">
        <f>D282</f>
        <v>0</v>
      </c>
      <c r="L282" s="1562">
        <v>0</v>
      </c>
    </row>
    <row r="283" spans="1:12" x14ac:dyDescent="0.2">
      <c r="A283" s="1267" t="s">
        <v>300</v>
      </c>
      <c r="B283" s="503">
        <v>4120</v>
      </c>
      <c r="C283" s="1659"/>
      <c r="D283" s="1561">
        <v>0</v>
      </c>
      <c r="E283" s="1659"/>
      <c r="F283" s="1659"/>
      <c r="G283" s="1659"/>
      <c r="H283" s="1659"/>
      <c r="I283" s="1659"/>
      <c r="J283" s="1659"/>
      <c r="K283" s="1658">
        <f>D283</f>
        <v>0</v>
      </c>
      <c r="L283" s="1561">
        <v>0</v>
      </c>
    </row>
    <row r="284" spans="1:12" x14ac:dyDescent="0.2">
      <c r="A284" s="1267" t="s">
        <v>690</v>
      </c>
      <c r="B284" s="503">
        <v>4140</v>
      </c>
      <c r="C284" s="1659"/>
      <c r="D284" s="1562">
        <v>0</v>
      </c>
      <c r="E284" s="1659"/>
      <c r="F284" s="1659"/>
      <c r="G284" s="1659"/>
      <c r="H284" s="1659"/>
      <c r="I284" s="1659"/>
      <c r="J284" s="1659"/>
      <c r="K284" s="1658">
        <f>D284</f>
        <v>0</v>
      </c>
      <c r="L284" s="1561">
        <v>0</v>
      </c>
    </row>
    <row r="285" spans="1:12" ht="12.75" customHeight="1" thickBot="1" x14ac:dyDescent="0.25">
      <c r="A285" s="1373" t="s">
        <v>1466</v>
      </c>
      <c r="B285" s="1374" t="s">
        <v>853</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3" t="s">
        <v>869</v>
      </c>
      <c r="B286" s="1340" t="s">
        <v>488</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67" t="s">
        <v>87</v>
      </c>
      <c r="B288" s="503">
        <v>5110</v>
      </c>
      <c r="C288" s="1659"/>
      <c r="D288" s="1659"/>
      <c r="E288" s="1659"/>
      <c r="F288" s="1659"/>
      <c r="G288" s="1659"/>
      <c r="H288" s="1561">
        <v>0</v>
      </c>
      <c r="I288" s="1659"/>
      <c r="J288" s="1659"/>
      <c r="K288" s="1658">
        <f>H288</f>
        <v>0</v>
      </c>
      <c r="L288" s="1561">
        <v>0</v>
      </c>
    </row>
    <row r="289" spans="1:14" x14ac:dyDescent="0.2">
      <c r="A289" s="1267" t="s">
        <v>88</v>
      </c>
      <c r="B289" s="503">
        <v>5120</v>
      </c>
      <c r="C289" s="1659"/>
      <c r="D289" s="1659"/>
      <c r="E289" s="1659"/>
      <c r="F289" s="1659"/>
      <c r="G289" s="1659"/>
      <c r="H289" s="1561">
        <v>0</v>
      </c>
      <c r="I289" s="1659"/>
      <c r="J289" s="1659"/>
      <c r="K289" s="1658">
        <f>H289</f>
        <v>0</v>
      </c>
      <c r="L289" s="1561">
        <v>0</v>
      </c>
    </row>
    <row r="290" spans="1:14" ht="12.75" customHeight="1" x14ac:dyDescent="0.2">
      <c r="A290" s="1267" t="s">
        <v>1158</v>
      </c>
      <c r="B290" s="512" t="s">
        <v>612</v>
      </c>
      <c r="C290" s="1659"/>
      <c r="D290" s="1659"/>
      <c r="E290" s="1659"/>
      <c r="F290" s="1659"/>
      <c r="G290" s="1659"/>
      <c r="H290" s="1561">
        <v>0</v>
      </c>
      <c r="I290" s="1659"/>
      <c r="J290" s="1659"/>
      <c r="K290" s="1658">
        <f>H290</f>
        <v>0</v>
      </c>
      <c r="L290" s="1561">
        <v>0</v>
      </c>
    </row>
    <row r="291" spans="1:14" x14ac:dyDescent="0.2">
      <c r="A291" s="1267" t="s">
        <v>89</v>
      </c>
      <c r="B291" s="503" t="s">
        <v>584</v>
      </c>
      <c r="C291" s="1659"/>
      <c r="D291" s="1659"/>
      <c r="E291" s="1659"/>
      <c r="F291" s="1659"/>
      <c r="G291" s="1659"/>
      <c r="H291" s="1561">
        <v>0</v>
      </c>
      <c r="I291" s="1659"/>
      <c r="J291" s="1659"/>
      <c r="K291" s="1658">
        <f>H291</f>
        <v>0</v>
      </c>
      <c r="L291" s="1561">
        <v>0</v>
      </c>
    </row>
    <row r="292" spans="1:14" x14ac:dyDescent="0.2">
      <c r="A292" s="1267" t="s">
        <v>755</v>
      </c>
      <c r="B292" s="503" t="s">
        <v>613</v>
      </c>
      <c r="C292" s="1659"/>
      <c r="D292" s="1659"/>
      <c r="E292" s="1659"/>
      <c r="F292" s="1659"/>
      <c r="G292" s="1659"/>
      <c r="H292" s="1561">
        <v>0</v>
      </c>
      <c r="I292" s="1659"/>
      <c r="J292" s="1659"/>
      <c r="K292" s="1658">
        <f>H292</f>
        <v>0</v>
      </c>
      <c r="L292" s="1561">
        <v>0</v>
      </c>
    </row>
    <row r="293" spans="1:14" ht="12.75" customHeight="1" thickBot="1" x14ac:dyDescent="0.25">
      <c r="A293" s="1373" t="s">
        <v>480</v>
      </c>
      <c r="B293" s="1374" t="s">
        <v>488</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56" t="s">
        <v>870</v>
      </c>
      <c r="B294" s="1344" t="s">
        <v>854</v>
      </c>
      <c r="C294" s="1659"/>
      <c r="D294" s="1662"/>
      <c r="E294" s="1659"/>
      <c r="F294" s="1659"/>
      <c r="G294" s="1659"/>
      <c r="H294" s="1692"/>
      <c r="I294" s="1659"/>
      <c r="J294" s="1659"/>
      <c r="K294" s="1692"/>
      <c r="L294" s="1639">
        <v>0</v>
      </c>
    </row>
    <row r="295" spans="1:14" ht="12.75" customHeight="1" thickTop="1" thickBot="1" x14ac:dyDescent="0.25">
      <c r="A295" s="2303" t="s">
        <v>501</v>
      </c>
      <c r="B295" s="2304"/>
      <c r="C295" s="1659"/>
      <c r="D295" s="1660">
        <f>SUM(D229,D279,D280,D285)</f>
        <v>1136715</v>
      </c>
      <c r="E295" s="1659"/>
      <c r="F295" s="1659"/>
      <c r="G295" s="1659"/>
      <c r="H295" s="1660">
        <f>H293</f>
        <v>0</v>
      </c>
      <c r="I295" s="1659"/>
      <c r="J295" s="1659"/>
      <c r="K295" s="1660">
        <f>SUM(K229,K279,K280,K285,K293,K294)</f>
        <v>1136715</v>
      </c>
      <c r="L295" s="1660">
        <f>SUM(L229,L279,L280,L285,L293,L294)</f>
        <v>1127100</v>
      </c>
    </row>
    <row r="296" spans="1:14" ht="13.5" thickTop="1" x14ac:dyDescent="0.2">
      <c r="A296" s="2312" t="s">
        <v>987</v>
      </c>
      <c r="B296" s="2313"/>
      <c r="C296" s="1659"/>
      <c r="D296" s="1661"/>
      <c r="E296" s="1659"/>
      <c r="F296" s="1659"/>
      <c r="G296" s="1659"/>
      <c r="H296" s="1693"/>
      <c r="I296" s="1659"/>
      <c r="J296" s="1659"/>
      <c r="K296" s="1675">
        <f>'Revenues 9-14'!G268-'Expenditures 15-22'!K295</f>
        <v>69831</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95" t="s">
        <v>142</v>
      </c>
      <c r="B298" s="2289"/>
      <c r="C298" s="1689"/>
      <c r="D298" s="1690"/>
      <c r="E298" s="1690"/>
      <c r="F298" s="1690"/>
      <c r="G298" s="1690"/>
      <c r="H298" s="1690"/>
      <c r="I298" s="1690"/>
      <c r="J298" s="1690"/>
      <c r="K298" s="1690"/>
      <c r="L298" s="1691"/>
    </row>
    <row r="299" spans="1:14" ht="15.75" customHeight="1" x14ac:dyDescent="0.2">
      <c r="A299" s="1343" t="s">
        <v>143</v>
      </c>
      <c r="B299" s="1346" t="s">
        <v>564</v>
      </c>
      <c r="C299" s="1659"/>
      <c r="D299" s="1659"/>
      <c r="E299" s="1659"/>
      <c r="F299" s="1659"/>
      <c r="G299" s="1659"/>
      <c r="H299" s="1659"/>
      <c r="I299" s="1659"/>
      <c r="J299" s="1659"/>
      <c r="K299" s="1659"/>
      <c r="L299" s="1659"/>
    </row>
    <row r="300" spans="1:14" ht="15.75" customHeight="1" x14ac:dyDescent="0.2">
      <c r="A300" s="560" t="s">
        <v>607</v>
      </c>
      <c r="B300" s="514"/>
      <c r="C300" s="1662"/>
      <c r="D300" s="1662"/>
      <c r="E300" s="1662"/>
      <c r="F300" s="1662"/>
      <c r="G300" s="1662"/>
      <c r="H300" s="1662"/>
      <c r="I300" s="1659"/>
      <c r="J300" s="1659"/>
      <c r="K300" s="1662"/>
      <c r="L300" s="1662"/>
    </row>
    <row r="301" spans="1:14" x14ac:dyDescent="0.2">
      <c r="A301" s="1280" t="s">
        <v>603</v>
      </c>
      <c r="B301" s="561">
        <v>2530</v>
      </c>
      <c r="C301" s="1561">
        <v>0</v>
      </c>
      <c r="D301" s="1561">
        <v>0</v>
      </c>
      <c r="E301" s="1561">
        <v>0</v>
      </c>
      <c r="F301" s="1561">
        <v>0</v>
      </c>
      <c r="G301" s="1561">
        <v>3923539</v>
      </c>
      <c r="H301" s="1561">
        <v>0</v>
      </c>
      <c r="I301" s="1562">
        <v>0</v>
      </c>
      <c r="J301" s="1562">
        <v>0</v>
      </c>
      <c r="K301" s="1658">
        <f>SUM(C301:J301)</f>
        <v>3923539</v>
      </c>
      <c r="L301" s="1562">
        <v>3875000</v>
      </c>
    </row>
    <row r="302" spans="1:14" ht="13.5" customHeight="1" x14ac:dyDescent="0.2">
      <c r="A302" s="1280" t="s">
        <v>971</v>
      </c>
      <c r="B302" s="503" t="s">
        <v>569</v>
      </c>
      <c r="C302" s="1561">
        <v>0</v>
      </c>
      <c r="D302" s="1561">
        <v>0</v>
      </c>
      <c r="E302" s="1561">
        <v>0</v>
      </c>
      <c r="F302" s="1561">
        <v>0</v>
      </c>
      <c r="G302" s="1561">
        <v>0</v>
      </c>
      <c r="H302" s="1561">
        <v>0</v>
      </c>
      <c r="I302" s="1562">
        <v>0</v>
      </c>
      <c r="J302" s="1562">
        <v>0</v>
      </c>
      <c r="K302" s="1658">
        <f>SUM(C302:J302)</f>
        <v>0</v>
      </c>
      <c r="L302" s="1561">
        <v>0</v>
      </c>
    </row>
    <row r="303" spans="1:14" ht="12.75" customHeight="1" thickBot="1" x14ac:dyDescent="0.25">
      <c r="A303" s="1373" t="s">
        <v>804</v>
      </c>
      <c r="B303" s="1374" t="s">
        <v>564</v>
      </c>
      <c r="C303" s="1667">
        <f>SUM(C301:C302)</f>
        <v>0</v>
      </c>
      <c r="D303" s="1667">
        <f t="shared" ref="D303:L303" si="23">SUM(D301:D302)</f>
        <v>0</v>
      </c>
      <c r="E303" s="1667">
        <f t="shared" si="23"/>
        <v>0</v>
      </c>
      <c r="F303" s="1667">
        <f t="shared" si="23"/>
        <v>0</v>
      </c>
      <c r="G303" s="1667">
        <f t="shared" si="23"/>
        <v>3923539</v>
      </c>
      <c r="H303" s="1667">
        <f t="shared" si="23"/>
        <v>0</v>
      </c>
      <c r="I303" s="1667">
        <f t="shared" si="23"/>
        <v>0</v>
      </c>
      <c r="J303" s="1667">
        <f t="shared" si="23"/>
        <v>0</v>
      </c>
      <c r="K303" s="1667">
        <f t="shared" si="23"/>
        <v>3923539</v>
      </c>
      <c r="L303" s="1667">
        <f t="shared" si="23"/>
        <v>3875000</v>
      </c>
    </row>
    <row r="304" spans="1:14" ht="15.75" customHeight="1" thickTop="1" x14ac:dyDescent="0.2">
      <c r="A304" s="1343" t="s">
        <v>144</v>
      </c>
      <c r="B304" s="1344" t="s">
        <v>853</v>
      </c>
      <c r="C304" s="1659"/>
      <c r="D304" s="1659"/>
      <c r="E304" s="1659"/>
      <c r="F304" s="1659"/>
      <c r="G304" s="1659"/>
      <c r="H304" s="1659"/>
      <c r="I304" s="1659"/>
      <c r="J304" s="1659"/>
      <c r="K304" s="1659"/>
      <c r="L304" s="1659"/>
    </row>
    <row r="305" spans="1:14" ht="15.75" customHeight="1" x14ac:dyDescent="0.2">
      <c r="A305" s="530" t="s">
        <v>889</v>
      </c>
      <c r="B305" s="508"/>
      <c r="C305" s="1659"/>
      <c r="D305" s="1659"/>
      <c r="E305" s="1659"/>
      <c r="F305" s="1659"/>
      <c r="G305" s="1659"/>
      <c r="H305" s="1659"/>
      <c r="I305" s="1659"/>
      <c r="J305" s="1659"/>
      <c r="K305" s="1659"/>
      <c r="L305" s="1659"/>
    </row>
    <row r="306" spans="1:14" x14ac:dyDescent="0.2">
      <c r="A306" s="1281" t="s">
        <v>1817</v>
      </c>
      <c r="B306" s="562" t="s">
        <v>1812</v>
      </c>
      <c r="C306" s="1659"/>
      <c r="D306" s="1659"/>
      <c r="E306" s="1562">
        <v>0</v>
      </c>
      <c r="F306" s="1659"/>
      <c r="G306" s="1659"/>
      <c r="H306" s="1562">
        <v>0</v>
      </c>
      <c r="I306" s="1659"/>
      <c r="J306" s="1659"/>
      <c r="K306" s="1658">
        <f>SUM(E306,H306)</f>
        <v>0</v>
      </c>
      <c r="L306" s="1562">
        <v>0</v>
      </c>
    </row>
    <row r="307" spans="1:14" x14ac:dyDescent="0.2">
      <c r="A307" s="1267" t="s">
        <v>300</v>
      </c>
      <c r="B307" s="503">
        <v>4120</v>
      </c>
      <c r="C307" s="1659"/>
      <c r="D307" s="1659"/>
      <c r="E307" s="1562">
        <v>0</v>
      </c>
      <c r="F307" s="1659"/>
      <c r="G307" s="1659"/>
      <c r="H307" s="1562">
        <v>0</v>
      </c>
      <c r="I307" s="1569"/>
      <c r="J307" s="1659"/>
      <c r="K307" s="1658">
        <f>SUM(E307,H307)</f>
        <v>0</v>
      </c>
      <c r="L307" s="1561">
        <v>0</v>
      </c>
    </row>
    <row r="308" spans="1:14" x14ac:dyDescent="0.2">
      <c r="A308" s="1267" t="s">
        <v>690</v>
      </c>
      <c r="B308" s="503">
        <v>4140</v>
      </c>
      <c r="C308" s="1659"/>
      <c r="D308" s="1659"/>
      <c r="E308" s="1562">
        <v>0</v>
      </c>
      <c r="F308" s="1659"/>
      <c r="G308" s="1659"/>
      <c r="H308" s="1562">
        <v>0</v>
      </c>
      <c r="I308" s="1569"/>
      <c r="J308" s="1659"/>
      <c r="K308" s="1658">
        <f>SUM(E308,H308)</f>
        <v>0</v>
      </c>
      <c r="L308" s="1561">
        <v>0</v>
      </c>
    </row>
    <row r="309" spans="1:14" ht="12.75" customHeight="1" x14ac:dyDescent="0.2">
      <c r="A309" s="1271" t="s">
        <v>691</v>
      </c>
      <c r="B309" s="512">
        <v>4190</v>
      </c>
      <c r="C309" s="1659"/>
      <c r="D309" s="1659"/>
      <c r="E309" s="1562">
        <v>0</v>
      </c>
      <c r="F309" s="1659"/>
      <c r="G309" s="1659"/>
      <c r="H309" s="1562">
        <v>0</v>
      </c>
      <c r="I309" s="1569"/>
      <c r="J309" s="1659"/>
      <c r="K309" s="1658">
        <f>SUM(E309,H309)</f>
        <v>0</v>
      </c>
      <c r="L309" s="1561">
        <v>0</v>
      </c>
    </row>
    <row r="310" spans="1:14" ht="12.75" customHeight="1" thickBot="1" x14ac:dyDescent="0.25">
      <c r="A310" s="1373" t="s">
        <v>1466</v>
      </c>
      <c r="B310" s="1376" t="s">
        <v>853</v>
      </c>
      <c r="C310" s="1659"/>
      <c r="D310" s="1659"/>
      <c r="E310" s="1660">
        <f>SUM(E306:E309)</f>
        <v>0</v>
      </c>
      <c r="F310" s="1659"/>
      <c r="G310" s="1659"/>
      <c r="H310" s="1660">
        <f>SUM(H306:H309)</f>
        <v>0</v>
      </c>
      <c r="I310" s="1569"/>
      <c r="J310" s="1659"/>
      <c r="K310" s="1660">
        <f>SUM(K306:K309)</f>
        <v>0</v>
      </c>
      <c r="L310" s="1667">
        <f>SUM(L306:L309)</f>
        <v>0</v>
      </c>
    </row>
    <row r="311" spans="1:14" ht="15.75" customHeight="1" thickTop="1" thickBot="1" x14ac:dyDescent="0.25">
      <c r="A311" s="1350" t="s">
        <v>887</v>
      </c>
      <c r="B311" s="1342" t="s">
        <v>854</v>
      </c>
      <c r="C311" s="1662"/>
      <c r="D311" s="1662"/>
      <c r="E311" s="1662"/>
      <c r="F311" s="1662"/>
      <c r="G311" s="1662"/>
      <c r="H311" s="1662"/>
      <c r="I311" s="1662"/>
      <c r="J311" s="1659"/>
      <c r="K311" s="1662"/>
      <c r="L311" s="1637">
        <v>0</v>
      </c>
    </row>
    <row r="312" spans="1:14" s="548" customFormat="1" ht="12.75" customHeight="1" thickTop="1" thickBot="1" x14ac:dyDescent="0.25">
      <c r="A312" s="2300" t="s">
        <v>274</v>
      </c>
      <c r="B312" s="2301"/>
      <c r="C312" s="1660">
        <f>SUM(C303)</f>
        <v>0</v>
      </c>
      <c r="D312" s="1660">
        <f>SUM(D303)</f>
        <v>0</v>
      </c>
      <c r="E312" s="1660">
        <f>SUM(E303,E310)</f>
        <v>0</v>
      </c>
      <c r="F312" s="1660">
        <f>SUM(F303)</f>
        <v>0</v>
      </c>
      <c r="G312" s="1660">
        <f>SUM(G303)</f>
        <v>3923539</v>
      </c>
      <c r="H312" s="1660">
        <f>SUM(H303,H310)</f>
        <v>0</v>
      </c>
      <c r="I312" s="1660">
        <f>SUM(I303)</f>
        <v>0</v>
      </c>
      <c r="J312" s="1660">
        <f>SUM(J303)</f>
        <v>0</v>
      </c>
      <c r="K312" s="1660">
        <f>SUM(K303,K310,K311)</f>
        <v>3923539</v>
      </c>
      <c r="L312" s="1660">
        <f>SUM(L303,L310,L311)</f>
        <v>3875000</v>
      </c>
      <c r="M312" s="539"/>
      <c r="N312" s="539"/>
    </row>
    <row r="313" spans="1:14" ht="13.5" thickTop="1" x14ac:dyDescent="0.2">
      <c r="A313" s="2296" t="s">
        <v>987</v>
      </c>
      <c r="B313" s="2297"/>
      <c r="C313" s="1663"/>
      <c r="D313" s="1663"/>
      <c r="E313" s="1663"/>
      <c r="F313" s="1663"/>
      <c r="G313" s="1663"/>
      <c r="H313" s="1663"/>
      <c r="I313" s="1663"/>
      <c r="J313" s="1663"/>
      <c r="K313" s="1682">
        <f>'Revenues 9-14'!H268-'Expenditures 15-22'!K312</f>
        <v>-3923539</v>
      </c>
      <c r="L313" s="1663"/>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309" t="s">
        <v>148</v>
      </c>
      <c r="B315" s="2310"/>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311" t="s">
        <v>890</v>
      </c>
      <c r="B317" s="2310"/>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2" t="s">
        <v>295</v>
      </c>
      <c r="B319" s="567" t="s">
        <v>278</v>
      </c>
      <c r="C319" s="1562">
        <v>0</v>
      </c>
      <c r="D319" s="1562">
        <v>0</v>
      </c>
      <c r="E319" s="1562">
        <v>0</v>
      </c>
      <c r="F319" s="1562">
        <v>0</v>
      </c>
      <c r="G319" s="1562">
        <v>0</v>
      </c>
      <c r="H319" s="1562">
        <v>0</v>
      </c>
      <c r="I319" s="1562">
        <v>0</v>
      </c>
      <c r="J319" s="1562">
        <v>0</v>
      </c>
      <c r="K319" s="1658">
        <f>SUM(C319:J319)</f>
        <v>0</v>
      </c>
      <c r="L319" s="1562">
        <v>0</v>
      </c>
      <c r="M319" s="539"/>
      <c r="N319" s="539"/>
    </row>
    <row r="320" spans="1:14" s="548" customFormat="1" x14ac:dyDescent="0.2">
      <c r="A320" s="1286" t="s">
        <v>1778</v>
      </c>
      <c r="B320" s="568" t="s">
        <v>279</v>
      </c>
      <c r="C320" s="1562">
        <v>0</v>
      </c>
      <c r="D320" s="1562">
        <v>0</v>
      </c>
      <c r="E320" s="1562">
        <v>0</v>
      </c>
      <c r="F320" s="1562">
        <v>0</v>
      </c>
      <c r="G320" s="1562">
        <v>0</v>
      </c>
      <c r="H320" s="1562">
        <v>0</v>
      </c>
      <c r="I320" s="1562">
        <v>0</v>
      </c>
      <c r="J320" s="1562">
        <v>0</v>
      </c>
      <c r="K320" s="1658">
        <f t="shared" ref="K320:K327" si="24">SUM(C320:J320)</f>
        <v>0</v>
      </c>
      <c r="L320" s="1562">
        <v>0</v>
      </c>
      <c r="M320" s="539"/>
      <c r="N320" s="539"/>
    </row>
    <row r="321" spans="1:14" s="548" customFormat="1" x14ac:dyDescent="0.2">
      <c r="A321" s="1282" t="s">
        <v>296</v>
      </c>
      <c r="B321" s="567" t="s">
        <v>280</v>
      </c>
      <c r="C321" s="1562">
        <v>0</v>
      </c>
      <c r="D321" s="1562">
        <v>0</v>
      </c>
      <c r="E321" s="1562">
        <v>0</v>
      </c>
      <c r="F321" s="1562">
        <v>0</v>
      </c>
      <c r="G321" s="1562">
        <v>0</v>
      </c>
      <c r="H321" s="1562">
        <v>0</v>
      </c>
      <c r="I321" s="1562">
        <v>0</v>
      </c>
      <c r="J321" s="1562">
        <v>0</v>
      </c>
      <c r="K321" s="1658">
        <f t="shared" si="24"/>
        <v>0</v>
      </c>
      <c r="L321" s="1562">
        <v>0</v>
      </c>
      <c r="M321" s="539"/>
      <c r="N321" s="539"/>
    </row>
    <row r="322" spans="1:14" s="548" customFormat="1" x14ac:dyDescent="0.2">
      <c r="A322" s="1282" t="s">
        <v>236</v>
      </c>
      <c r="B322" s="567" t="s">
        <v>281</v>
      </c>
      <c r="C322" s="1562">
        <v>0</v>
      </c>
      <c r="D322" s="1562">
        <v>0</v>
      </c>
      <c r="E322" s="1562">
        <v>0</v>
      </c>
      <c r="F322" s="1562">
        <v>0</v>
      </c>
      <c r="G322" s="1562">
        <v>0</v>
      </c>
      <c r="H322" s="1562">
        <v>0</v>
      </c>
      <c r="I322" s="1562">
        <v>0</v>
      </c>
      <c r="J322" s="1562">
        <v>0</v>
      </c>
      <c r="K322" s="1658">
        <f t="shared" si="24"/>
        <v>0</v>
      </c>
      <c r="L322" s="1562">
        <v>0</v>
      </c>
      <c r="M322" s="539"/>
      <c r="N322" s="539"/>
    </row>
    <row r="323" spans="1:14" s="548" customFormat="1" x14ac:dyDescent="0.2">
      <c r="A323" s="1282" t="s">
        <v>695</v>
      </c>
      <c r="B323" s="567" t="s">
        <v>282</v>
      </c>
      <c r="C323" s="1562">
        <v>0</v>
      </c>
      <c r="D323" s="1562">
        <v>0</v>
      </c>
      <c r="E323" s="1562">
        <v>0</v>
      </c>
      <c r="F323" s="1562">
        <v>0</v>
      </c>
      <c r="G323" s="1562">
        <v>0</v>
      </c>
      <c r="H323" s="1562">
        <v>0</v>
      </c>
      <c r="I323" s="1562">
        <v>0</v>
      </c>
      <c r="J323" s="1562">
        <v>0</v>
      </c>
      <c r="K323" s="1658">
        <f t="shared" si="24"/>
        <v>0</v>
      </c>
      <c r="L323" s="1562">
        <v>0</v>
      </c>
      <c r="M323" s="539"/>
      <c r="N323" s="539"/>
    </row>
    <row r="324" spans="1:14" s="548" customFormat="1" x14ac:dyDescent="0.2">
      <c r="A324" s="1282" t="s">
        <v>237</v>
      </c>
      <c r="B324" s="567" t="s">
        <v>283</v>
      </c>
      <c r="C324" s="1562">
        <v>0</v>
      </c>
      <c r="D324" s="1562">
        <v>0</v>
      </c>
      <c r="E324" s="1562">
        <v>0</v>
      </c>
      <c r="F324" s="1562">
        <v>0</v>
      </c>
      <c r="G324" s="1562">
        <v>0</v>
      </c>
      <c r="H324" s="1562">
        <v>0</v>
      </c>
      <c r="I324" s="1562">
        <v>0</v>
      </c>
      <c r="J324" s="1562">
        <v>0</v>
      </c>
      <c r="K324" s="1658">
        <f t="shared" si="24"/>
        <v>0</v>
      </c>
      <c r="L324" s="1562">
        <v>0</v>
      </c>
      <c r="M324" s="539"/>
      <c r="N324" s="539"/>
    </row>
    <row r="325" spans="1:14" s="548" customFormat="1" ht="22.5" x14ac:dyDescent="0.2">
      <c r="A325" s="1282" t="s">
        <v>1020</v>
      </c>
      <c r="B325" s="568" t="s">
        <v>284</v>
      </c>
      <c r="C325" s="1562">
        <v>0</v>
      </c>
      <c r="D325" s="1562">
        <v>0</v>
      </c>
      <c r="E325" s="1562">
        <v>0</v>
      </c>
      <c r="F325" s="1562">
        <v>0</v>
      </c>
      <c r="G325" s="1562">
        <v>0</v>
      </c>
      <c r="H325" s="1562">
        <v>0</v>
      </c>
      <c r="I325" s="1562">
        <v>0</v>
      </c>
      <c r="J325" s="1562">
        <v>0</v>
      </c>
      <c r="K325" s="1658">
        <f t="shared" si="24"/>
        <v>0</v>
      </c>
      <c r="L325" s="1562">
        <v>0</v>
      </c>
      <c r="M325" s="539"/>
      <c r="N325" s="539"/>
    </row>
    <row r="326" spans="1:14" s="548" customFormat="1" x14ac:dyDescent="0.2">
      <c r="A326" s="1282" t="s">
        <v>1021</v>
      </c>
      <c r="B326" s="567" t="s">
        <v>285</v>
      </c>
      <c r="C326" s="1562">
        <v>0</v>
      </c>
      <c r="D326" s="1562">
        <v>0</v>
      </c>
      <c r="E326" s="1562">
        <v>0</v>
      </c>
      <c r="F326" s="1562">
        <v>0</v>
      </c>
      <c r="G326" s="1562">
        <v>0</v>
      </c>
      <c r="H326" s="1562">
        <v>0</v>
      </c>
      <c r="I326" s="1562">
        <v>0</v>
      </c>
      <c r="J326" s="1562">
        <v>0</v>
      </c>
      <c r="K326" s="1658">
        <f t="shared" si="24"/>
        <v>0</v>
      </c>
      <c r="L326" s="1562">
        <v>0</v>
      </c>
      <c r="M326" s="539"/>
      <c r="N326" s="539"/>
    </row>
    <row r="327" spans="1:14" s="548" customFormat="1" x14ac:dyDescent="0.2">
      <c r="A327" s="1282" t="s">
        <v>963</v>
      </c>
      <c r="B327" s="567" t="s">
        <v>286</v>
      </c>
      <c r="C327" s="1562">
        <v>0</v>
      </c>
      <c r="D327" s="1562">
        <v>0</v>
      </c>
      <c r="E327" s="1562">
        <v>0</v>
      </c>
      <c r="F327" s="1562">
        <v>0</v>
      </c>
      <c r="G327" s="1562">
        <v>0</v>
      </c>
      <c r="H327" s="1562">
        <v>0</v>
      </c>
      <c r="I327" s="1562">
        <v>0</v>
      </c>
      <c r="J327" s="1562">
        <v>0</v>
      </c>
      <c r="K327" s="1658">
        <f t="shared" si="24"/>
        <v>0</v>
      </c>
      <c r="L327" s="1562">
        <v>0</v>
      </c>
      <c r="M327" s="539"/>
      <c r="N327" s="539"/>
    </row>
    <row r="328" spans="1:14" s="548" customFormat="1" x14ac:dyDescent="0.2">
      <c r="A328" s="1283" t="s">
        <v>468</v>
      </c>
      <c r="B328" s="562" t="s">
        <v>1120</v>
      </c>
      <c r="C328" s="1567">
        <v>0</v>
      </c>
      <c r="D328" s="1567">
        <v>0</v>
      </c>
      <c r="E328" s="1567">
        <v>0</v>
      </c>
      <c r="F328" s="1567">
        <v>0</v>
      </c>
      <c r="G328" s="1567">
        <v>0</v>
      </c>
      <c r="H328" s="1567">
        <v>0</v>
      </c>
      <c r="I328" s="1567">
        <v>0</v>
      </c>
      <c r="J328" s="1567">
        <v>0</v>
      </c>
      <c r="K328" s="1699">
        <f>SUM(C328:J328)</f>
        <v>0</v>
      </c>
      <c r="L328" s="1567">
        <v>0</v>
      </c>
      <c r="M328" s="539"/>
      <c r="N328" s="539"/>
    </row>
    <row r="329" spans="1:14" s="548" customFormat="1" x14ac:dyDescent="0.2">
      <c r="A329" s="1283" t="s">
        <v>1121</v>
      </c>
      <c r="B329" s="562" t="s">
        <v>1122</v>
      </c>
      <c r="C329" s="1567">
        <v>0</v>
      </c>
      <c r="D329" s="1567">
        <v>0</v>
      </c>
      <c r="E329" s="1567">
        <v>0</v>
      </c>
      <c r="F329" s="1567">
        <v>0</v>
      </c>
      <c r="G329" s="1567">
        <v>0</v>
      </c>
      <c r="H329" s="1567">
        <v>0</v>
      </c>
      <c r="I329" s="1567">
        <v>0</v>
      </c>
      <c r="J329" s="1567">
        <v>0</v>
      </c>
      <c r="K329" s="1699">
        <f>SUM(C329:J329)</f>
        <v>0</v>
      </c>
      <c r="L329" s="1567">
        <v>0</v>
      </c>
      <c r="M329" s="539"/>
      <c r="N329" s="539"/>
    </row>
    <row r="330" spans="1:14" s="548" customFormat="1" ht="12.75" customHeight="1" thickBot="1" x14ac:dyDescent="0.25">
      <c r="A330" s="1394" t="s">
        <v>710</v>
      </c>
      <c r="B330" s="1374" t="s">
        <v>564</v>
      </c>
      <c r="C330" s="1660">
        <f>SUM(C319:C329)</f>
        <v>0</v>
      </c>
      <c r="D330" s="1660">
        <f t="shared" ref="D330:J330" si="25">SUM(D319:D329)</f>
        <v>0</v>
      </c>
      <c r="E330" s="1660">
        <f t="shared" si="25"/>
        <v>0</v>
      </c>
      <c r="F330" s="1660">
        <f t="shared" si="25"/>
        <v>0</v>
      </c>
      <c r="G330" s="1660">
        <f t="shared" si="25"/>
        <v>0</v>
      </c>
      <c r="H330" s="1660">
        <f t="shared" si="25"/>
        <v>0</v>
      </c>
      <c r="I330" s="1660">
        <f t="shared" si="25"/>
        <v>0</v>
      </c>
      <c r="J330" s="1660">
        <f t="shared" si="25"/>
        <v>0</v>
      </c>
      <c r="K330" s="1660">
        <f>SUM(K319:K329)</f>
        <v>0</v>
      </c>
      <c r="L330" s="1660">
        <f>SUM(L319:L329)</f>
        <v>0</v>
      </c>
      <c r="M330" s="539"/>
      <c r="N330" s="539"/>
    </row>
    <row r="331" spans="1:14" s="548" customFormat="1" ht="12.75" customHeight="1" thickTop="1" x14ac:dyDescent="0.2">
      <c r="A331" s="1460" t="s">
        <v>1818</v>
      </c>
      <c r="B331" s="525" t="s">
        <v>853</v>
      </c>
      <c r="C331" s="1700"/>
      <c r="D331" s="1700"/>
      <c r="E331" s="1700"/>
      <c r="F331" s="1700"/>
      <c r="G331" s="1700"/>
      <c r="H331" s="1700"/>
      <c r="I331" s="1700"/>
      <c r="J331" s="1700"/>
      <c r="K331" s="1700"/>
      <c r="L331" s="1700"/>
      <c r="M331" s="539"/>
      <c r="N331" s="539"/>
    </row>
    <row r="332" spans="1:14" s="548" customFormat="1" ht="12.75" customHeight="1" x14ac:dyDescent="0.2">
      <c r="A332" s="1461" t="s">
        <v>492</v>
      </c>
      <c r="B332" s="1456" t="s">
        <v>1812</v>
      </c>
      <c r="C332" s="1700"/>
      <c r="D332" s="1700"/>
      <c r="E332" s="1700"/>
      <c r="F332" s="1700"/>
      <c r="G332" s="1700"/>
      <c r="H332" s="1562">
        <v>0</v>
      </c>
      <c r="I332" s="1700"/>
      <c r="J332" s="1700"/>
      <c r="K332" s="1658">
        <f>H332</f>
        <v>0</v>
      </c>
      <c r="L332" s="1562">
        <v>0</v>
      </c>
      <c r="M332" s="539"/>
      <c r="N332" s="539"/>
    </row>
    <row r="333" spans="1:14" s="548" customFormat="1" ht="12.75" customHeight="1" x14ac:dyDescent="0.2">
      <c r="A333" s="1461" t="s">
        <v>300</v>
      </c>
      <c r="B333" s="1456" t="s">
        <v>1814</v>
      </c>
      <c r="C333" s="1700"/>
      <c r="D333" s="1700"/>
      <c r="E333" s="1700"/>
      <c r="F333" s="1700"/>
      <c r="G333" s="1700"/>
      <c r="H333" s="1562">
        <v>0</v>
      </c>
      <c r="I333" s="1700"/>
      <c r="J333" s="1700"/>
      <c r="K333" s="1658">
        <f>H333</f>
        <v>0</v>
      </c>
      <c r="L333" s="1562">
        <v>0</v>
      </c>
      <c r="M333" s="539"/>
      <c r="N333" s="539"/>
    </row>
    <row r="334" spans="1:14" s="548" customFormat="1" ht="12.75" customHeight="1" thickBot="1" x14ac:dyDescent="0.25">
      <c r="A334" s="1461" t="s">
        <v>1819</v>
      </c>
      <c r="B334" s="1456" t="s">
        <v>853</v>
      </c>
      <c r="C334" s="1700"/>
      <c r="D334" s="1700"/>
      <c r="E334" s="1700"/>
      <c r="F334" s="1700"/>
      <c r="G334" s="1700"/>
      <c r="H334" s="1660">
        <f>SUM(H332:H333)</f>
        <v>0</v>
      </c>
      <c r="I334" s="1700"/>
      <c r="J334" s="1700"/>
      <c r="K334" s="1660">
        <f>SUM(K332:K333)</f>
        <v>0</v>
      </c>
      <c r="L334" s="1660">
        <f>SUM(L332:L333)</f>
        <v>0</v>
      </c>
      <c r="M334" s="539"/>
      <c r="N334" s="539"/>
    </row>
    <row r="335" spans="1:14" ht="15.75" customHeight="1" thickTop="1" x14ac:dyDescent="0.2">
      <c r="A335" s="1347" t="s">
        <v>891</v>
      </c>
      <c r="B335" s="1338" t="s">
        <v>488</v>
      </c>
      <c r="C335" s="1659"/>
      <c r="D335" s="1659"/>
      <c r="E335" s="1659"/>
      <c r="F335" s="1659"/>
      <c r="G335" s="1659"/>
      <c r="H335" s="1659"/>
      <c r="I335" s="1659"/>
      <c r="J335" s="1659"/>
      <c r="K335" s="1659"/>
      <c r="L335" s="1659"/>
    </row>
    <row r="336" spans="1:14" ht="15.75" customHeight="1" x14ac:dyDescent="0.2">
      <c r="A336" s="530" t="s">
        <v>610</v>
      </c>
      <c r="B336" s="508"/>
      <c r="C336" s="1659"/>
      <c r="D336" s="1659"/>
      <c r="E336" s="1659"/>
      <c r="F336" s="1659"/>
      <c r="G336" s="1659"/>
      <c r="H336" s="1662"/>
      <c r="I336" s="1659"/>
      <c r="J336" s="1659"/>
      <c r="K336" s="1662"/>
      <c r="L336" s="1662"/>
    </row>
    <row r="337" spans="1:14" x14ac:dyDescent="0.2">
      <c r="A337" s="1281" t="s">
        <v>87</v>
      </c>
      <c r="B337" s="562" t="s">
        <v>892</v>
      </c>
      <c r="C337" s="1670"/>
      <c r="D337" s="1670"/>
      <c r="E337" s="1670"/>
      <c r="F337" s="1670"/>
      <c r="G337" s="1670"/>
      <c r="H337" s="1570">
        <v>0</v>
      </c>
      <c r="I337" s="1670"/>
      <c r="J337" s="1670"/>
      <c r="K337" s="1658">
        <f>H337</f>
        <v>0</v>
      </c>
      <c r="L337" s="1570">
        <v>0</v>
      </c>
    </row>
    <row r="338" spans="1:14" ht="12.75" customHeight="1" x14ac:dyDescent="0.2">
      <c r="A338" s="1281" t="s">
        <v>1158</v>
      </c>
      <c r="B338" s="562" t="s">
        <v>612</v>
      </c>
      <c r="C338" s="1670"/>
      <c r="D338" s="1670"/>
      <c r="E338" s="1670"/>
      <c r="F338" s="1670"/>
      <c r="G338" s="1670"/>
      <c r="H338" s="1570">
        <v>0</v>
      </c>
      <c r="I338" s="1670"/>
      <c r="J338" s="1670"/>
      <c r="K338" s="1658">
        <f>H338</f>
        <v>0</v>
      </c>
      <c r="L338" s="1570">
        <v>0</v>
      </c>
    </row>
    <row r="339" spans="1:14" x14ac:dyDescent="0.2">
      <c r="A339" s="1267" t="s">
        <v>893</v>
      </c>
      <c r="B339" s="512">
        <v>5150</v>
      </c>
      <c r="C339" s="1670"/>
      <c r="D339" s="1670"/>
      <c r="E339" s="1670"/>
      <c r="F339" s="1670"/>
      <c r="G339" s="1670"/>
      <c r="H339" s="1562">
        <v>0</v>
      </c>
      <c r="I339" s="1670"/>
      <c r="J339" s="1670"/>
      <c r="K339" s="1658">
        <f>H339</f>
        <v>0</v>
      </c>
      <c r="L339" s="1562">
        <v>0</v>
      </c>
    </row>
    <row r="340" spans="1:14" ht="13.5" thickBot="1" x14ac:dyDescent="0.25">
      <c r="A340" s="1389" t="s">
        <v>894</v>
      </c>
      <c r="B340" s="1374" t="s">
        <v>488</v>
      </c>
      <c r="C340" s="1659"/>
      <c r="D340" s="1659"/>
      <c r="E340" s="1659"/>
      <c r="F340" s="1659"/>
      <c r="G340" s="1659"/>
      <c r="H340" s="1581">
        <f>SUM(H337:H339)</f>
        <v>0</v>
      </c>
      <c r="I340" s="1659"/>
      <c r="J340" s="1659"/>
      <c r="K340" s="1581">
        <f>SUM(K337:K339)</f>
        <v>0</v>
      </c>
      <c r="L340" s="1581">
        <f>SUM(L337:L339)</f>
        <v>0</v>
      </c>
    </row>
    <row r="341" spans="1:14" ht="15.75" customHeight="1" thickTop="1" thickBot="1" x14ac:dyDescent="0.25">
      <c r="A341" s="1350" t="s">
        <v>895</v>
      </c>
      <c r="B341" s="1342" t="s">
        <v>854</v>
      </c>
      <c r="C341" s="1659"/>
      <c r="D341" s="1659"/>
      <c r="E341" s="1569"/>
      <c r="F341" s="1563"/>
      <c r="G341" s="1563"/>
      <c r="H341" s="1569"/>
      <c r="I341" s="1569"/>
      <c r="J341" s="1563"/>
      <c r="K341" s="1569"/>
      <c r="L341" s="1637">
        <v>0</v>
      </c>
    </row>
    <row r="342" spans="1:14" ht="12.75" customHeight="1" thickTop="1" thickBot="1" x14ac:dyDescent="0.25">
      <c r="A342" s="1382" t="s">
        <v>501</v>
      </c>
      <c r="B342" s="1395"/>
      <c r="C342" s="1660">
        <f>SUM(C330)</f>
        <v>0</v>
      </c>
      <c r="D342" s="1660">
        <f>SUM(D330)</f>
        <v>0</v>
      </c>
      <c r="E342" s="1660">
        <f>SUM(E330)</f>
        <v>0</v>
      </c>
      <c r="F342" s="1660">
        <f>SUM(F330)</f>
        <v>0</v>
      </c>
      <c r="G342" s="1660">
        <f>SUM(G330)</f>
        <v>0</v>
      </c>
      <c r="H342" s="1660">
        <f>SUM(H330,H334,H340)</f>
        <v>0</v>
      </c>
      <c r="I342" s="1660">
        <f>SUM(I330)</f>
        <v>0</v>
      </c>
      <c r="J342" s="1660">
        <f>SUM(J330)</f>
        <v>0</v>
      </c>
      <c r="K342" s="1660">
        <f>SUM(K330,K334,K340)</f>
        <v>0</v>
      </c>
      <c r="L342" s="1667">
        <f>SUM(L330,L334,L340,L341)</f>
        <v>0</v>
      </c>
    </row>
    <row r="343" spans="1:14" ht="12.75" customHeight="1" thickTop="1" x14ac:dyDescent="0.2">
      <c r="A343" s="2298" t="s">
        <v>987</v>
      </c>
      <c r="B343" s="2299"/>
      <c r="C343" s="1659"/>
      <c r="D343" s="1659"/>
      <c r="E343" s="1659"/>
      <c r="F343" s="1659"/>
      <c r="G343" s="1659"/>
      <c r="H343" s="1659"/>
      <c r="I343" s="1659"/>
      <c r="J343" s="1659"/>
      <c r="K343" s="1675">
        <f>'Revenues 9-14'!J268-'Expenditures 15-22'!K342</f>
        <v>0</v>
      </c>
      <c r="L343" s="1659"/>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88" t="s">
        <v>958</v>
      </c>
      <c r="B345" s="2289"/>
      <c r="C345" s="1689"/>
      <c r="D345" s="1690"/>
      <c r="E345" s="1690"/>
      <c r="F345" s="1690"/>
      <c r="G345" s="1690"/>
      <c r="H345" s="1690"/>
      <c r="I345" s="1690"/>
      <c r="J345" s="1690"/>
      <c r="K345" s="1690"/>
      <c r="L345" s="1691"/>
      <c r="M345" s="541"/>
      <c r="N345" s="541"/>
    </row>
    <row r="346" spans="1:14" s="321" customFormat="1" ht="15.75" customHeight="1" x14ac:dyDescent="0.2">
      <c r="A346" s="1354" t="s">
        <v>837</v>
      </c>
      <c r="B346" s="1346" t="s">
        <v>564</v>
      </c>
      <c r="C346" s="1659"/>
      <c r="D346" s="1659"/>
      <c r="E346" s="1659"/>
      <c r="F346" s="1659"/>
      <c r="G346" s="1659"/>
      <c r="H346" s="1659"/>
      <c r="I346" s="1659"/>
      <c r="J346" s="1659"/>
      <c r="K346" s="1659"/>
      <c r="L346" s="1659"/>
      <c r="M346" s="501"/>
      <c r="N346" s="501"/>
    </row>
    <row r="347" spans="1:14" ht="15.75" customHeight="1" x14ac:dyDescent="0.2">
      <c r="A347" s="569" t="s">
        <v>607</v>
      </c>
      <c r="B347" s="570"/>
      <c r="C347" s="1662"/>
      <c r="D347" s="1662"/>
      <c r="E347" s="1662"/>
      <c r="F347" s="1662"/>
      <c r="G347" s="1662"/>
      <c r="H347" s="1662"/>
      <c r="I347" s="1659"/>
      <c r="J347" s="1659"/>
      <c r="K347" s="1662"/>
      <c r="L347" s="1662"/>
    </row>
    <row r="348" spans="1:14" x14ac:dyDescent="0.2">
      <c r="A348" s="1267" t="s">
        <v>4</v>
      </c>
      <c r="B348" s="503">
        <v>2530</v>
      </c>
      <c r="C348" s="1561">
        <v>0</v>
      </c>
      <c r="D348" s="1561">
        <v>0</v>
      </c>
      <c r="E348" s="1561">
        <v>0</v>
      </c>
      <c r="F348" s="1561">
        <v>0</v>
      </c>
      <c r="G348" s="1561">
        <v>0</v>
      </c>
      <c r="H348" s="1561">
        <v>0</v>
      </c>
      <c r="I348" s="1562">
        <v>0</v>
      </c>
      <c r="J348" s="1562">
        <v>0</v>
      </c>
      <c r="K348" s="1658">
        <f>SUM(C348:J348)</f>
        <v>0</v>
      </c>
      <c r="L348" s="1561">
        <v>0</v>
      </c>
    </row>
    <row r="349" spans="1:14" x14ac:dyDescent="0.2">
      <c r="A349" s="1267" t="s">
        <v>195</v>
      </c>
      <c r="B349" s="503">
        <v>2540</v>
      </c>
      <c r="C349" s="1561">
        <v>0</v>
      </c>
      <c r="D349" s="1561">
        <v>0</v>
      </c>
      <c r="E349" s="1561">
        <v>0</v>
      </c>
      <c r="F349" s="1561">
        <v>0</v>
      </c>
      <c r="G349" s="1561">
        <v>0</v>
      </c>
      <c r="H349" s="1561">
        <v>0</v>
      </c>
      <c r="I349" s="1562">
        <v>0</v>
      </c>
      <c r="J349" s="1562">
        <v>0</v>
      </c>
      <c r="K349" s="1658">
        <f>SUM(C349:J349)</f>
        <v>0</v>
      </c>
      <c r="L349" s="1561">
        <v>0</v>
      </c>
    </row>
    <row r="350" spans="1:14" ht="12.75" customHeight="1" thickBot="1" x14ac:dyDescent="0.25">
      <c r="A350" s="1373" t="s">
        <v>712</v>
      </c>
      <c r="B350" s="1374"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0</v>
      </c>
    </row>
    <row r="351" spans="1:14" ht="12.75" customHeight="1" thickTop="1" x14ac:dyDescent="0.2">
      <c r="A351" s="1273" t="s">
        <v>971</v>
      </c>
      <c r="B351" s="521" t="s">
        <v>569</v>
      </c>
      <c r="C351" s="1573">
        <v>0</v>
      </c>
      <c r="D351" s="1573">
        <v>0</v>
      </c>
      <c r="E351" s="1573">
        <v>0</v>
      </c>
      <c r="F351" s="1573">
        <v>0</v>
      </c>
      <c r="G351" s="1573">
        <v>0</v>
      </c>
      <c r="H351" s="1573">
        <v>0</v>
      </c>
      <c r="I351" s="1570">
        <v>0</v>
      </c>
      <c r="J351" s="1570">
        <v>0</v>
      </c>
      <c r="K351" s="1701">
        <f>SUM(C351:J351)</f>
        <v>0</v>
      </c>
      <c r="L351" s="1573">
        <v>0</v>
      </c>
    </row>
    <row r="352" spans="1:14" ht="12.75" customHeight="1" thickBot="1" x14ac:dyDescent="0.25">
      <c r="A352" s="1373" t="s">
        <v>619</v>
      </c>
      <c r="B352" s="1376" t="s">
        <v>564</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0</v>
      </c>
    </row>
    <row r="353" spans="1:14" s="321" customFormat="1" ht="15.75" customHeight="1" thickTop="1" x14ac:dyDescent="0.2">
      <c r="A353" s="1343" t="s">
        <v>620</v>
      </c>
      <c r="B353" s="1340" t="s">
        <v>853</v>
      </c>
      <c r="C353" s="1659"/>
      <c r="D353" s="1659"/>
      <c r="E353" s="1659"/>
      <c r="F353" s="1659"/>
      <c r="G353" s="1659"/>
      <c r="H353" s="1659"/>
      <c r="I353" s="1659"/>
      <c r="J353" s="1659"/>
      <c r="K353" s="1659"/>
      <c r="L353" s="1659"/>
      <c r="M353" s="501"/>
      <c r="N353" s="501"/>
    </row>
    <row r="354" spans="1:14" x14ac:dyDescent="0.2">
      <c r="A354" s="1462" t="s">
        <v>1820</v>
      </c>
      <c r="B354" s="557" t="s">
        <v>1812</v>
      </c>
      <c r="C354" s="1659"/>
      <c r="D354" s="1659"/>
      <c r="E354" s="1659"/>
      <c r="F354" s="1659"/>
      <c r="G354" s="1659"/>
      <c r="H354" s="1567">
        <v>0</v>
      </c>
      <c r="I354" s="1702"/>
      <c r="J354" s="1659"/>
      <c r="K354" s="1699">
        <f>H354</f>
        <v>0</v>
      </c>
      <c r="L354" s="1565">
        <v>0</v>
      </c>
    </row>
    <row r="355" spans="1:14" ht="12.75" customHeight="1" x14ac:dyDescent="0.2">
      <c r="A355" s="1276" t="s">
        <v>1821</v>
      </c>
      <c r="B355" s="562" t="s">
        <v>1814</v>
      </c>
      <c r="C355" s="1659"/>
      <c r="D355" s="1659"/>
      <c r="E355" s="1659"/>
      <c r="F355" s="1659"/>
      <c r="G355" s="1659"/>
      <c r="H355" s="1562">
        <v>0</v>
      </c>
      <c r="I355" s="1702"/>
      <c r="J355" s="1659"/>
      <c r="K355" s="1593">
        <f>H355</f>
        <v>0</v>
      </c>
      <c r="L355" s="1562">
        <v>0</v>
      </c>
    </row>
    <row r="356" spans="1:14" ht="12.75" customHeight="1" x14ac:dyDescent="0.2">
      <c r="A356" s="1462" t="s">
        <v>691</v>
      </c>
      <c r="B356" s="557" t="s">
        <v>553</v>
      </c>
      <c r="C356" s="1659"/>
      <c r="D356" s="1659"/>
      <c r="E356" s="1659"/>
      <c r="F356" s="1659"/>
      <c r="G356" s="1659"/>
      <c r="H356" s="1571">
        <v>0</v>
      </c>
      <c r="I356" s="1702"/>
      <c r="J356" s="1659"/>
      <c r="K356" s="1586">
        <f>H356</f>
        <v>0</v>
      </c>
      <c r="L356" s="1571">
        <v>0</v>
      </c>
    </row>
    <row r="357" spans="1:14" ht="12.75" customHeight="1" thickBot="1" x14ac:dyDescent="0.25">
      <c r="A357" s="1373" t="s">
        <v>1466</v>
      </c>
      <c r="B357" s="1374" t="s">
        <v>853</v>
      </c>
      <c r="C357" s="1659"/>
      <c r="D357" s="1659"/>
      <c r="E357" s="1659"/>
      <c r="F357" s="1659"/>
      <c r="G357" s="1659"/>
      <c r="H357" s="1581">
        <f>SUM(H354:H356)</f>
        <v>0</v>
      </c>
      <c r="I357" s="1702"/>
      <c r="J357" s="1659"/>
      <c r="K357" s="1581">
        <f>SUM(K354:K356)</f>
        <v>0</v>
      </c>
      <c r="L357" s="1581">
        <f>SUM(L354:L356)</f>
        <v>0</v>
      </c>
    </row>
    <row r="358" spans="1:14" s="321" customFormat="1" ht="15.75" customHeight="1" thickTop="1" x14ac:dyDescent="0.2">
      <c r="A358" s="1343" t="s">
        <v>940</v>
      </c>
      <c r="B358" s="1340" t="s">
        <v>488</v>
      </c>
      <c r="C358" s="1659"/>
      <c r="D358" s="1659"/>
      <c r="E358" s="1659"/>
      <c r="F358" s="1659"/>
      <c r="G358" s="1659"/>
      <c r="H358" s="1659"/>
      <c r="I358" s="1659"/>
      <c r="J358" s="1659"/>
      <c r="K358" s="1659"/>
      <c r="L358" s="1659"/>
      <c r="M358" s="501"/>
      <c r="N358" s="501"/>
    </row>
    <row r="359" spans="1:14" s="321" customFormat="1" ht="15.75" customHeight="1" x14ac:dyDescent="0.2">
      <c r="A359" s="530" t="s">
        <v>622</v>
      </c>
      <c r="B359" s="508"/>
      <c r="C359" s="1659"/>
      <c r="D359" s="1659"/>
      <c r="E359" s="1659"/>
      <c r="F359" s="1659"/>
      <c r="G359" s="1659"/>
      <c r="H359" s="1659"/>
      <c r="I359" s="1659"/>
      <c r="J359" s="1659"/>
      <c r="K359" s="1662"/>
      <c r="L359" s="1662"/>
      <c r="M359" s="501"/>
      <c r="N359" s="501"/>
    </row>
    <row r="360" spans="1:14" x14ac:dyDescent="0.2">
      <c r="A360" s="1267" t="s">
        <v>87</v>
      </c>
      <c r="B360" s="503">
        <v>5110</v>
      </c>
      <c r="C360" s="1659"/>
      <c r="D360" s="1659"/>
      <c r="E360" s="1659"/>
      <c r="F360" s="1659"/>
      <c r="G360" s="1659"/>
      <c r="H360" s="1562">
        <v>0</v>
      </c>
      <c r="I360" s="1659"/>
      <c r="J360" s="1659"/>
      <c r="K360" s="1658">
        <f>SUM(C360:J360)</f>
        <v>0</v>
      </c>
      <c r="L360" s="1561">
        <v>0</v>
      </c>
    </row>
    <row r="361" spans="1:14" ht="12.75" customHeight="1" x14ac:dyDescent="0.2">
      <c r="A361" s="1268" t="s">
        <v>614</v>
      </c>
      <c r="B361" s="494" t="s">
        <v>613</v>
      </c>
      <c r="C361" s="1659"/>
      <c r="D361" s="1659"/>
      <c r="E361" s="1659"/>
      <c r="F361" s="1659"/>
      <c r="G361" s="1659"/>
      <c r="H361" s="1562">
        <v>0</v>
      </c>
      <c r="I361" s="1659"/>
      <c r="J361" s="1659"/>
      <c r="K361" s="1658">
        <f>SUM(C361:J361)</f>
        <v>0</v>
      </c>
      <c r="L361" s="1561">
        <v>0</v>
      </c>
    </row>
    <row r="362" spans="1:14" ht="12.75" customHeight="1" thickBot="1" x14ac:dyDescent="0.25">
      <c r="A362" s="1373" t="s">
        <v>621</v>
      </c>
      <c r="B362" s="1374" t="s">
        <v>711</v>
      </c>
      <c r="C362" s="1659"/>
      <c r="D362" s="1659"/>
      <c r="E362" s="1659"/>
      <c r="F362" s="1659"/>
      <c r="G362" s="1659"/>
      <c r="H362" s="1610">
        <f>SUM(H360:H361)</f>
        <v>0</v>
      </c>
      <c r="I362" s="1659"/>
      <c r="J362" s="1659"/>
      <c r="K362" s="1610">
        <f>SUM(K360:K361)</f>
        <v>0</v>
      </c>
      <c r="L362" s="1610">
        <f>SUM(L360:L361)</f>
        <v>0</v>
      </c>
    </row>
    <row r="363" spans="1:14" s="548" customFormat="1" ht="15.75" customHeight="1" thickTop="1" x14ac:dyDescent="0.2">
      <c r="A363" s="535" t="s">
        <v>83</v>
      </c>
      <c r="B363" s="536" t="s">
        <v>38</v>
      </c>
      <c r="C363" s="1670"/>
      <c r="D363" s="1670"/>
      <c r="E363" s="1670"/>
      <c r="F363" s="1670"/>
      <c r="G363" s="1670"/>
      <c r="H363" s="1571">
        <v>0</v>
      </c>
      <c r="I363" s="1670"/>
      <c r="J363" s="1670"/>
      <c r="K363" s="1699">
        <f>SUM(C363:J363)</f>
        <v>0</v>
      </c>
      <c r="L363" s="1571">
        <v>0</v>
      </c>
      <c r="M363" s="539"/>
      <c r="N363" s="539"/>
    </row>
    <row r="364" spans="1:14" s="573" customFormat="1" ht="29.25" customHeight="1" x14ac:dyDescent="0.2">
      <c r="A364" s="571" t="s">
        <v>1649</v>
      </c>
      <c r="B364" s="572">
        <v>5300</v>
      </c>
      <c r="C364" s="1703"/>
      <c r="D364" s="1704"/>
      <c r="E364" s="1704"/>
      <c r="F364" s="1703"/>
      <c r="G364" s="1704"/>
      <c r="H364" s="1705">
        <v>0</v>
      </c>
      <c r="I364" s="1704"/>
      <c r="J364" s="1704"/>
      <c r="K364" s="1658">
        <f>SUM(C364:J364)</f>
        <v>0</v>
      </c>
      <c r="L364" s="1571">
        <v>0</v>
      </c>
    </row>
    <row r="365" spans="1:14" s="548" customFormat="1" ht="12.75" customHeight="1" thickBot="1" x14ac:dyDescent="0.25">
      <c r="A365" s="1284" t="s">
        <v>585</v>
      </c>
      <c r="B365" s="534" t="s">
        <v>488</v>
      </c>
      <c r="C365" s="1670"/>
      <c r="D365" s="1670"/>
      <c r="E365" s="1670"/>
      <c r="F365" s="1670"/>
      <c r="G365" s="1670"/>
      <c r="H365" s="1610">
        <f>SUM(H362,H363,H364)</f>
        <v>0</v>
      </c>
      <c r="I365" s="1670"/>
      <c r="J365" s="1670"/>
      <c r="K365" s="1610">
        <f>SUM(K362,K363,K364)</f>
        <v>0</v>
      </c>
      <c r="L365" s="1610">
        <f>SUM(L362,L363,L364)</f>
        <v>0</v>
      </c>
      <c r="M365" s="539"/>
      <c r="N365" s="539"/>
    </row>
    <row r="366" spans="1:14" s="321" customFormat="1" ht="15.75" customHeight="1" thickTop="1" thickBot="1" x14ac:dyDescent="0.25">
      <c r="A366" s="1337" t="s">
        <v>941</v>
      </c>
      <c r="B366" s="1344" t="s">
        <v>854</v>
      </c>
      <c r="C366" s="1662"/>
      <c r="D366" s="1662"/>
      <c r="E366" s="1662"/>
      <c r="F366" s="1662"/>
      <c r="G366" s="1662"/>
      <c r="H366" s="1662"/>
      <c r="I366" s="1662"/>
      <c r="J366" s="1659"/>
      <c r="K366" s="1662"/>
      <c r="L366" s="1635">
        <v>0</v>
      </c>
      <c r="M366" s="501"/>
      <c r="N366" s="501"/>
    </row>
    <row r="367" spans="1:14" ht="12.75" customHeight="1" thickTop="1" thickBot="1" x14ac:dyDescent="0.25">
      <c r="A367" s="1387" t="s">
        <v>501</v>
      </c>
      <c r="B367" s="1396"/>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0</v>
      </c>
    </row>
    <row r="368" spans="1:14" ht="13.5" thickTop="1" x14ac:dyDescent="0.2">
      <c r="A368" s="2312" t="s">
        <v>987</v>
      </c>
      <c r="B368" s="2313"/>
      <c r="C368" s="1680"/>
      <c r="D368" s="1680"/>
      <c r="E368" s="1663"/>
      <c r="F368" s="1663"/>
      <c r="G368" s="1663"/>
      <c r="H368" s="1663"/>
      <c r="I368" s="1663"/>
      <c r="J368" s="1662"/>
      <c r="K368" s="1658">
        <f>'Revenues 9-14'!K268-'Expenditures 15-22'!K367</f>
        <v>0</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1" t="s">
        <v>104</v>
      </c>
      <c r="B1" s="307"/>
      <c r="C1" s="307"/>
      <c r="D1" s="307"/>
      <c r="E1" s="307"/>
    </row>
    <row r="2" spans="1:8" ht="39.75" customHeight="1" x14ac:dyDescent="0.2">
      <c r="A2" s="2314" t="s">
        <v>1775</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315"/>
      <c r="B3" s="1287"/>
      <c r="C3" s="1288"/>
      <c r="D3" s="1289" t="s">
        <v>254</v>
      </c>
      <c r="E3" s="1288"/>
      <c r="F3" s="1289" t="s">
        <v>255</v>
      </c>
    </row>
    <row r="4" spans="1:8" ht="13.7" customHeight="1" x14ac:dyDescent="0.2">
      <c r="A4" s="579" t="s">
        <v>1143</v>
      </c>
      <c r="B4" s="1706">
        <f>'Revenues 9-14'!C5</f>
        <v>22979324</v>
      </c>
      <c r="C4" s="1707">
        <v>10443168</v>
      </c>
      <c r="D4" s="1708">
        <f>B4-C4</f>
        <v>12536156</v>
      </c>
      <c r="E4" s="1707">
        <v>25629079</v>
      </c>
      <c r="F4" s="1708">
        <f>E4-C4</f>
        <v>15185911</v>
      </c>
    </row>
    <row r="5" spans="1:8" ht="13.7" customHeight="1" x14ac:dyDescent="0.2">
      <c r="A5" s="579" t="s">
        <v>863</v>
      </c>
      <c r="B5" s="1709">
        <f>'Revenues 9-14'!D5</f>
        <v>1699378</v>
      </c>
      <c r="C5" s="1650">
        <v>850547</v>
      </c>
      <c r="D5" s="1710">
        <f t="shared" ref="D5:D18" si="0">B5-C5</f>
        <v>848831</v>
      </c>
      <c r="E5" s="1650">
        <v>2087368</v>
      </c>
      <c r="F5" s="1710">
        <f>E5-C5</f>
        <v>1236821</v>
      </c>
    </row>
    <row r="6" spans="1:8" ht="13.7" customHeight="1" x14ac:dyDescent="0.2">
      <c r="A6" s="579" t="s">
        <v>407</v>
      </c>
      <c r="B6" s="1709">
        <f>'Revenues 9-14'!E5</f>
        <v>359078</v>
      </c>
      <c r="C6" s="1650">
        <v>162934</v>
      </c>
      <c r="D6" s="1710">
        <f t="shared" si="0"/>
        <v>196144</v>
      </c>
      <c r="E6" s="1650">
        <v>399864</v>
      </c>
      <c r="F6" s="1710">
        <f t="shared" ref="F6:F18" si="1">E6-C6</f>
        <v>236930</v>
      </c>
    </row>
    <row r="7" spans="1:8" ht="13.7" customHeight="1" x14ac:dyDescent="0.2">
      <c r="A7" s="579" t="s">
        <v>154</v>
      </c>
      <c r="B7" s="1709">
        <f>'Revenues 9-14'!F5</f>
        <v>1307666</v>
      </c>
      <c r="C7" s="1650">
        <v>583310</v>
      </c>
      <c r="D7" s="1710">
        <f t="shared" si="0"/>
        <v>724356</v>
      </c>
      <c r="E7" s="1650">
        <v>1431528</v>
      </c>
      <c r="F7" s="1710">
        <f t="shared" si="1"/>
        <v>848218</v>
      </c>
    </row>
    <row r="8" spans="1:8" ht="13.7" customHeight="1" x14ac:dyDescent="0.2">
      <c r="A8" s="579" t="s">
        <v>1167</v>
      </c>
      <c r="B8" s="1709">
        <f>'Revenues 9-14'!G5</f>
        <v>506119</v>
      </c>
      <c r="C8" s="1650">
        <v>231700</v>
      </c>
      <c r="D8" s="1710">
        <f t="shared" si="0"/>
        <v>274419</v>
      </c>
      <c r="E8" s="1650">
        <v>568625</v>
      </c>
      <c r="F8" s="1710">
        <f t="shared" si="1"/>
        <v>336925</v>
      </c>
    </row>
    <row r="9" spans="1:8" ht="13.7" customHeight="1" x14ac:dyDescent="0.2">
      <c r="A9" s="579" t="s">
        <v>404</v>
      </c>
      <c r="B9" s="1709">
        <f>'Revenues 9-14'!H5</f>
        <v>0</v>
      </c>
      <c r="C9" s="1650"/>
      <c r="D9" s="1710">
        <f t="shared" si="0"/>
        <v>0</v>
      </c>
      <c r="E9" s="1650"/>
      <c r="F9" s="1710">
        <f t="shared" si="1"/>
        <v>0</v>
      </c>
    </row>
    <row r="10" spans="1:8" ht="13.7" customHeight="1" x14ac:dyDescent="0.2">
      <c r="A10" s="579" t="s">
        <v>403</v>
      </c>
      <c r="B10" s="1709">
        <f>'Revenues 9-14'!I5</f>
        <v>0</v>
      </c>
      <c r="C10" s="1650"/>
      <c r="D10" s="1710">
        <f t="shared" si="0"/>
        <v>0</v>
      </c>
      <c r="E10" s="1650"/>
      <c r="F10" s="1710">
        <f t="shared" si="1"/>
        <v>0</v>
      </c>
    </row>
    <row r="11" spans="1:8" x14ac:dyDescent="0.2">
      <c r="A11" s="579" t="s">
        <v>405</v>
      </c>
      <c r="B11" s="1709">
        <f>'Revenues 9-14'!J5</f>
        <v>0</v>
      </c>
      <c r="C11" s="1650"/>
      <c r="D11" s="1710">
        <f t="shared" si="0"/>
        <v>0</v>
      </c>
      <c r="E11" s="1650"/>
      <c r="F11" s="1710">
        <f t="shared" si="1"/>
        <v>0</v>
      </c>
    </row>
    <row r="12" spans="1:8" ht="13.7" customHeight="1" x14ac:dyDescent="0.2">
      <c r="A12" s="579" t="s">
        <v>156</v>
      </c>
      <c r="B12" s="1709">
        <f>'Revenues 9-14'!K5</f>
        <v>0</v>
      </c>
      <c r="C12" s="1650"/>
      <c r="D12" s="1710">
        <f t="shared" si="0"/>
        <v>0</v>
      </c>
      <c r="E12" s="1650"/>
      <c r="F12" s="1710">
        <f t="shared" si="1"/>
        <v>0</v>
      </c>
    </row>
    <row r="13" spans="1:8" ht="13.7" customHeight="1" x14ac:dyDescent="0.2">
      <c r="A13" s="579" t="s">
        <v>928</v>
      </c>
      <c r="B13" s="1709">
        <f>SUM('Revenues 9-14'!C6:D6)</f>
        <v>0</v>
      </c>
      <c r="C13" s="1650"/>
      <c r="D13" s="1710">
        <f t="shared" si="0"/>
        <v>0</v>
      </c>
      <c r="E13" s="1650"/>
      <c r="F13" s="1710">
        <f t="shared" si="1"/>
        <v>0</v>
      </c>
    </row>
    <row r="14" spans="1:8" ht="13.7" customHeight="1" x14ac:dyDescent="0.2">
      <c r="A14" s="579" t="s">
        <v>406</v>
      </c>
      <c r="B14" s="1709">
        <f>SUM('Revenues 9-14'!C7:D7,'Revenues 9-14'!F7:H7)</f>
        <v>0</v>
      </c>
      <c r="C14" s="1650"/>
      <c r="D14" s="1710">
        <f t="shared" si="0"/>
        <v>0</v>
      </c>
      <c r="E14" s="1650"/>
      <c r="F14" s="1710">
        <f t="shared" si="1"/>
        <v>0</v>
      </c>
    </row>
    <row r="15" spans="1:8" ht="13.7" customHeight="1" x14ac:dyDescent="0.2">
      <c r="A15" s="579" t="s">
        <v>1146</v>
      </c>
      <c r="B15" s="1709">
        <f>SUM('Revenues 9-14'!D9:E9,'Revenues 9-14'!H9)</f>
        <v>0</v>
      </c>
      <c r="C15" s="1650"/>
      <c r="D15" s="1710">
        <f t="shared" si="0"/>
        <v>0</v>
      </c>
      <c r="E15" s="1650"/>
      <c r="F15" s="1710">
        <f t="shared" si="1"/>
        <v>0</v>
      </c>
    </row>
    <row r="16" spans="1:8" ht="13.7" customHeight="1" x14ac:dyDescent="0.2">
      <c r="A16" s="579" t="s">
        <v>1147</v>
      </c>
      <c r="B16" s="1709">
        <f>'Revenues 9-14'!G8</f>
        <v>654890</v>
      </c>
      <c r="C16" s="1650">
        <v>298190</v>
      </c>
      <c r="D16" s="1710">
        <f t="shared" si="0"/>
        <v>356700</v>
      </c>
      <c r="E16" s="1650">
        <v>731803</v>
      </c>
      <c r="F16" s="1710">
        <f t="shared" si="1"/>
        <v>433613</v>
      </c>
    </row>
    <row r="17" spans="1:6" ht="13.7" customHeight="1" x14ac:dyDescent="0.2">
      <c r="A17" s="579" t="s">
        <v>1148</v>
      </c>
      <c r="B17" s="1709">
        <f>'Revenues 9-14'!C10</f>
        <v>0</v>
      </c>
      <c r="C17" s="1650"/>
      <c r="D17" s="1710">
        <f t="shared" si="0"/>
        <v>0</v>
      </c>
      <c r="E17" s="1650"/>
      <c r="F17" s="1710">
        <f t="shared" si="1"/>
        <v>0</v>
      </c>
    </row>
    <row r="18" spans="1:6" ht="13.7" customHeight="1" x14ac:dyDescent="0.2">
      <c r="A18" s="579" t="s">
        <v>755</v>
      </c>
      <c r="B18" s="1709">
        <f>SUM('Revenues 9-14'!C11:K11)</f>
        <v>0</v>
      </c>
      <c r="C18" s="1650"/>
      <c r="D18" s="1710">
        <f t="shared" si="0"/>
        <v>0</v>
      </c>
      <c r="E18" s="1650"/>
      <c r="F18" s="1710">
        <f t="shared" si="1"/>
        <v>0</v>
      </c>
    </row>
    <row r="19" spans="1:6" ht="13.7" customHeight="1" thickBot="1" x14ac:dyDescent="0.25">
      <c r="A19" s="1425" t="s">
        <v>1149</v>
      </c>
      <c r="B19" s="1711">
        <f>SUM(B4:B18)</f>
        <v>27506455</v>
      </c>
      <c r="C19" s="1711">
        <f>SUM(C4:C18)</f>
        <v>12569849</v>
      </c>
      <c r="D19" s="1711">
        <f>SUM(D4:D18)</f>
        <v>14936606</v>
      </c>
      <c r="E19" s="1711">
        <f>SUM(E4:E18)</f>
        <v>30848267</v>
      </c>
      <c r="F19" s="1711">
        <f>SUM(F4:F18)</f>
        <v>18278418</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624</v>
      </c>
      <c r="B1" s="2321"/>
      <c r="C1" s="585"/>
    </row>
    <row r="2" spans="1:7" ht="33.75" x14ac:dyDescent="0.2">
      <c r="A2" s="2329" t="s">
        <v>1775</v>
      </c>
      <c r="B2" s="2330"/>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333" t="s">
        <v>1102</v>
      </c>
      <c r="B3" s="2334"/>
      <c r="C3" s="2322"/>
      <c r="D3" s="2323"/>
      <c r="E3" s="2323"/>
      <c r="F3" s="2324"/>
    </row>
    <row r="4" spans="1:7" ht="12.75" customHeight="1" thickBot="1" x14ac:dyDescent="0.25">
      <c r="A4" s="2331" t="s">
        <v>625</v>
      </c>
      <c r="B4" s="2332"/>
      <c r="C4" s="1642"/>
      <c r="D4" s="1642"/>
      <c r="E4" s="1642"/>
      <c r="F4" s="1717">
        <f>SUM(C4+D4)-E4</f>
        <v>0</v>
      </c>
    </row>
    <row r="5" spans="1:7" ht="15.75" customHeight="1" thickTop="1" x14ac:dyDescent="0.2">
      <c r="A5" s="2316" t="s">
        <v>1099</v>
      </c>
      <c r="B5" s="2317"/>
      <c r="C5" s="2325"/>
      <c r="D5" s="2326"/>
      <c r="E5" s="2326"/>
      <c r="F5" s="2327"/>
    </row>
    <row r="6" spans="1:7" ht="12.75" customHeight="1" thickBot="1" x14ac:dyDescent="0.25">
      <c r="A6" s="587" t="s">
        <v>64</v>
      </c>
      <c r="B6" s="588"/>
      <c r="C6" s="1718"/>
      <c r="D6" s="1650"/>
      <c r="E6" s="1718"/>
      <c r="F6" s="1717">
        <f t="shared" ref="F6:F14" si="0">SUM(C6+D6)-E6</f>
        <v>0</v>
      </c>
    </row>
    <row r="7" spans="1:7" ht="12.75" customHeight="1" thickTop="1" thickBot="1" x14ac:dyDescent="0.25">
      <c r="A7" s="587" t="s">
        <v>6</v>
      </c>
      <c r="B7" s="588"/>
      <c r="C7" s="1718"/>
      <c r="D7" s="1650"/>
      <c r="E7" s="1718"/>
      <c r="F7" s="1717">
        <f t="shared" si="0"/>
        <v>0</v>
      </c>
    </row>
    <row r="8" spans="1:7" ht="12.75" customHeight="1" thickTop="1" thickBot="1" x14ac:dyDescent="0.25">
      <c r="A8" s="587" t="s">
        <v>504</v>
      </c>
      <c r="B8" s="588"/>
      <c r="C8" s="1718"/>
      <c r="D8" s="1650"/>
      <c r="E8" s="1718"/>
      <c r="F8" s="1717">
        <f t="shared" si="0"/>
        <v>0</v>
      </c>
    </row>
    <row r="9" spans="1:7" ht="12.75" customHeight="1" thickTop="1" thickBot="1" x14ac:dyDescent="0.25">
      <c r="A9" s="587" t="s">
        <v>505</v>
      </c>
      <c r="B9" s="588"/>
      <c r="C9" s="1718"/>
      <c r="D9" s="1650"/>
      <c r="E9" s="1718"/>
      <c r="F9" s="1717">
        <f t="shared" si="0"/>
        <v>0</v>
      </c>
    </row>
    <row r="10" spans="1:7" ht="12.75" customHeight="1" thickTop="1" thickBot="1" x14ac:dyDescent="0.25">
      <c r="A10" s="587" t="s">
        <v>506</v>
      </c>
      <c r="B10" s="588"/>
      <c r="C10" s="1718"/>
      <c r="D10" s="1650"/>
      <c r="E10" s="1718"/>
      <c r="F10" s="1717">
        <f t="shared" si="0"/>
        <v>0</v>
      </c>
    </row>
    <row r="11" spans="1:7" ht="12.75" customHeight="1" thickTop="1" thickBot="1" x14ac:dyDescent="0.25">
      <c r="A11" s="587" t="s">
        <v>337</v>
      </c>
      <c r="B11" s="588"/>
      <c r="C11" s="1718"/>
      <c r="D11" s="1650"/>
      <c r="E11" s="1718"/>
      <c r="F11" s="1717">
        <f t="shared" si="0"/>
        <v>0</v>
      </c>
    </row>
    <row r="12" spans="1:7" ht="12.75" customHeight="1" thickTop="1" thickBot="1" x14ac:dyDescent="0.25">
      <c r="A12" s="587" t="s">
        <v>1145</v>
      </c>
      <c r="B12" s="588"/>
      <c r="C12" s="1718"/>
      <c r="D12" s="1650"/>
      <c r="E12" s="1718"/>
      <c r="F12" s="1717">
        <f t="shared" si="0"/>
        <v>0</v>
      </c>
    </row>
    <row r="13" spans="1:7" ht="12.75" customHeight="1" thickTop="1" thickBot="1" x14ac:dyDescent="0.25">
      <c r="A13" s="587" t="s">
        <v>384</v>
      </c>
      <c r="B13" s="588"/>
      <c r="C13" s="1718"/>
      <c r="D13" s="1650"/>
      <c r="E13" s="1718"/>
      <c r="F13" s="1717">
        <f t="shared" si="0"/>
        <v>0</v>
      </c>
    </row>
    <row r="14" spans="1:7" ht="12.75" customHeight="1" thickTop="1" thickBot="1" x14ac:dyDescent="0.25">
      <c r="A14" s="587" t="s">
        <v>444</v>
      </c>
      <c r="B14" s="588"/>
      <c r="C14" s="1718"/>
      <c r="D14" s="1650"/>
      <c r="E14" s="1718"/>
      <c r="F14" s="1717">
        <f t="shared" si="0"/>
        <v>0</v>
      </c>
    </row>
    <row r="15" spans="1:7" ht="14.25" thickTop="1" thickBot="1" x14ac:dyDescent="0.25">
      <c r="A15" s="2318" t="s">
        <v>626</v>
      </c>
      <c r="B15" s="2319"/>
      <c r="C15" s="1717">
        <f>SUM(C6:C14)</f>
        <v>0</v>
      </c>
      <c r="D15" s="1717">
        <f>SUM(D6:D14)</f>
        <v>0</v>
      </c>
      <c r="E15" s="1717">
        <f>SUM(E6:E14)</f>
        <v>0</v>
      </c>
      <c r="F15" s="1717">
        <f>SUM(F6:F14)</f>
        <v>0</v>
      </c>
      <c r="G15" s="473"/>
    </row>
    <row r="16" spans="1:7" s="197" customFormat="1" ht="15.75" customHeight="1" thickTop="1" x14ac:dyDescent="0.2">
      <c r="A16" s="2328" t="s">
        <v>1100</v>
      </c>
      <c r="B16" s="2317"/>
      <c r="C16" s="2325"/>
      <c r="D16" s="2326"/>
      <c r="E16" s="2326"/>
      <c r="F16" s="2327"/>
    </row>
    <row r="17" spans="1:11" ht="12.75" customHeight="1" thickBot="1" x14ac:dyDescent="0.25">
      <c r="A17" s="2341" t="s">
        <v>64</v>
      </c>
      <c r="B17" s="2342"/>
      <c r="C17" s="1718"/>
      <c r="D17" s="1650"/>
      <c r="E17" s="1718"/>
      <c r="F17" s="1717">
        <f>SUM(C17+D17)-E17</f>
        <v>0</v>
      </c>
    </row>
    <row r="18" spans="1:11" ht="12.75" customHeight="1" thickTop="1" thickBot="1" x14ac:dyDescent="0.25">
      <c r="A18" s="2341" t="s">
        <v>6</v>
      </c>
      <c r="B18" s="2342"/>
      <c r="C18" s="1718"/>
      <c r="D18" s="1650"/>
      <c r="E18" s="1718"/>
      <c r="F18" s="1717">
        <f>SUM(C18+D18)-E18</f>
        <v>0</v>
      </c>
    </row>
    <row r="19" spans="1:11" ht="12.75" customHeight="1" thickTop="1" thickBot="1" x14ac:dyDescent="0.25">
      <c r="A19" s="2341" t="s">
        <v>384</v>
      </c>
      <c r="B19" s="2342"/>
      <c r="C19" s="1718"/>
      <c r="D19" s="1650"/>
      <c r="E19" s="1718"/>
      <c r="F19" s="1717">
        <f>SUM(C19+D19)-E19</f>
        <v>0</v>
      </c>
    </row>
    <row r="20" spans="1:11" ht="12.75" customHeight="1" thickTop="1" thickBot="1" x14ac:dyDescent="0.25">
      <c r="A20" s="2341" t="s">
        <v>444</v>
      </c>
      <c r="B20" s="2342"/>
      <c r="C20" s="1718"/>
      <c r="D20" s="1650"/>
      <c r="E20" s="1718"/>
      <c r="F20" s="1717">
        <f>SUM(C20+D20)-E20</f>
        <v>0</v>
      </c>
    </row>
    <row r="21" spans="1:11" ht="14.25" thickTop="1" thickBot="1" x14ac:dyDescent="0.25">
      <c r="A21" s="2318" t="s">
        <v>627</v>
      </c>
      <c r="B21" s="2319"/>
      <c r="C21" s="1717">
        <f>SUM(C17:C20)</f>
        <v>0</v>
      </c>
      <c r="D21" s="1717">
        <f>SUM(D17:D20)</f>
        <v>0</v>
      </c>
      <c r="E21" s="1717">
        <f>SUM(E17:E20)</f>
        <v>0</v>
      </c>
      <c r="F21" s="1717">
        <f>SUM(F17:F20)</f>
        <v>0</v>
      </c>
      <c r="G21" s="473"/>
    </row>
    <row r="22" spans="1:11" ht="15.75" customHeight="1" thickTop="1" x14ac:dyDescent="0.2">
      <c r="A22" s="2343" t="s">
        <v>1101</v>
      </c>
      <c r="B22" s="2317"/>
      <c r="C22" s="2325"/>
      <c r="D22" s="2326"/>
      <c r="E22" s="2326"/>
      <c r="F22" s="2327"/>
    </row>
    <row r="23" spans="1:11" ht="13.5" thickBot="1" x14ac:dyDescent="0.25">
      <c r="A23" s="2331" t="s">
        <v>628</v>
      </c>
      <c r="B23" s="2332"/>
      <c r="C23" s="1642"/>
      <c r="D23" s="1642"/>
      <c r="E23" s="1642"/>
      <c r="F23" s="1717">
        <f>SUM(C23+D23)-E23</f>
        <v>0</v>
      </c>
      <c r="G23" s="473"/>
    </row>
    <row r="24" spans="1:11" ht="15.75" customHeight="1" thickTop="1" x14ac:dyDescent="0.2">
      <c r="A24" s="2343" t="s">
        <v>2002</v>
      </c>
      <c r="B24" s="2317"/>
      <c r="C24" s="2325"/>
      <c r="D24" s="2326"/>
      <c r="E24" s="2326"/>
      <c r="F24" s="2327"/>
    </row>
    <row r="25" spans="1:11" ht="13.5" thickBot="1" x14ac:dyDescent="0.25">
      <c r="A25" s="2331" t="s">
        <v>2003</v>
      </c>
      <c r="B25" s="2332"/>
      <c r="C25" s="1642"/>
      <c r="D25" s="1642"/>
      <c r="E25" s="1642"/>
      <c r="F25" s="1717">
        <f>SUM(C25+D25)-E25</f>
        <v>0</v>
      </c>
      <c r="G25" s="473"/>
    </row>
    <row r="26" spans="1:11" ht="15.75" customHeight="1" thickTop="1" x14ac:dyDescent="0.2">
      <c r="A26" s="2316" t="s">
        <v>651</v>
      </c>
      <c r="B26" s="2317"/>
      <c r="C26" s="589"/>
      <c r="D26" s="589"/>
      <c r="E26" s="589"/>
      <c r="F26" s="590"/>
    </row>
    <row r="27" spans="1:11" ht="13.5" thickBot="1" x14ac:dyDescent="0.25">
      <c r="A27" s="2318" t="s">
        <v>1059</v>
      </c>
      <c r="B27" s="2319"/>
      <c r="C27" s="1650"/>
      <c r="D27" s="1650"/>
      <c r="E27" s="1650"/>
      <c r="F27" s="1717">
        <f>SUM(C27+D27)-E27</f>
        <v>0</v>
      </c>
      <c r="G27" s="473"/>
    </row>
    <row r="28" spans="1:11" ht="7.5" customHeight="1" thickTop="1" x14ac:dyDescent="0.2">
      <c r="A28" s="489"/>
    </row>
    <row r="29" spans="1:11" ht="23.25" customHeight="1" x14ac:dyDescent="0.2">
      <c r="A29" s="2344" t="s">
        <v>577</v>
      </c>
      <c r="B29" s="2321"/>
      <c r="C29" s="591"/>
      <c r="D29" s="591"/>
      <c r="E29" s="591"/>
      <c r="F29" s="591"/>
      <c r="G29" s="591"/>
      <c r="H29" s="591"/>
      <c r="I29" s="591"/>
      <c r="J29" s="591"/>
    </row>
    <row r="30" spans="1:11" ht="33.75" x14ac:dyDescent="0.2">
      <c r="A30" s="1290" t="s">
        <v>1060</v>
      </c>
      <c r="B30" s="592" t="s">
        <v>1112</v>
      </c>
      <c r="C30" s="592" t="s">
        <v>578</v>
      </c>
      <c r="D30" s="592" t="s">
        <v>1650</v>
      </c>
      <c r="E30" s="1829" t="str">
        <f>"Outstanding        Beginning July 1, "&amp;'AFR20'!$E$2-1</f>
        <v>Outstanding        Beginning July 1, 2019</v>
      </c>
      <c r="F30" s="1829" t="str">
        <f>"Issued                                        July 1, "&amp;'AFR20'!$E$2-1&amp;" thru           June 30, "&amp;'AFR20'!$E$2</f>
        <v>Issued                                        July 1, 2019 thru           June 30, 2020</v>
      </c>
      <c r="G30" s="592" t="s">
        <v>1873</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2035" t="s">
        <v>2067</v>
      </c>
      <c r="B31" s="2036">
        <v>41512</v>
      </c>
      <c r="C31" s="2037">
        <v>1550000</v>
      </c>
      <c r="D31" s="2038">
        <v>3</v>
      </c>
      <c r="E31" s="1719">
        <v>870000</v>
      </c>
      <c r="F31" s="1719"/>
      <c r="G31" s="1719"/>
      <c r="H31" s="1719">
        <v>165000</v>
      </c>
      <c r="I31" s="1721">
        <f>((E31+F31)-H31)+G31</f>
        <v>705000</v>
      </c>
      <c r="J31" s="1719">
        <v>650169</v>
      </c>
      <c r="K31" s="596"/>
    </row>
    <row r="32" spans="1:11" ht="12" customHeight="1" x14ac:dyDescent="0.2">
      <c r="A32" s="2035" t="s">
        <v>2068</v>
      </c>
      <c r="B32" s="2036">
        <v>42131</v>
      </c>
      <c r="C32" s="2037">
        <v>1020000</v>
      </c>
      <c r="D32" s="2038">
        <v>3</v>
      </c>
      <c r="E32" s="1719">
        <v>580000</v>
      </c>
      <c r="F32" s="1719"/>
      <c r="G32" s="1719"/>
      <c r="H32" s="1719">
        <v>110000</v>
      </c>
      <c r="I32" s="1721">
        <f>((E32+F32)-H32)+G32</f>
        <v>470000</v>
      </c>
      <c r="J32" s="1719">
        <v>320786</v>
      </c>
      <c r="K32" s="596"/>
    </row>
    <row r="33" spans="1:11" ht="12" customHeight="1" x14ac:dyDescent="0.2">
      <c r="A33" s="2035" t="s">
        <v>2069</v>
      </c>
      <c r="B33" s="2036">
        <v>42360</v>
      </c>
      <c r="C33" s="2037">
        <v>4290000</v>
      </c>
      <c r="D33" s="2038">
        <v>1</v>
      </c>
      <c r="E33" s="1719">
        <v>4290000</v>
      </c>
      <c r="F33" s="1719"/>
      <c r="G33" s="1719"/>
      <c r="H33" s="1719"/>
      <c r="I33" s="1721">
        <f t="shared" ref="I33:I48" si="1">((E33+F33)-H33)+G33</f>
        <v>4290000</v>
      </c>
      <c r="J33" s="1719">
        <v>4490772</v>
      </c>
      <c r="K33" s="596"/>
    </row>
    <row r="34" spans="1:11" ht="12" customHeight="1" x14ac:dyDescent="0.2">
      <c r="A34" s="2035" t="s">
        <v>2070</v>
      </c>
      <c r="B34" s="2036">
        <v>42131</v>
      </c>
      <c r="C34" s="2037">
        <v>2065000</v>
      </c>
      <c r="D34" s="2038">
        <v>7</v>
      </c>
      <c r="E34" s="1719">
        <v>1545000</v>
      </c>
      <c r="F34" s="1719"/>
      <c r="G34" s="1719"/>
      <c r="H34" s="1719">
        <v>190000</v>
      </c>
      <c r="I34" s="1721">
        <f t="shared" si="1"/>
        <v>1355000</v>
      </c>
      <c r="J34" s="1719">
        <v>1355000</v>
      </c>
      <c r="K34" s="597"/>
    </row>
    <row r="35" spans="1:11" ht="12" customHeight="1" x14ac:dyDescent="0.2">
      <c r="A35" s="2035" t="s">
        <v>2071</v>
      </c>
      <c r="B35" s="2036">
        <v>42916</v>
      </c>
      <c r="C35" s="2039">
        <v>4820000</v>
      </c>
      <c r="D35" s="2038">
        <v>7</v>
      </c>
      <c r="E35" s="1722">
        <v>4465000</v>
      </c>
      <c r="F35" s="1722"/>
      <c r="G35" s="1722"/>
      <c r="H35" s="1722">
        <v>180000</v>
      </c>
      <c r="I35" s="1721">
        <f t="shared" si="1"/>
        <v>4285000</v>
      </c>
      <c r="J35" s="1722">
        <v>4285000</v>
      </c>
      <c r="K35" s="597"/>
    </row>
    <row r="36" spans="1:11" ht="12" customHeight="1" x14ac:dyDescent="0.2">
      <c r="A36" s="2035" t="s">
        <v>2072</v>
      </c>
      <c r="B36" s="2036">
        <v>42913</v>
      </c>
      <c r="C36" s="2037">
        <v>88200</v>
      </c>
      <c r="D36" s="2038">
        <v>8</v>
      </c>
      <c r="E36" s="1719">
        <v>44050</v>
      </c>
      <c r="F36" s="1719"/>
      <c r="G36" s="1719"/>
      <c r="H36" s="1719">
        <v>21500</v>
      </c>
      <c r="I36" s="1721">
        <f t="shared" si="1"/>
        <v>22550</v>
      </c>
      <c r="J36" s="1719">
        <v>22550</v>
      </c>
      <c r="K36" s="598"/>
    </row>
    <row r="37" spans="1:11" ht="12" customHeight="1" x14ac:dyDescent="0.2">
      <c r="A37" s="2035" t="s">
        <v>2072</v>
      </c>
      <c r="B37" s="2036">
        <v>42552</v>
      </c>
      <c r="C37" s="2034">
        <v>37400</v>
      </c>
      <c r="D37" s="2040">
        <v>8</v>
      </c>
      <c r="E37" s="1562">
        <v>9565</v>
      </c>
      <c r="F37" s="1562"/>
      <c r="G37" s="1562"/>
      <c r="H37" s="1562">
        <v>9565</v>
      </c>
      <c r="I37" s="1721">
        <f t="shared" si="1"/>
        <v>0</v>
      </c>
      <c r="J37" s="1562"/>
      <c r="K37" s="597"/>
    </row>
    <row r="38" spans="1:11" ht="12" customHeight="1" x14ac:dyDescent="0.2">
      <c r="A38" s="2035" t="s">
        <v>2072</v>
      </c>
      <c r="B38" s="2036">
        <v>43277</v>
      </c>
      <c r="C38" s="2037">
        <v>103574</v>
      </c>
      <c r="D38" s="2041">
        <v>8</v>
      </c>
      <c r="E38" s="1724">
        <v>76710</v>
      </c>
      <c r="F38" s="1724"/>
      <c r="G38" s="1724"/>
      <c r="H38" s="1724">
        <v>26563</v>
      </c>
      <c r="I38" s="1721">
        <f t="shared" si="1"/>
        <v>50147</v>
      </c>
      <c r="J38" s="1725">
        <v>50147</v>
      </c>
      <c r="K38" s="599"/>
    </row>
    <row r="39" spans="1:11" ht="12" customHeight="1" x14ac:dyDescent="0.2">
      <c r="A39" s="594" t="s">
        <v>2072</v>
      </c>
      <c r="B39" s="595">
        <v>43647</v>
      </c>
      <c r="C39" s="1719">
        <v>245482</v>
      </c>
      <c r="D39" s="1723">
        <v>8</v>
      </c>
      <c r="E39" s="1724"/>
      <c r="F39" s="1724">
        <v>245482</v>
      </c>
      <c r="G39" s="1724"/>
      <c r="H39" s="1724">
        <v>63491</v>
      </c>
      <c r="I39" s="1721">
        <f t="shared" si="1"/>
        <v>181991</v>
      </c>
      <c r="J39" s="1725">
        <v>181991</v>
      </c>
      <c r="K39" s="599"/>
    </row>
    <row r="40" spans="1:11" ht="12" customHeight="1" x14ac:dyDescent="0.2">
      <c r="A40" s="594"/>
      <c r="B40" s="595"/>
      <c r="C40" s="1719"/>
      <c r="D40" s="1723"/>
      <c r="E40" s="1724"/>
      <c r="F40" s="1724"/>
      <c r="G40" s="1724"/>
      <c r="H40" s="1724"/>
      <c r="I40" s="1721">
        <f t="shared" si="1"/>
        <v>0</v>
      </c>
      <c r="J40" s="1725"/>
      <c r="K40" s="599"/>
    </row>
    <row r="41" spans="1:11" ht="12" customHeight="1" x14ac:dyDescent="0.2">
      <c r="A41" s="594"/>
      <c r="B41" s="595"/>
      <c r="C41" s="1719"/>
      <c r="D41" s="1723"/>
      <c r="E41" s="1724"/>
      <c r="F41" s="1724"/>
      <c r="G41" s="1724"/>
      <c r="H41" s="1724"/>
      <c r="I41" s="1721">
        <f t="shared" si="1"/>
        <v>0</v>
      </c>
      <c r="J41" s="1725"/>
      <c r="K41" s="599"/>
    </row>
    <row r="42" spans="1:11" ht="12" customHeight="1" x14ac:dyDescent="0.2">
      <c r="A42" s="594"/>
      <c r="B42" s="595"/>
      <c r="C42" s="1719"/>
      <c r="D42" s="1723"/>
      <c r="E42" s="1724"/>
      <c r="F42" s="1724"/>
      <c r="G42" s="1724"/>
      <c r="H42" s="1724"/>
      <c r="I42" s="1721">
        <f t="shared" si="1"/>
        <v>0</v>
      </c>
      <c r="J42" s="1725"/>
      <c r="K42" s="599"/>
    </row>
    <row r="43" spans="1:11" ht="12" customHeight="1" x14ac:dyDescent="0.2">
      <c r="A43" s="594"/>
      <c r="B43" s="595"/>
      <c r="C43" s="1719"/>
      <c r="D43" s="1723"/>
      <c r="E43" s="1724"/>
      <c r="F43" s="1724"/>
      <c r="G43" s="1724"/>
      <c r="H43" s="1724"/>
      <c r="I43" s="1721">
        <f t="shared" si="1"/>
        <v>0</v>
      </c>
      <c r="J43" s="1725"/>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14219656</v>
      </c>
      <c r="D49" s="1726"/>
      <c r="E49" s="1721">
        <f t="shared" ref="E49:J49" si="2">SUM(E31:E48)</f>
        <v>11880325</v>
      </c>
      <c r="F49" s="1721">
        <f t="shared" si="2"/>
        <v>245482</v>
      </c>
      <c r="G49" s="1721">
        <f t="shared" si="2"/>
        <v>0</v>
      </c>
      <c r="H49" s="1721">
        <f t="shared" si="2"/>
        <v>766119</v>
      </c>
      <c r="I49" s="1721">
        <f t="shared" si="2"/>
        <v>11359688</v>
      </c>
      <c r="J49" s="1721">
        <f t="shared" si="2"/>
        <v>11356415</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335" t="s">
        <v>579</v>
      </c>
      <c r="C52" s="2336"/>
      <c r="D52" s="2336"/>
      <c r="E52" s="603" t="s">
        <v>838</v>
      </c>
      <c r="F52" s="2337" t="s">
        <v>2134</v>
      </c>
      <c r="G52" s="2338"/>
      <c r="H52" s="596"/>
      <c r="I52" s="596"/>
      <c r="J52" s="600"/>
    </row>
    <row r="53" spans="1:11" ht="11.25" customHeight="1" x14ac:dyDescent="0.2">
      <c r="A53" s="604" t="s">
        <v>905</v>
      </c>
      <c r="B53" s="605" t="s">
        <v>943</v>
      </c>
      <c r="C53" s="600"/>
      <c r="D53" s="597"/>
      <c r="E53" s="603" t="s">
        <v>493</v>
      </c>
      <c r="F53" s="2339" t="s">
        <v>2135</v>
      </c>
      <c r="G53" s="2340"/>
      <c r="H53" s="596"/>
      <c r="I53" s="596"/>
      <c r="J53" s="600"/>
    </row>
    <row r="54" spans="1:11" ht="11.25" customHeight="1" x14ac:dyDescent="0.2">
      <c r="A54" s="606" t="s">
        <v>906</v>
      </c>
      <c r="B54" s="601" t="s">
        <v>944</v>
      </c>
      <c r="C54" s="600"/>
      <c r="D54" s="597"/>
      <c r="E54" s="603" t="s">
        <v>494</v>
      </c>
      <c r="F54" s="2339"/>
      <c r="G54" s="234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1" t="s">
        <v>849</v>
      </c>
      <c r="B1" s="2372"/>
      <c r="C1" s="2372"/>
      <c r="D1" s="2372"/>
      <c r="E1" s="2372"/>
      <c r="F1" s="2372"/>
      <c r="G1" s="2373"/>
      <c r="H1" s="1291"/>
      <c r="I1" s="614"/>
      <c r="J1" s="400"/>
    </row>
    <row r="2" spans="1:11" ht="26.25" x14ac:dyDescent="0.2">
      <c r="A2" s="2348" t="s">
        <v>1654</v>
      </c>
      <c r="B2" s="2349"/>
      <c r="C2" s="2349"/>
      <c r="D2" s="2349"/>
      <c r="E2" s="2350"/>
      <c r="F2" s="615" t="s">
        <v>896</v>
      </c>
      <c r="G2" s="616" t="s">
        <v>1651</v>
      </c>
      <c r="H2" s="616" t="s">
        <v>406</v>
      </c>
      <c r="I2" s="616" t="s">
        <v>1146</v>
      </c>
      <c r="J2" s="616" t="s">
        <v>1785</v>
      </c>
      <c r="K2" s="616" t="s">
        <v>137</v>
      </c>
    </row>
    <row r="3" spans="1:11" x14ac:dyDescent="0.2">
      <c r="A3" s="2351" t="str">
        <f>"Cash Basis Fund Balance as of July 1, "&amp;'AFR20'!E2-1</f>
        <v>Cash Basis Fund Balance as of July 1, 2019</v>
      </c>
      <c r="B3" s="2352"/>
      <c r="C3" s="2352"/>
      <c r="D3" s="2352"/>
      <c r="E3" s="2353"/>
      <c r="F3" s="617"/>
      <c r="G3" s="1728"/>
      <c r="H3" s="1728"/>
      <c r="I3" s="1728"/>
      <c r="J3" s="1729"/>
      <c r="K3" s="1729"/>
    </row>
    <row r="4" spans="1:11" x14ac:dyDescent="0.2">
      <c r="A4" s="2354" t="s">
        <v>365</v>
      </c>
      <c r="B4" s="2355"/>
      <c r="C4" s="2355"/>
      <c r="D4" s="2355"/>
      <c r="E4" s="2336"/>
      <c r="F4" s="620"/>
      <c r="G4" s="1730"/>
      <c r="H4" s="1731"/>
      <c r="I4" s="1730"/>
      <c r="J4" s="1732"/>
      <c r="K4" s="1732"/>
    </row>
    <row r="5" spans="1:11" x14ac:dyDescent="0.2">
      <c r="A5" s="2374" t="s">
        <v>1058</v>
      </c>
      <c r="B5" s="2345"/>
      <c r="C5" s="2345"/>
      <c r="D5" s="2345"/>
      <c r="E5" s="2375"/>
      <c r="F5" s="622" t="s">
        <v>841</v>
      </c>
      <c r="G5" s="1733"/>
      <c r="H5" s="1728">
        <f>'Revenues 9-14'!C7</f>
        <v>0</v>
      </c>
      <c r="I5" s="1734"/>
      <c r="J5" s="1735"/>
      <c r="K5" s="1735"/>
    </row>
    <row r="6" spans="1:11" x14ac:dyDescent="0.2">
      <c r="A6" s="625" t="s">
        <v>713</v>
      </c>
      <c r="B6" s="626"/>
      <c r="C6" s="626"/>
      <c r="D6" s="626"/>
      <c r="E6" s="627"/>
      <c r="F6" s="628" t="s">
        <v>842</v>
      </c>
      <c r="G6" s="1728"/>
      <c r="H6" s="1728"/>
      <c r="I6" s="1728"/>
      <c r="J6" s="1729"/>
      <c r="K6" s="1729"/>
    </row>
    <row r="7" spans="1:11" x14ac:dyDescent="0.2">
      <c r="A7" s="629" t="s">
        <v>244</v>
      </c>
      <c r="B7" s="630"/>
      <c r="C7" s="630"/>
      <c r="D7" s="630"/>
      <c r="E7" s="631"/>
      <c r="F7" s="622" t="s">
        <v>843</v>
      </c>
      <c r="G7" s="1730"/>
      <c r="H7" s="1730"/>
      <c r="I7" s="1730"/>
      <c r="J7" s="1736"/>
      <c r="K7" s="1729">
        <f>'Revenues 9-14'!C101</f>
        <v>0</v>
      </c>
    </row>
    <row r="8" spans="1:11" x14ac:dyDescent="0.2">
      <c r="A8" s="629" t="s">
        <v>341</v>
      </c>
      <c r="B8" s="630"/>
      <c r="C8" s="630"/>
      <c r="D8" s="630"/>
      <c r="E8" s="631"/>
      <c r="F8" s="622" t="s">
        <v>844</v>
      </c>
      <c r="G8" s="1737"/>
      <c r="H8" s="1737"/>
      <c r="I8" s="1737"/>
      <c r="J8" s="1729"/>
      <c r="K8" s="1732"/>
    </row>
    <row r="9" spans="1:11" x14ac:dyDescent="0.2">
      <c r="A9" s="629" t="s">
        <v>137</v>
      </c>
      <c r="B9" s="630"/>
      <c r="C9" s="630"/>
      <c r="D9" s="630"/>
      <c r="E9" s="631"/>
      <c r="F9" s="628" t="s">
        <v>846</v>
      </c>
      <c r="G9" s="1737"/>
      <c r="H9" s="1733"/>
      <c r="I9" s="1733"/>
      <c r="J9" s="1736"/>
      <c r="K9" s="1729">
        <f>'Revenues 9-14'!C148</f>
        <v>0</v>
      </c>
    </row>
    <row r="10" spans="1:11" x14ac:dyDescent="0.2">
      <c r="A10" s="2374" t="s">
        <v>1786</v>
      </c>
      <c r="B10" s="2345"/>
      <c r="C10" s="2345"/>
      <c r="D10" s="2345"/>
      <c r="E10" s="2376"/>
      <c r="F10" s="633" t="s">
        <v>855</v>
      </c>
      <c r="G10" s="1737"/>
      <c r="H10" s="1738"/>
      <c r="I10" s="1728"/>
      <c r="J10" s="1729"/>
      <c r="K10" s="1729"/>
    </row>
    <row r="11" spans="1:11" x14ac:dyDescent="0.2">
      <c r="A11" s="2374" t="s">
        <v>159</v>
      </c>
      <c r="B11" s="2345"/>
      <c r="C11" s="2345"/>
      <c r="D11" s="2345"/>
      <c r="E11" s="2375"/>
      <c r="F11" s="622" t="s">
        <v>845</v>
      </c>
      <c r="G11" s="1733"/>
      <c r="H11" s="1728"/>
      <c r="I11" s="1728"/>
      <c r="J11" s="1729"/>
      <c r="K11" s="1735"/>
    </row>
    <row r="12" spans="1:11" ht="13.5" thickBot="1" x14ac:dyDescent="0.25">
      <c r="A12" s="2362" t="s">
        <v>897</v>
      </c>
      <c r="B12" s="2363"/>
      <c r="C12" s="2363"/>
      <c r="D12" s="2363"/>
      <c r="E12" s="2364"/>
      <c r="F12" s="1426"/>
      <c r="G12" s="1739">
        <f>SUM(G5:G11)</f>
        <v>0</v>
      </c>
      <c r="H12" s="1739">
        <f>SUM(H5:H11)</f>
        <v>0</v>
      </c>
      <c r="I12" s="1739">
        <f>SUM(I5:I11)</f>
        <v>0</v>
      </c>
      <c r="J12" s="1739">
        <f>SUM(J5:J11)</f>
        <v>0</v>
      </c>
      <c r="K12" s="1739">
        <f>SUM(K5:K11)</f>
        <v>0</v>
      </c>
    </row>
    <row r="13" spans="1:11" ht="13.5" thickTop="1" x14ac:dyDescent="0.2">
      <c r="A13" s="2356" t="s">
        <v>366</v>
      </c>
      <c r="B13" s="2357"/>
      <c r="C13" s="2357"/>
      <c r="D13" s="2357"/>
      <c r="E13" s="2358"/>
      <c r="F13" s="634"/>
      <c r="G13" s="1740"/>
      <c r="H13" s="1741"/>
      <c r="I13" s="1742"/>
      <c r="J13" s="1742"/>
      <c r="K13" s="1742"/>
    </row>
    <row r="14" spans="1:11" x14ac:dyDescent="0.2">
      <c r="A14" s="2380" t="s">
        <v>452</v>
      </c>
      <c r="B14" s="2380"/>
      <c r="C14" s="2380"/>
      <c r="D14" s="2380"/>
      <c r="E14" s="2381"/>
      <c r="F14" s="635" t="s">
        <v>847</v>
      </c>
      <c r="G14" s="1737"/>
      <c r="H14" s="1728">
        <f>H12</f>
        <v>0</v>
      </c>
      <c r="I14" s="1733"/>
      <c r="J14" s="1735"/>
      <c r="K14" s="1729"/>
    </row>
    <row r="15" spans="1:11" x14ac:dyDescent="0.2">
      <c r="A15" s="2345" t="s">
        <v>4</v>
      </c>
      <c r="B15" s="2345"/>
      <c r="C15" s="2345"/>
      <c r="D15" s="2345"/>
      <c r="E15" s="2375"/>
      <c r="F15" s="635" t="s">
        <v>848</v>
      </c>
      <c r="G15" s="1733"/>
      <c r="H15" s="1728"/>
      <c r="I15" s="1728"/>
      <c r="J15" s="1729"/>
      <c r="K15" s="1729"/>
    </row>
    <row r="16" spans="1:11" x14ac:dyDescent="0.2">
      <c r="A16" s="2345" t="s">
        <v>294</v>
      </c>
      <c r="B16" s="2345"/>
      <c r="C16" s="2345"/>
      <c r="D16" s="2345"/>
      <c r="E16" s="2375"/>
      <c r="F16" s="635" t="s">
        <v>915</v>
      </c>
      <c r="G16" s="1734"/>
      <c r="H16" s="1730"/>
      <c r="I16" s="1730"/>
      <c r="J16" s="1732"/>
      <c r="K16" s="1732"/>
    </row>
    <row r="17" spans="1:15" x14ac:dyDescent="0.2">
      <c r="A17" s="2369" t="s">
        <v>927</v>
      </c>
      <c r="B17" s="2369"/>
      <c r="C17" s="2369"/>
      <c r="D17" s="2369"/>
      <c r="E17" s="2370"/>
      <c r="F17" s="636"/>
      <c r="G17" s="1743"/>
      <c r="H17" s="1744"/>
      <c r="I17" s="1744"/>
      <c r="J17" s="1745"/>
      <c r="K17" s="1746"/>
    </row>
    <row r="18" spans="1:15" x14ac:dyDescent="0.2">
      <c r="A18" s="2359" t="s">
        <v>364</v>
      </c>
      <c r="B18" s="2360"/>
      <c r="C18" s="2360"/>
      <c r="D18" s="2360"/>
      <c r="E18" s="2361"/>
      <c r="F18" s="635" t="s">
        <v>924</v>
      </c>
      <c r="G18" s="1737"/>
      <c r="H18" s="1737"/>
      <c r="I18" s="1737"/>
      <c r="J18" s="1729"/>
      <c r="K18" s="1747"/>
    </row>
    <row r="19" spans="1:15" ht="21.75" customHeight="1" x14ac:dyDescent="0.2">
      <c r="A19" s="2382" t="s">
        <v>1782</v>
      </c>
      <c r="B19" s="2382"/>
      <c r="C19" s="2382"/>
      <c r="D19" s="2382"/>
      <c r="E19" s="2383"/>
      <c r="F19" s="635" t="s">
        <v>925</v>
      </c>
      <c r="G19" s="1737"/>
      <c r="H19" s="1737"/>
      <c r="I19" s="1737"/>
      <c r="J19" s="1729"/>
      <c r="K19" s="1747"/>
    </row>
    <row r="20" spans="1:15" x14ac:dyDescent="0.2">
      <c r="A20" s="2359" t="s">
        <v>1787</v>
      </c>
      <c r="B20" s="2360"/>
      <c r="C20" s="2360"/>
      <c r="D20" s="2360"/>
      <c r="E20" s="2361"/>
      <c r="F20" s="635" t="s">
        <v>926</v>
      </c>
      <c r="G20" s="1737"/>
      <c r="H20" s="1737"/>
      <c r="I20" s="1737"/>
      <c r="J20" s="1729"/>
      <c r="K20" s="1747"/>
    </row>
    <row r="21" spans="1:15" ht="13.5" thickBot="1" x14ac:dyDescent="0.25">
      <c r="A21" s="2365" t="s">
        <v>632</v>
      </c>
      <c r="B21" s="2365"/>
      <c r="C21" s="2365"/>
      <c r="D21" s="2365"/>
      <c r="E21" s="2365"/>
      <c r="F21" s="1427"/>
      <c r="G21" s="1744"/>
      <c r="H21" s="1748"/>
      <c r="I21" s="1748"/>
      <c r="J21" s="1749">
        <f>SUM(J18:J20)</f>
        <v>0</v>
      </c>
      <c r="K21" s="1745"/>
    </row>
    <row r="22" spans="1:15" ht="13.5" thickTop="1" x14ac:dyDescent="0.2">
      <c r="A22" s="2345" t="s">
        <v>1788</v>
      </c>
      <c r="B22" s="2345"/>
      <c r="C22" s="2345"/>
      <c r="D22" s="2345"/>
      <c r="E22" s="2375"/>
      <c r="F22" s="635" t="s">
        <v>855</v>
      </c>
      <c r="G22" s="1737"/>
      <c r="H22" s="1728"/>
      <c r="I22" s="1728"/>
      <c r="J22" s="1750"/>
      <c r="K22" s="1729"/>
    </row>
    <row r="23" spans="1:15" ht="13.5" thickBot="1" x14ac:dyDescent="0.25">
      <c r="A23" s="2366" t="s">
        <v>898</v>
      </c>
      <c r="B23" s="2365"/>
      <c r="C23" s="2365"/>
      <c r="D23" s="2365"/>
      <c r="E23" s="2365"/>
      <c r="F23" s="1429"/>
      <c r="G23" s="1739">
        <f>SUM(G14:G16,G21,G22)</f>
        <v>0</v>
      </c>
      <c r="H23" s="1739">
        <f>SUM(H14:H16,H21,H22)</f>
        <v>0</v>
      </c>
      <c r="I23" s="1739">
        <f>SUM(I14:I16,I21,I22)</f>
        <v>0</v>
      </c>
      <c r="J23" s="1739">
        <f>SUM(J14:J16,J21,J22)</f>
        <v>0</v>
      </c>
      <c r="K23" s="1739">
        <f>SUM(K14:K16,K21,K22)</f>
        <v>0</v>
      </c>
      <c r="M23" s="1830"/>
      <c r="N23" s="1830"/>
      <c r="O23" s="1830"/>
    </row>
    <row r="24" spans="1:15" ht="14.25" thickTop="1" thickBot="1" x14ac:dyDescent="0.25">
      <c r="A24" s="2367" t="str">
        <f>"Ending Cash Basis Fund Balance as of June 30, "&amp;'AFR20'!E2</f>
        <v>Ending Cash Basis Fund Balance as of June 30, 2020</v>
      </c>
      <c r="B24" s="2368"/>
      <c r="C24" s="2368"/>
      <c r="D24" s="2368"/>
      <c r="E24" s="2368"/>
      <c r="F24" s="1430"/>
      <c r="G24" s="1751">
        <f>SUM(G3,G12)-G23</f>
        <v>0</v>
      </c>
      <c r="H24" s="1751">
        <f>SUM(H3,H12)-H23</f>
        <v>0</v>
      </c>
      <c r="I24" s="1751">
        <f>SUM(I3,I12)-I23</f>
        <v>0</v>
      </c>
      <c r="J24" s="1751">
        <f>SUM(J3,J12)-J23</f>
        <v>0</v>
      </c>
      <c r="K24" s="1751">
        <f>SUM(K3,K12)-K23</f>
        <v>0</v>
      </c>
      <c r="L24" s="1830"/>
      <c r="M24" s="1830"/>
      <c r="N24" s="1830"/>
      <c r="O24" s="1830"/>
    </row>
    <row r="25" spans="1:15" ht="13.5" thickTop="1" x14ac:dyDescent="0.2">
      <c r="A25" s="639" t="s">
        <v>416</v>
      </c>
      <c r="B25" s="640"/>
      <c r="C25" s="640"/>
      <c r="D25" s="640"/>
      <c r="E25" s="641"/>
      <c r="F25" s="642">
        <v>714</v>
      </c>
      <c r="G25" s="1752"/>
      <c r="H25" s="1752"/>
      <c r="I25" s="1752"/>
      <c r="J25" s="1750"/>
      <c r="K25" s="1750"/>
    </row>
    <row r="26" spans="1:15" ht="13.5" thickBot="1" x14ac:dyDescent="0.25">
      <c r="A26" s="639" t="s">
        <v>338</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498" t="s">
        <v>1872</v>
      </c>
      <c r="B28" s="1499"/>
      <c r="C28" s="1499"/>
      <c r="D28" s="1499"/>
      <c r="E28" s="1500"/>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77"/>
      <c r="I31" s="2378"/>
      <c r="J31" s="2378"/>
      <c r="K31" s="2378"/>
    </row>
    <row r="32" spans="1:15" x14ac:dyDescent="0.2">
      <c r="A32" s="649"/>
      <c r="B32" s="232"/>
      <c r="C32" s="232"/>
      <c r="D32" s="232"/>
      <c r="E32" s="645"/>
      <c r="F32" s="651" t="s">
        <v>536</v>
      </c>
      <c r="G32" s="618"/>
      <c r="H32" s="2379"/>
      <c r="I32" s="2378"/>
      <c r="J32" s="2378"/>
      <c r="K32" s="2378"/>
    </row>
    <row r="33" spans="1:11" ht="1.5" customHeight="1" x14ac:dyDescent="0.2">
      <c r="A33" s="652" t="s">
        <v>1157</v>
      </c>
      <c r="B33" s="341"/>
      <c r="C33" s="341"/>
      <c r="D33" s="341"/>
      <c r="E33" s="341"/>
      <c r="F33" s="341"/>
      <c r="G33" s="653"/>
      <c r="H33" s="2379"/>
      <c r="I33" s="2378"/>
      <c r="J33" s="2378"/>
      <c r="K33" s="2378"/>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45" t="s">
        <v>537</v>
      </c>
      <c r="B41" s="2346"/>
      <c r="C41" s="2346"/>
      <c r="D41" s="2346"/>
      <c r="E41" s="2346"/>
      <c r="F41" s="2347"/>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2" t="s">
        <v>1783</v>
      </c>
      <c r="B46" s="382" t="s">
        <v>1652</v>
      </c>
    </row>
    <row r="47" spans="1:11" s="663" customFormat="1" ht="12.75" customHeight="1" x14ac:dyDescent="0.2">
      <c r="A47" s="661"/>
      <c r="B47" s="662" t="s">
        <v>1653</v>
      </c>
      <c r="E47" s="662"/>
      <c r="K47" s="664"/>
    </row>
    <row r="48" spans="1:11" ht="12.75" customHeight="1" x14ac:dyDescent="0.2">
      <c r="A48" s="1293"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6" t="s">
        <v>1871</v>
      </c>
      <c r="B1" s="2387"/>
      <c r="C1" s="2388"/>
      <c r="D1" s="666"/>
      <c r="E1" s="667"/>
      <c r="F1" s="667"/>
      <c r="G1" s="668"/>
      <c r="H1" s="669"/>
      <c r="I1" s="670"/>
      <c r="J1" s="2384"/>
      <c r="K1" s="2385"/>
      <c r="L1" s="2385"/>
    </row>
    <row r="2" spans="1:14" ht="69.75" customHeight="1" x14ac:dyDescent="0.2">
      <c r="A2" s="671" t="s">
        <v>1655</v>
      </c>
      <c r="B2" s="672" t="s">
        <v>374</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600</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57" t="s">
        <v>884</v>
      </c>
      <c r="B3" s="1358">
        <v>210</v>
      </c>
      <c r="C3" s="1753"/>
      <c r="D3" s="1753"/>
      <c r="E3" s="1753"/>
      <c r="F3" s="1749">
        <f>(C3+D3)-E3</f>
        <v>0</v>
      </c>
      <c r="G3" s="675"/>
      <c r="H3" s="674"/>
      <c r="I3" s="674"/>
      <c r="J3" s="674"/>
      <c r="K3" s="1435">
        <f>(H3+I3)-J3</f>
        <v>0</v>
      </c>
      <c r="L3" s="1435">
        <f>F3-K3</f>
        <v>0</v>
      </c>
      <c r="M3" s="673"/>
      <c r="N3" s="673"/>
    </row>
    <row r="4" spans="1:14" ht="15" customHeight="1" thickTop="1" x14ac:dyDescent="0.2">
      <c r="A4" s="1359" t="s">
        <v>157</v>
      </c>
      <c r="B4" s="1358">
        <v>220</v>
      </c>
      <c r="C4" s="1736"/>
      <c r="D4" s="1736"/>
      <c r="E4" s="1736"/>
      <c r="F4" s="1735"/>
      <c r="G4" s="676"/>
      <c r="H4" s="677"/>
      <c r="I4" s="677"/>
      <c r="J4" s="677"/>
      <c r="K4" s="678"/>
      <c r="L4" s="624"/>
    </row>
    <row r="5" spans="1:14" ht="13.5" thickBot="1" x14ac:dyDescent="0.25">
      <c r="A5" s="629" t="s">
        <v>885</v>
      </c>
      <c r="B5" s="679">
        <v>221</v>
      </c>
      <c r="C5" s="1754">
        <v>1853080</v>
      </c>
      <c r="D5" s="1754"/>
      <c r="E5" s="1754"/>
      <c r="F5" s="1749">
        <f>(C5+D5)-E5</f>
        <v>1853080</v>
      </c>
      <c r="G5" s="676"/>
      <c r="H5" s="680"/>
      <c r="I5" s="680"/>
      <c r="J5" s="680"/>
      <c r="K5" s="637"/>
      <c r="L5" s="1435">
        <f>F5-K5</f>
        <v>1853080</v>
      </c>
    </row>
    <row r="6" spans="1:14" ht="14.25" thickTop="1" thickBot="1" x14ac:dyDescent="0.25">
      <c r="A6" s="629" t="s">
        <v>1105</v>
      </c>
      <c r="B6" s="679">
        <v>222</v>
      </c>
      <c r="C6" s="1729"/>
      <c r="D6" s="1729"/>
      <c r="E6" s="1729"/>
      <c r="F6" s="1749">
        <f>(C6+D6)-E6</f>
        <v>0</v>
      </c>
      <c r="G6" s="676">
        <v>50</v>
      </c>
      <c r="H6" s="619"/>
      <c r="I6" s="619"/>
      <c r="J6" s="619"/>
      <c r="K6" s="1435">
        <f>(H6+I6)-J6</f>
        <v>0</v>
      </c>
      <c r="L6" s="1435">
        <f>F6-K6</f>
        <v>0</v>
      </c>
    </row>
    <row r="7" spans="1:14" ht="15" customHeight="1" thickTop="1" x14ac:dyDescent="0.2">
      <c r="A7" s="1359" t="s">
        <v>158</v>
      </c>
      <c r="B7" s="1358">
        <v>230</v>
      </c>
      <c r="C7" s="1736"/>
      <c r="D7" s="1736"/>
      <c r="E7" s="1736"/>
      <c r="F7" s="1735"/>
      <c r="G7" s="681"/>
      <c r="H7" s="632"/>
      <c r="I7" s="632"/>
      <c r="J7" s="632"/>
      <c r="K7" s="624"/>
      <c r="L7" s="624"/>
    </row>
    <row r="8" spans="1:14" ht="13.5" thickBot="1" x14ac:dyDescent="0.25">
      <c r="A8" s="629" t="s">
        <v>1106</v>
      </c>
      <c r="B8" s="679">
        <v>231</v>
      </c>
      <c r="C8" s="1755">
        <v>42423812</v>
      </c>
      <c r="D8" s="1755">
        <v>173001</v>
      </c>
      <c r="E8" s="1755">
        <v>51479</v>
      </c>
      <c r="F8" s="1749">
        <f>(C8+D8)-E8</f>
        <v>42545334</v>
      </c>
      <c r="G8" s="681">
        <v>50</v>
      </c>
      <c r="H8" s="619">
        <v>14193906</v>
      </c>
      <c r="I8" s="619">
        <v>1219445</v>
      </c>
      <c r="J8" s="619">
        <v>20806</v>
      </c>
      <c r="K8" s="1435">
        <f>(H8+I8)-J8</f>
        <v>15392545</v>
      </c>
      <c r="L8" s="1435">
        <f>F8-K8</f>
        <v>27152789</v>
      </c>
    </row>
    <row r="9" spans="1:14" ht="14.25" thickTop="1" thickBot="1" x14ac:dyDescent="0.25">
      <c r="A9" s="629" t="s">
        <v>1107</v>
      </c>
      <c r="B9" s="679">
        <v>232</v>
      </c>
      <c r="C9" s="1729"/>
      <c r="D9" s="1729"/>
      <c r="E9" s="1729"/>
      <c r="F9" s="1749">
        <f>(C9+D9)-E9</f>
        <v>0</v>
      </c>
      <c r="G9" s="681">
        <v>20</v>
      </c>
      <c r="H9" s="619"/>
      <c r="I9" s="619"/>
      <c r="J9" s="619"/>
      <c r="K9" s="1435">
        <f>(H9+I9)-J9</f>
        <v>0</v>
      </c>
      <c r="L9" s="1435">
        <f>F9-K9</f>
        <v>0</v>
      </c>
    </row>
    <row r="10" spans="1:14" ht="24" thickTop="1" thickBot="1" x14ac:dyDescent="0.25">
      <c r="A10" s="682" t="s">
        <v>1108</v>
      </c>
      <c r="B10" s="679">
        <v>240</v>
      </c>
      <c r="C10" s="1756">
        <v>3419854</v>
      </c>
      <c r="D10" s="1756">
        <v>33605</v>
      </c>
      <c r="E10" s="1756"/>
      <c r="F10" s="1757">
        <f>(C10+D10)-E10</f>
        <v>3453459</v>
      </c>
      <c r="G10" s="681">
        <v>20</v>
      </c>
      <c r="H10" s="683">
        <v>1965751</v>
      </c>
      <c r="I10" s="683">
        <v>153372</v>
      </c>
      <c r="J10" s="683"/>
      <c r="K10" s="1435">
        <f>(H10+I10)-J10</f>
        <v>2119123</v>
      </c>
      <c r="L10" s="1435">
        <f>F10-K10</f>
        <v>1334336</v>
      </c>
    </row>
    <row r="11" spans="1:14" ht="13.5" thickTop="1" x14ac:dyDescent="0.2">
      <c r="A11" s="1360" t="s">
        <v>1124</v>
      </c>
      <c r="B11" s="1358">
        <v>250</v>
      </c>
      <c r="C11" s="1736"/>
      <c r="D11" s="1736"/>
      <c r="E11" s="1736"/>
      <c r="F11" s="1735"/>
      <c r="G11" s="681"/>
      <c r="H11" s="632"/>
      <c r="I11" s="632"/>
      <c r="J11" s="632"/>
      <c r="K11" s="624"/>
      <c r="L11" s="624"/>
    </row>
    <row r="12" spans="1:14" ht="13.5" thickBot="1" x14ac:dyDescent="0.25">
      <c r="A12" s="684" t="s">
        <v>1109</v>
      </c>
      <c r="B12" s="679">
        <v>251</v>
      </c>
      <c r="C12" s="1755">
        <v>5174606</v>
      </c>
      <c r="D12" s="1755">
        <v>251093</v>
      </c>
      <c r="E12" s="1755">
        <v>217987</v>
      </c>
      <c r="F12" s="1749">
        <f>(C12+D12)-E12</f>
        <v>5207712</v>
      </c>
      <c r="G12" s="681">
        <v>10</v>
      </c>
      <c r="H12" s="619">
        <v>3812259</v>
      </c>
      <c r="I12" s="619">
        <v>306235</v>
      </c>
      <c r="J12" s="619">
        <v>217987</v>
      </c>
      <c r="K12" s="1435">
        <f>(H12+I12)-J12</f>
        <v>3900507</v>
      </c>
      <c r="L12" s="1435">
        <f>F12-K12</f>
        <v>1307205</v>
      </c>
    </row>
    <row r="13" spans="1:14" ht="14.25" thickTop="1" thickBot="1" x14ac:dyDescent="0.25">
      <c r="A13" s="684" t="s">
        <v>1110</v>
      </c>
      <c r="B13" s="679">
        <v>252</v>
      </c>
      <c r="C13" s="1755"/>
      <c r="D13" s="1755"/>
      <c r="E13" s="1755"/>
      <c r="F13" s="1749">
        <f>(C13+D13)-E13</f>
        <v>0</v>
      </c>
      <c r="G13" s="681">
        <v>5</v>
      </c>
      <c r="H13" s="619"/>
      <c r="I13" s="619"/>
      <c r="J13" s="619"/>
      <c r="K13" s="1435">
        <f>(H13+I13)-J13</f>
        <v>0</v>
      </c>
      <c r="L13" s="1435">
        <f>F13-K13</f>
        <v>0</v>
      </c>
    </row>
    <row r="14" spans="1:14" ht="14.25" thickTop="1" thickBot="1" x14ac:dyDescent="0.25">
      <c r="A14" s="684" t="s">
        <v>1111</v>
      </c>
      <c r="B14" s="679">
        <v>253</v>
      </c>
      <c r="C14" s="1729"/>
      <c r="D14" s="1729"/>
      <c r="E14" s="1729"/>
      <c r="F14" s="1749">
        <f>(C14+D14)-E14</f>
        <v>0</v>
      </c>
      <c r="G14" s="681">
        <v>3</v>
      </c>
      <c r="H14" s="619"/>
      <c r="I14" s="619"/>
      <c r="J14" s="619"/>
      <c r="K14" s="1435">
        <f>(H14+I14)-J14</f>
        <v>0</v>
      </c>
      <c r="L14" s="1435">
        <f>F14-K14</f>
        <v>0</v>
      </c>
    </row>
    <row r="15" spans="1:14" ht="15" customHeight="1" thickTop="1" thickBot="1" x14ac:dyDescent="0.25">
      <c r="A15" s="1359" t="s">
        <v>524</v>
      </c>
      <c r="B15" s="1358">
        <v>260</v>
      </c>
      <c r="C15" s="1755">
        <v>330622</v>
      </c>
      <c r="D15" s="1755">
        <v>4154368</v>
      </c>
      <c r="E15" s="1755"/>
      <c r="F15" s="1749">
        <f>(C15+D15)-E15</f>
        <v>4484990</v>
      </c>
      <c r="G15" s="685" t="s">
        <v>855</v>
      </c>
      <c r="H15" s="632"/>
      <c r="I15" s="632"/>
      <c r="J15" s="632"/>
      <c r="K15" s="632"/>
      <c r="L15" s="1435">
        <f>F15-K15</f>
        <v>4484990</v>
      </c>
    </row>
    <row r="16" spans="1:14" ht="15" customHeight="1" thickTop="1" thickBot="1" x14ac:dyDescent="0.25">
      <c r="A16" s="1431" t="s">
        <v>637</v>
      </c>
      <c r="B16" s="1432">
        <v>200</v>
      </c>
      <c r="C16" s="1749">
        <f>SUM(C3,C5:C6,C8:C10,C12:C15)</f>
        <v>53201974</v>
      </c>
      <c r="D16" s="1749">
        <f>SUM(D3,D5:D6,D8:D10,D12:D15)</f>
        <v>4612067</v>
      </c>
      <c r="E16" s="1749">
        <f>SUM(E3,E5:E6,E8:E10,E12:E15)</f>
        <v>269466</v>
      </c>
      <c r="F16" s="1749">
        <f>SUM(F3,F5:F6,F8:F10,F12:F15)</f>
        <v>57544575</v>
      </c>
      <c r="G16" s="681"/>
      <c r="H16" s="1428">
        <f>SUM(H3,H6,H8:H10,H12:H14,)</f>
        <v>19971916</v>
      </c>
      <c r="I16" s="1428">
        <f>SUM(I3,I6,I8:I10,I12:I14,)</f>
        <v>1679052</v>
      </c>
      <c r="J16" s="1428">
        <f>SUM(J3,J6,J8:J10,J12:J14,)</f>
        <v>238793</v>
      </c>
      <c r="K16" s="1428">
        <f>(H16+I16)-J16</f>
        <v>21412175</v>
      </c>
      <c r="L16" s="1428">
        <f>F16-K16</f>
        <v>36132400</v>
      </c>
    </row>
    <row r="17" spans="1:12" ht="15" customHeight="1" thickTop="1" thickBot="1" x14ac:dyDescent="0.25">
      <c r="A17" s="1361" t="s">
        <v>287</v>
      </c>
      <c r="B17" s="1358">
        <v>700</v>
      </c>
      <c r="C17" s="1732"/>
      <c r="D17" s="1732"/>
      <c r="E17" s="1732"/>
      <c r="F17" s="1749">
        <f>SUM('Expenditures 15-22'!I114,'Expenditures 15-22'!I151,'Expenditures 15-22'!I210,'Expenditures 15-22'!I312,'Expenditures 15-22'!I342,'Expenditures 15-22'!I367)</f>
        <v>189407</v>
      </c>
      <c r="G17" s="676">
        <v>10</v>
      </c>
      <c r="H17" s="621"/>
      <c r="I17" s="1435">
        <f>F17/G17</f>
        <v>18940.7</v>
      </c>
      <c r="J17" s="621"/>
      <c r="K17" s="638"/>
      <c r="L17" s="638"/>
    </row>
    <row r="18" spans="1:12" ht="14.25" thickTop="1" thickBot="1" x14ac:dyDescent="0.25">
      <c r="A18" s="1433" t="s">
        <v>678</v>
      </c>
      <c r="B18" s="1434"/>
      <c r="C18" s="623"/>
      <c r="D18" s="623"/>
      <c r="E18" s="623"/>
      <c r="F18" s="686"/>
      <c r="G18" s="687"/>
      <c r="H18" s="624"/>
      <c r="I18" s="1428">
        <f>SUM(I16,I17)</f>
        <v>1697992.7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2" t="str">
        <f>"ESTIMATED OPERATING EXPENSE PER PUPIL (OEPP)/PER CAPITA TUITION CHARGE (PCTC) COMPUTATIONS ("&amp;'AFR20'!E2-1&amp;" - "&amp;'AFR20'!E2&amp;")"</f>
        <v>ESTIMATED OPERATING EXPENSE PER PUPIL (OEPP)/PER CAPITA TUITION CHARGE (PCTC) COMPUTATIONS (2019 - 2020)</v>
      </c>
      <c r="B1" s="2393"/>
      <c r="C1" s="2393"/>
      <c r="D1" s="2393"/>
      <c r="E1" s="2393"/>
      <c r="F1" s="2394"/>
      <c r="G1" s="691"/>
      <c r="I1" s="701"/>
    </row>
    <row r="2" spans="1:9" ht="15" customHeight="1" thickBot="1" x14ac:dyDescent="0.25">
      <c r="A2" s="2395" t="s">
        <v>473</v>
      </c>
      <c r="B2" s="2396"/>
      <c r="C2" s="2396"/>
      <c r="D2" s="2396"/>
      <c r="E2" s="2396"/>
      <c r="F2" s="2397"/>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98"/>
      <c r="B5" s="2399"/>
      <c r="C5" s="2399"/>
      <c r="D5" s="2399"/>
      <c r="E5" s="2399"/>
      <c r="F5" s="2399"/>
    </row>
    <row r="6" spans="1:9" ht="13.5" customHeight="1" thickBot="1" x14ac:dyDescent="0.25">
      <c r="A6" s="2389" t="s">
        <v>1093</v>
      </c>
      <c r="B6" s="2390"/>
      <c r="C6" s="2390"/>
      <c r="D6" s="2390"/>
      <c r="E6" s="2390"/>
      <c r="F6" s="2391"/>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8">
        <f>'Expenditures 15-22'!K114</f>
        <v>26623196</v>
      </c>
      <c r="G8" s="701"/>
    </row>
    <row r="9" spans="1:9" x14ac:dyDescent="0.2">
      <c r="A9" s="705" t="s">
        <v>456</v>
      </c>
      <c r="B9" s="706" t="s">
        <v>1844</v>
      </c>
      <c r="C9" s="707"/>
      <c r="D9" s="705" t="s">
        <v>497</v>
      </c>
      <c r="E9" s="704"/>
      <c r="F9" s="1759">
        <f>'Expenditures 15-22'!K151</f>
        <v>2212611</v>
      </c>
      <c r="G9" s="708"/>
    </row>
    <row r="10" spans="1:9" x14ac:dyDescent="0.2">
      <c r="A10" s="705" t="s">
        <v>495</v>
      </c>
      <c r="B10" s="706" t="s">
        <v>1845</v>
      </c>
      <c r="C10" s="707"/>
      <c r="D10" s="705" t="s">
        <v>497</v>
      </c>
      <c r="E10" s="704"/>
      <c r="F10" s="1759">
        <f>'Expenditures 15-22'!K174</f>
        <v>1154987</v>
      </c>
      <c r="G10" s="708"/>
    </row>
    <row r="11" spans="1:9" x14ac:dyDescent="0.2">
      <c r="A11" s="705" t="s">
        <v>457</v>
      </c>
      <c r="B11" s="706" t="s">
        <v>1846</v>
      </c>
      <c r="C11" s="707"/>
      <c r="D11" s="705" t="s">
        <v>497</v>
      </c>
      <c r="E11" s="704"/>
      <c r="F11" s="1759">
        <f>'Expenditures 15-22'!K210</f>
        <v>2054463</v>
      </c>
      <c r="G11" s="708"/>
    </row>
    <row r="12" spans="1:9" x14ac:dyDescent="0.2">
      <c r="A12" s="705" t="s">
        <v>458</v>
      </c>
      <c r="B12" s="706" t="s">
        <v>1847</v>
      </c>
      <c r="C12" s="707"/>
      <c r="D12" s="705" t="s">
        <v>497</v>
      </c>
      <c r="E12" s="704"/>
      <c r="F12" s="1759">
        <f>'Expenditures 15-22'!K295</f>
        <v>1136715</v>
      </c>
      <c r="G12" s="708"/>
    </row>
    <row r="13" spans="1:9" x14ac:dyDescent="0.2">
      <c r="A13" s="705" t="s">
        <v>106</v>
      </c>
      <c r="B13" s="706" t="s">
        <v>1848</v>
      </c>
      <c r="C13" s="707"/>
      <c r="D13" s="705" t="s">
        <v>497</v>
      </c>
      <c r="E13" s="704"/>
      <c r="F13" s="1759">
        <f>'Expenditures 15-22'!K342</f>
        <v>0</v>
      </c>
      <c r="G13" s="709"/>
    </row>
    <row r="14" spans="1:9" ht="12" customHeight="1" thickBot="1" x14ac:dyDescent="0.25">
      <c r="A14" s="1436"/>
      <c r="B14" s="1437"/>
      <c r="C14" s="1438"/>
      <c r="D14" s="1439" t="s">
        <v>497</v>
      </c>
      <c r="E14" s="1440" t="s">
        <v>950</v>
      </c>
      <c r="F14" s="1760">
        <f>SUM(F8:F13)</f>
        <v>33181972</v>
      </c>
      <c r="G14" s="701"/>
    </row>
    <row r="15" spans="1:9" ht="3.75" customHeight="1" thickTop="1" x14ac:dyDescent="0.2">
      <c r="A15" s="701"/>
      <c r="B15" s="701"/>
      <c r="C15" s="707"/>
      <c r="D15" s="701"/>
      <c r="E15" s="704"/>
      <c r="F15" s="1761"/>
      <c r="G15" s="701"/>
    </row>
    <row r="16" spans="1:9" ht="12" customHeight="1" x14ac:dyDescent="0.2">
      <c r="A16" s="710" t="s">
        <v>508</v>
      </c>
      <c r="B16" s="226"/>
      <c r="C16" s="226"/>
      <c r="D16" s="703"/>
      <c r="E16" s="704"/>
      <c r="F16" s="1762"/>
      <c r="G16" s="701"/>
    </row>
    <row r="17" spans="1:7" ht="4.5" customHeight="1" x14ac:dyDescent="0.2">
      <c r="A17" s="710"/>
      <c r="B17" s="226"/>
      <c r="C17" s="226"/>
      <c r="D17" s="703"/>
      <c r="E17" s="704"/>
      <c r="F17" s="1762"/>
      <c r="G17" s="701"/>
    </row>
    <row r="18" spans="1:7" x14ac:dyDescent="0.2">
      <c r="A18" s="705" t="s">
        <v>457</v>
      </c>
      <c r="B18" s="706" t="s">
        <v>1001</v>
      </c>
      <c r="C18" s="711">
        <f>'Revenues 9-14'!B43</f>
        <v>1412</v>
      </c>
      <c r="D18" s="712" t="str">
        <f>'Revenues 9-14'!A43</f>
        <v>Regular - Transp Fees from Other Districts (In State)</v>
      </c>
      <c r="E18" s="704" t="s">
        <v>950</v>
      </c>
      <c r="F18" s="1763">
        <f>'Revenues 9-14'!F43</f>
        <v>0</v>
      </c>
      <c r="G18" s="701"/>
    </row>
    <row r="19" spans="1:7" x14ac:dyDescent="0.2">
      <c r="A19" s="705" t="s">
        <v>457</v>
      </c>
      <c r="B19" s="706" t="s">
        <v>1002</v>
      </c>
      <c r="C19" s="713">
        <f>'Revenues 9-14'!B47</f>
        <v>1421</v>
      </c>
      <c r="D19" s="714" t="str">
        <f>'Revenues 9-14'!A47</f>
        <v>Summer Sch - Transp. Fees from Pupils or Parents (In State)</v>
      </c>
      <c r="E19" s="715"/>
      <c r="F19" s="1764">
        <f>'Revenues 9-14'!F47</f>
        <v>0</v>
      </c>
      <c r="G19" s="701"/>
    </row>
    <row r="20" spans="1:7" x14ac:dyDescent="0.2">
      <c r="A20" s="705" t="s">
        <v>457</v>
      </c>
      <c r="B20" s="706" t="s">
        <v>1003</v>
      </c>
      <c r="C20" s="711">
        <f>'Revenues 9-14'!B48</f>
        <v>1422</v>
      </c>
      <c r="D20" s="712" t="str">
        <f>'Revenues 9-14'!A48</f>
        <v>Summer Sch - Transp. Fees from Other Districts (In State)</v>
      </c>
      <c r="E20" s="704"/>
      <c r="F20" s="1765">
        <f>'Revenues 9-14'!F48</f>
        <v>0</v>
      </c>
      <c r="G20" s="701"/>
    </row>
    <row r="21" spans="1:7" x14ac:dyDescent="0.2">
      <c r="A21" s="705" t="s">
        <v>457</v>
      </c>
      <c r="B21" s="706" t="s">
        <v>1004</v>
      </c>
      <c r="C21" s="713">
        <f>'Revenues 9-14'!B49</f>
        <v>1423</v>
      </c>
      <c r="D21" s="712" t="str">
        <f>'Revenues 9-14'!A49</f>
        <v>Summer Sch - Transp. Fees from Other Sources (In State)</v>
      </c>
      <c r="E21" s="704"/>
      <c r="F21" s="1766">
        <f>'Revenues 9-14'!F49</f>
        <v>0</v>
      </c>
      <c r="G21" s="701"/>
    </row>
    <row r="22" spans="1:7" x14ac:dyDescent="0.2">
      <c r="A22" s="705" t="s">
        <v>457</v>
      </c>
      <c r="B22" s="706" t="s">
        <v>1005</v>
      </c>
      <c r="C22" s="713">
        <f>'Revenues 9-14'!B50</f>
        <v>1424</v>
      </c>
      <c r="D22" s="712" t="str">
        <f>'Revenues 9-14'!A50</f>
        <v>Summer Sch - Transp. Fees from Other Sources (Out of State)</v>
      </c>
      <c r="E22" s="704"/>
      <c r="F22" s="1766">
        <f>'Revenues 9-14'!F50</f>
        <v>0</v>
      </c>
      <c r="G22" s="701"/>
    </row>
    <row r="23" spans="1:7" x14ac:dyDescent="0.2">
      <c r="A23" s="705" t="s">
        <v>457</v>
      </c>
      <c r="B23" s="706" t="s">
        <v>1006</v>
      </c>
      <c r="C23" s="711">
        <f>'Revenues 9-14'!B52</f>
        <v>1432</v>
      </c>
      <c r="D23" s="712" t="str">
        <f>'Revenues 9-14'!A52</f>
        <v>CTE - Transp Fees from Other Districts (In State)</v>
      </c>
      <c r="E23" s="704"/>
      <c r="F23" s="1766">
        <f>'Revenues 9-14'!F52</f>
        <v>0</v>
      </c>
      <c r="G23" s="701"/>
    </row>
    <row r="24" spans="1:7" x14ac:dyDescent="0.2">
      <c r="A24" s="705" t="s">
        <v>457</v>
      </c>
      <c r="B24" s="706" t="s">
        <v>1007</v>
      </c>
      <c r="C24" s="711">
        <f>'Revenues 9-14'!B56</f>
        <v>1442</v>
      </c>
      <c r="D24" s="712" t="str">
        <f>'Revenues 9-14'!A56</f>
        <v>Special Ed - Transp Fees from Other Districts (In State)</v>
      </c>
      <c r="E24" s="704"/>
      <c r="F24" s="1766">
        <f>'Revenues 9-14'!F56</f>
        <v>0</v>
      </c>
      <c r="G24" s="701"/>
    </row>
    <row r="25" spans="1:7" x14ac:dyDescent="0.2">
      <c r="A25" s="705" t="s">
        <v>457</v>
      </c>
      <c r="B25" s="706" t="s">
        <v>1008</v>
      </c>
      <c r="C25" s="711">
        <f>'Revenues 9-14'!B59</f>
        <v>1451</v>
      </c>
      <c r="D25" s="712" t="str">
        <f>'Revenues 9-14'!A59</f>
        <v>Adult - Transp Fees from Pupils or Parents (In State)</v>
      </c>
      <c r="E25" s="704"/>
      <c r="F25" s="1766">
        <f>'Revenues 9-14'!F59</f>
        <v>0</v>
      </c>
      <c r="G25" s="701"/>
    </row>
    <row r="26" spans="1:7" x14ac:dyDescent="0.2">
      <c r="A26" s="705" t="s">
        <v>457</v>
      </c>
      <c r="B26" s="706" t="s">
        <v>1009</v>
      </c>
      <c r="C26" s="711">
        <f>'Revenues 9-14'!B60</f>
        <v>1452</v>
      </c>
      <c r="D26" s="712" t="str">
        <f>'Revenues 9-14'!A60</f>
        <v>Adult - Transp Fees from Other Districts (In State)</v>
      </c>
      <c r="E26" s="704"/>
      <c r="F26" s="1766">
        <f>'Revenues 9-14'!F60</f>
        <v>0</v>
      </c>
      <c r="G26" s="701"/>
    </row>
    <row r="27" spans="1:7" x14ac:dyDescent="0.2">
      <c r="A27" s="705" t="s">
        <v>457</v>
      </c>
      <c r="B27" s="706" t="s">
        <v>1010</v>
      </c>
      <c r="C27" s="711">
        <f>'Revenues 9-14'!B61</f>
        <v>1453</v>
      </c>
      <c r="D27" s="712" t="str">
        <f>'Revenues 9-14'!A61</f>
        <v>Adult - Transp Fees from Other Sources (In State)</v>
      </c>
      <c r="E27" s="704"/>
      <c r="F27" s="1766">
        <f>'Revenues 9-14'!F61</f>
        <v>0</v>
      </c>
      <c r="G27" s="701"/>
    </row>
    <row r="28" spans="1:7" x14ac:dyDescent="0.2">
      <c r="A28" s="705" t="s">
        <v>457</v>
      </c>
      <c r="B28" s="706" t="s">
        <v>1011</v>
      </c>
      <c r="C28" s="711">
        <f>'Revenues 9-14'!B62</f>
        <v>1454</v>
      </c>
      <c r="D28" s="712" t="str">
        <f>'Revenues 9-14'!A62</f>
        <v>Adult - Transp Fees from Other Sources (Out of State)</v>
      </c>
      <c r="E28" s="704"/>
      <c r="F28" s="1766">
        <f>'Revenues 9-14'!F62</f>
        <v>0</v>
      </c>
      <c r="G28" s="701"/>
    </row>
    <row r="29" spans="1:7" x14ac:dyDescent="0.2">
      <c r="A29" s="705" t="s">
        <v>1086</v>
      </c>
      <c r="B29" s="706" t="s">
        <v>803</v>
      </c>
      <c r="C29" s="716">
        <f>'Revenues 9-14'!B149</f>
        <v>3410</v>
      </c>
      <c r="D29" s="717" t="str">
        <f>'Revenues 9-14'!A149</f>
        <v>Adult Ed (from ICCB)</v>
      </c>
      <c r="E29" s="704"/>
      <c r="F29" s="1766">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7">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6">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6">
        <f>SUM('Revenues 9-14'!D212,'Revenues 9-14'!F212)</f>
        <v>0</v>
      </c>
      <c r="G32" s="701"/>
    </row>
    <row r="33" spans="1:7" x14ac:dyDescent="0.2">
      <c r="A33" s="705" t="s">
        <v>456</v>
      </c>
      <c r="B33" s="706" t="s">
        <v>1905</v>
      </c>
      <c r="C33" s="711">
        <f>'Revenues 9-14'!B222</f>
        <v>4810</v>
      </c>
      <c r="D33" s="718" t="str">
        <f>'Revenues 9-14'!A222</f>
        <v>Federal - Adult Education</v>
      </c>
      <c r="E33" s="704"/>
      <c r="F33" s="1766">
        <f>'Revenues 9-14'!D222</f>
        <v>0</v>
      </c>
      <c r="G33" s="701"/>
    </row>
    <row r="34" spans="1:7" x14ac:dyDescent="0.2">
      <c r="A34" s="705" t="s">
        <v>455</v>
      </c>
      <c r="B34" s="705" t="s">
        <v>1448</v>
      </c>
      <c r="C34" s="721" t="str">
        <f>'Expenditures 15-22'!B7</f>
        <v>1125</v>
      </c>
      <c r="D34" s="722" t="str">
        <f>'Expenditures 15-22'!A7</f>
        <v>Pre-K Programs</v>
      </c>
      <c r="E34" s="704"/>
      <c r="F34" s="1766">
        <f>'Expenditures 15-22'!K7-SUM('Expenditures 15-22'!G7,'Expenditures 15-22'!I7)</f>
        <v>0</v>
      </c>
      <c r="G34" s="701"/>
    </row>
    <row r="35" spans="1:7" x14ac:dyDescent="0.2">
      <c r="A35" s="705" t="s">
        <v>455</v>
      </c>
      <c r="B35" s="705" t="s">
        <v>1449</v>
      </c>
      <c r="C35" s="721" t="str">
        <f>'Expenditures 15-22'!B9</f>
        <v>1225</v>
      </c>
      <c r="D35" s="722" t="str">
        <f>'Expenditures 15-22'!A9</f>
        <v>Special Education Programs Pre-K</v>
      </c>
      <c r="E35" s="704"/>
      <c r="F35" s="1766">
        <f>'Expenditures 15-22'!K9-SUM('Expenditures 15-22'!G9+'Expenditures 15-22'!I9)</f>
        <v>411492</v>
      </c>
      <c r="G35" s="701"/>
    </row>
    <row r="36" spans="1:7" x14ac:dyDescent="0.2">
      <c r="A36" s="705" t="s">
        <v>455</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6">
        <f>'Expenditures 15-22'!K15-SUM('Expenditures 15-22'!G15,'Expenditures 15-22'!I15)</f>
        <v>30087</v>
      </c>
      <c r="G38" s="701"/>
    </row>
    <row r="39" spans="1:7" x14ac:dyDescent="0.2">
      <c r="A39" s="705" t="s">
        <v>455</v>
      </c>
      <c r="B39" s="705" t="s">
        <v>117</v>
      </c>
      <c r="C39" s="721" t="str">
        <f>'Expenditures 15-22'!B20</f>
        <v>1910</v>
      </c>
      <c r="D39" s="723" t="str">
        <f>'Expenditures 15-22'!A20</f>
        <v>Pre-K Programs - Private Tuition</v>
      </c>
      <c r="E39" s="704"/>
      <c r="F39" s="1766">
        <f>'Expenditures 15-22'!K20</f>
        <v>0</v>
      </c>
      <c r="G39" s="701"/>
    </row>
    <row r="40" spans="1:7" x14ac:dyDescent="0.2">
      <c r="A40" s="705" t="s">
        <v>455</v>
      </c>
      <c r="B40" s="705" t="s">
        <v>118</v>
      </c>
      <c r="C40" s="721" t="str">
        <f>'Expenditures 15-22'!B21</f>
        <v>1911</v>
      </c>
      <c r="D40" s="723" t="str">
        <f>'Expenditures 15-22'!A21</f>
        <v>Regular K-12 Programs - Private Tuition</v>
      </c>
      <c r="E40" s="704"/>
      <c r="F40" s="1766">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6">
        <f>'Expenditures 15-22'!K22</f>
        <v>479810</v>
      </c>
      <c r="G41" s="701"/>
    </row>
    <row r="42" spans="1:7" x14ac:dyDescent="0.2">
      <c r="A42" s="705" t="s">
        <v>455</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455</v>
      </c>
      <c r="B46" s="705" t="s">
        <v>124</v>
      </c>
      <c r="C46" s="721" t="str">
        <f>'Expenditures 15-22'!B27</f>
        <v>1917</v>
      </c>
      <c r="D46" s="723" t="str">
        <f>'Expenditures 15-22'!A27</f>
        <v>CTE Programs - Private Tuition</v>
      </c>
      <c r="E46" s="704"/>
      <c r="F46" s="1766">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455</v>
      </c>
      <c r="B49" s="705" t="s">
        <v>127</v>
      </c>
      <c r="C49" s="721" t="str">
        <f>'Expenditures 15-22'!B30</f>
        <v>1920</v>
      </c>
      <c r="D49" s="723" t="str">
        <f>'Expenditures 15-22'!A30</f>
        <v>Gifted Programs - Private Tuition</v>
      </c>
      <c r="E49" s="704"/>
      <c r="F49" s="1766">
        <f>'Expenditures 15-22'!K30</f>
        <v>0</v>
      </c>
      <c r="G49" s="701"/>
    </row>
    <row r="50" spans="1:7" x14ac:dyDescent="0.2">
      <c r="A50" s="705" t="s">
        <v>455</v>
      </c>
      <c r="B50" s="705" t="s">
        <v>128</v>
      </c>
      <c r="C50" s="721" t="str">
        <f>'Expenditures 15-22'!B31</f>
        <v>1921</v>
      </c>
      <c r="D50" s="723" t="str">
        <f>'Expenditures 15-22'!A31</f>
        <v>Bilingual Programs - Private Tuition</v>
      </c>
      <c r="E50" s="704"/>
      <c r="F50" s="1766">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6">
        <f>'Expenditures 15-22'!K32</f>
        <v>0</v>
      </c>
      <c r="G51" s="701"/>
    </row>
    <row r="52" spans="1:7" x14ac:dyDescent="0.2">
      <c r="A52" s="705" t="s">
        <v>455</v>
      </c>
      <c r="B52" s="705" t="s">
        <v>1453</v>
      </c>
      <c r="C52" s="724" t="str">
        <f>'Expenditures 15-22'!B75</f>
        <v>3000</v>
      </c>
      <c r="D52" s="723" t="s">
        <v>445</v>
      </c>
      <c r="E52" s="704"/>
      <c r="F52" s="1766">
        <f>'Expenditures 15-22'!K75-SUM('Expenditures 15-22'!G75,'Expenditures 15-22'!I75)</f>
        <v>327845</v>
      </c>
      <c r="G52" s="701"/>
    </row>
    <row r="53" spans="1:7" x14ac:dyDescent="0.2">
      <c r="A53" s="705" t="s">
        <v>455</v>
      </c>
      <c r="B53" s="705" t="s">
        <v>1454</v>
      </c>
      <c r="C53" s="724">
        <f>'Expenditures 15-22'!B102</f>
        <v>4000</v>
      </c>
      <c r="D53" s="723" t="str">
        <f>'Expenditures 15-22'!A102</f>
        <v>Total Payments to Other Govt Units</v>
      </c>
      <c r="E53" s="704"/>
      <c r="F53" s="1766">
        <f>'Expenditures 15-22'!K102</f>
        <v>658650</v>
      </c>
      <c r="G53" s="701"/>
    </row>
    <row r="54" spans="1:7" x14ac:dyDescent="0.2">
      <c r="A54" s="705" t="s">
        <v>455</v>
      </c>
      <c r="B54" s="705" t="s">
        <v>1455</v>
      </c>
      <c r="C54" s="724" t="s">
        <v>973</v>
      </c>
      <c r="D54" s="720" t="s">
        <v>1084</v>
      </c>
      <c r="E54" s="704"/>
      <c r="F54" s="1766">
        <f>'Expenditures 15-22'!G114</f>
        <v>64279</v>
      </c>
      <c r="G54" s="701"/>
    </row>
    <row r="55" spans="1:7" x14ac:dyDescent="0.2">
      <c r="A55" s="705" t="s">
        <v>455</v>
      </c>
      <c r="B55" s="705" t="s">
        <v>1456</v>
      </c>
      <c r="C55" s="724" t="s">
        <v>973</v>
      </c>
      <c r="D55" s="720" t="s">
        <v>287</v>
      </c>
      <c r="E55" s="704"/>
      <c r="F55" s="1766">
        <f>'Expenditures 15-22'!I114</f>
        <v>151997</v>
      </c>
      <c r="G55" s="701"/>
    </row>
    <row r="56" spans="1:7" x14ac:dyDescent="0.2">
      <c r="A56" s="705" t="s">
        <v>456</v>
      </c>
      <c r="B56" s="705" t="s">
        <v>1457</v>
      </c>
      <c r="C56" s="721" t="str">
        <f>'Expenditures 15-22'!B130</f>
        <v>3000</v>
      </c>
      <c r="D56" s="727" t="s">
        <v>445</v>
      </c>
      <c r="E56" s="704"/>
      <c r="F56" s="1766">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6">
        <f>'Expenditures 15-22'!K139</f>
        <v>0</v>
      </c>
      <c r="G57" s="701"/>
    </row>
    <row r="58" spans="1:7" x14ac:dyDescent="0.2">
      <c r="A58" s="705" t="s">
        <v>456</v>
      </c>
      <c r="B58" s="705" t="s">
        <v>1850</v>
      </c>
      <c r="C58" s="721" t="s">
        <v>973</v>
      </c>
      <c r="D58" s="720" t="s">
        <v>1084</v>
      </c>
      <c r="E58" s="704"/>
      <c r="F58" s="1768">
        <f>'Expenditures 15-22'!G151</f>
        <v>624249</v>
      </c>
      <c r="G58" s="701"/>
    </row>
    <row r="59" spans="1:7" x14ac:dyDescent="0.2">
      <c r="A59" s="728" t="s">
        <v>456</v>
      </c>
      <c r="B59" s="692" t="s">
        <v>1851</v>
      </c>
      <c r="C59" s="729" t="s">
        <v>973</v>
      </c>
      <c r="D59" s="692" t="s">
        <v>287</v>
      </c>
      <c r="F59" s="1769">
        <f>'Expenditures 15-22'!I151</f>
        <v>36927</v>
      </c>
      <c r="G59" s="701"/>
    </row>
    <row r="60" spans="1:7" x14ac:dyDescent="0.2">
      <c r="A60" s="728" t="s">
        <v>495</v>
      </c>
      <c r="B60" s="692" t="s">
        <v>1852</v>
      </c>
      <c r="C60" s="729">
        <v>4000</v>
      </c>
      <c r="D60" s="692" t="s">
        <v>308</v>
      </c>
      <c r="F60" s="1767">
        <f>'Expenditures 15-22'!K160</f>
        <v>0</v>
      </c>
      <c r="G60" s="701"/>
    </row>
    <row r="61" spans="1:7" x14ac:dyDescent="0.2">
      <c r="A61" s="730" t="s">
        <v>495</v>
      </c>
      <c r="B61" s="730" t="s">
        <v>1853</v>
      </c>
      <c r="C61" s="731" t="str">
        <f>'Expenditures 15-22'!B170</f>
        <v>5300</v>
      </c>
      <c r="D61" s="732" t="s">
        <v>307</v>
      </c>
      <c r="E61" s="715"/>
      <c r="F61" s="1766">
        <f>'Expenditures 15-22'!K170</f>
        <v>766119</v>
      </c>
      <c r="G61" s="701"/>
    </row>
    <row r="62" spans="1:7" x14ac:dyDescent="0.2">
      <c r="A62" s="705" t="s">
        <v>457</v>
      </c>
      <c r="B62" s="705" t="s">
        <v>1854</v>
      </c>
      <c r="C62" s="721">
        <f>'Expenditures 15-22'!B185</f>
        <v>3000</v>
      </c>
      <c r="D62" s="712" t="s">
        <v>445</v>
      </c>
      <c r="E62" s="704"/>
      <c r="F62" s="1766">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6">
        <f>'Expenditures 15-22'!K196</f>
        <v>0</v>
      </c>
      <c r="G63" s="701"/>
    </row>
    <row r="64" spans="1:7" x14ac:dyDescent="0.2">
      <c r="A64" s="730" t="s">
        <v>457</v>
      </c>
      <c r="B64" s="730" t="s">
        <v>1856</v>
      </c>
      <c r="C64" s="731" t="str">
        <f>'Expenditures 15-22'!B206</f>
        <v>5300</v>
      </c>
      <c r="D64" s="727" t="s">
        <v>307</v>
      </c>
      <c r="E64" s="704"/>
      <c r="F64" s="1766">
        <f>'Expenditures 15-22'!K206</f>
        <v>0</v>
      </c>
      <c r="G64" s="701"/>
    </row>
    <row r="65" spans="1:9" x14ac:dyDescent="0.2">
      <c r="A65" s="705" t="s">
        <v>457</v>
      </c>
      <c r="B65" s="705" t="s">
        <v>1857</v>
      </c>
      <c r="C65" s="721" t="s">
        <v>973</v>
      </c>
      <c r="D65" s="720" t="s">
        <v>1084</v>
      </c>
      <c r="E65" s="704"/>
      <c r="F65" s="1766">
        <f>'Expenditures 15-22'!G210</f>
        <v>0</v>
      </c>
      <c r="G65" s="701"/>
    </row>
    <row r="66" spans="1:9" x14ac:dyDescent="0.2">
      <c r="A66" s="705" t="s">
        <v>457</v>
      </c>
      <c r="B66" s="705" t="s">
        <v>1858</v>
      </c>
      <c r="C66" s="721" t="s">
        <v>973</v>
      </c>
      <c r="D66" s="720" t="s">
        <v>287</v>
      </c>
      <c r="E66" s="704"/>
      <c r="F66" s="1766">
        <f>'Expenditures 15-22'!I210</f>
        <v>483</v>
      </c>
      <c r="G66" s="701"/>
    </row>
    <row r="67" spans="1:9" x14ac:dyDescent="0.2">
      <c r="A67" s="705" t="s">
        <v>458</v>
      </c>
      <c r="B67" s="705" t="s">
        <v>1859</v>
      </c>
      <c r="C67" s="721" t="str">
        <f>'Expenditures 15-22'!B216</f>
        <v>1125</v>
      </c>
      <c r="D67" s="727" t="str">
        <f>'Expenditures 15-22'!A216</f>
        <v>Pre-K Programs</v>
      </c>
      <c r="E67" s="704"/>
      <c r="F67" s="1766">
        <f>'Expenditures 15-22'!K216</f>
        <v>0</v>
      </c>
      <c r="G67" s="701"/>
    </row>
    <row r="68" spans="1:9" x14ac:dyDescent="0.2">
      <c r="A68" s="705" t="s">
        <v>458</v>
      </c>
      <c r="B68" s="705" t="s">
        <v>1458</v>
      </c>
      <c r="C68" s="721" t="str">
        <f>'Expenditures 15-22'!B218</f>
        <v>1225</v>
      </c>
      <c r="D68" s="727" t="str">
        <f>'Expenditures 15-22'!A218</f>
        <v>Special Education Programs - Pre-K</v>
      </c>
      <c r="E68" s="704"/>
      <c r="F68" s="1766">
        <f>'Expenditures 15-22'!K218</f>
        <v>20919</v>
      </c>
      <c r="G68" s="701"/>
    </row>
    <row r="69" spans="1:9" x14ac:dyDescent="0.2">
      <c r="A69" s="705" t="s">
        <v>458</v>
      </c>
      <c r="B69" s="705" t="s">
        <v>1860</v>
      </c>
      <c r="C69" s="721" t="str">
        <f>'Expenditures 15-22'!B220</f>
        <v>1275</v>
      </c>
      <c r="D69" s="727" t="str">
        <f>'Expenditures 15-22'!A220</f>
        <v>Remedial and Supplemental Programs - Pre-K</v>
      </c>
      <c r="E69" s="704"/>
      <c r="F69" s="1766">
        <f>'Expenditures 15-22'!K220</f>
        <v>0</v>
      </c>
      <c r="G69" s="701"/>
    </row>
    <row r="70" spans="1:9" x14ac:dyDescent="0.2">
      <c r="A70" s="705" t="s">
        <v>458</v>
      </c>
      <c r="B70" s="705" t="s">
        <v>1861</v>
      </c>
      <c r="C70" s="721">
        <f>'Expenditures 15-22'!B221</f>
        <v>1300</v>
      </c>
      <c r="D70" s="722" t="str">
        <f>'Expenditures 15-22'!A221</f>
        <v>Adult/Continuing Education Programs</v>
      </c>
      <c r="E70" s="704"/>
      <c r="F70" s="1766">
        <f>'Expenditures 15-22'!K221</f>
        <v>0</v>
      </c>
      <c r="G70" s="701"/>
    </row>
    <row r="71" spans="1:9" x14ac:dyDescent="0.2">
      <c r="A71" s="705" t="s">
        <v>458</v>
      </c>
      <c r="B71" s="705" t="s">
        <v>1862</v>
      </c>
      <c r="C71" s="721">
        <f>'Expenditures 15-22'!B224</f>
        <v>1600</v>
      </c>
      <c r="D71" s="722" t="str">
        <f>'Expenditures 15-22'!A224</f>
        <v>Summer School Programs</v>
      </c>
      <c r="E71" s="704"/>
      <c r="F71" s="1766">
        <f>'Expenditures 15-22'!K224</f>
        <v>971</v>
      </c>
      <c r="G71" s="701"/>
    </row>
    <row r="72" spans="1:9" x14ac:dyDescent="0.2">
      <c r="A72" s="705" t="s">
        <v>458</v>
      </c>
      <c r="B72" s="705" t="s">
        <v>1863</v>
      </c>
      <c r="C72" s="721">
        <f>'Expenditures 15-22'!B280</f>
        <v>3000</v>
      </c>
      <c r="D72" s="712" t="s">
        <v>445</v>
      </c>
      <c r="E72" s="704"/>
      <c r="F72" s="1766">
        <f>'Expenditures 15-22'!K280</f>
        <v>38430</v>
      </c>
      <c r="G72" s="701"/>
    </row>
    <row r="73" spans="1:9" x14ac:dyDescent="0.2">
      <c r="A73" s="705" t="s">
        <v>458</v>
      </c>
      <c r="B73" s="705" t="s">
        <v>1864</v>
      </c>
      <c r="C73" s="721" t="str">
        <f>'Expenditures 15-22'!B285</f>
        <v>4000</v>
      </c>
      <c r="D73" s="722" t="str">
        <f>'Expenditures 15-22'!A285</f>
        <v>Total Payments to Other Govt Units</v>
      </c>
      <c r="E73" s="704"/>
      <c r="F73" s="1766">
        <f>'Expenditures 15-22'!K285</f>
        <v>0</v>
      </c>
      <c r="G73" s="701"/>
    </row>
    <row r="74" spans="1:9" x14ac:dyDescent="0.2">
      <c r="A74" s="705" t="s">
        <v>432</v>
      </c>
      <c r="B74" s="705" t="s">
        <v>1865</v>
      </c>
      <c r="C74" s="721" t="s">
        <v>853</v>
      </c>
      <c r="D74" s="722" t="s">
        <v>1466</v>
      </c>
      <c r="E74" s="704"/>
      <c r="F74" s="1770">
        <f>'Expenditures 15-22'!K334</f>
        <v>0</v>
      </c>
      <c r="G74" s="701"/>
    </row>
    <row r="75" spans="1:9" x14ac:dyDescent="0.2">
      <c r="A75" s="705" t="s">
        <v>2004</v>
      </c>
      <c r="B75" s="705" t="s">
        <v>2005</v>
      </c>
      <c r="C75" s="721" t="s">
        <v>973</v>
      </c>
      <c r="D75" s="722" t="s">
        <v>1084</v>
      </c>
      <c r="E75" s="704"/>
      <c r="F75" s="1770">
        <f>'Expenditures 15-22'!G342</f>
        <v>0</v>
      </c>
      <c r="G75" s="701"/>
    </row>
    <row r="76" spans="1:9" ht="10.5" customHeight="1" x14ac:dyDescent="0.2">
      <c r="A76" s="701" t="s">
        <v>432</v>
      </c>
      <c r="B76" s="705" t="s">
        <v>2006</v>
      </c>
      <c r="C76" s="711" t="s">
        <v>973</v>
      </c>
      <c r="D76" s="701" t="s">
        <v>287</v>
      </c>
      <c r="E76" s="704"/>
      <c r="F76" s="1770">
        <f>'Expenditures 15-22'!I342</f>
        <v>0</v>
      </c>
      <c r="G76" s="703"/>
    </row>
    <row r="77" spans="1:9" ht="12" thickBot="1" x14ac:dyDescent="0.25">
      <c r="A77" s="1436"/>
      <c r="B77" s="1441"/>
      <c r="C77" s="1438"/>
      <c r="D77" s="1442" t="s">
        <v>2007</v>
      </c>
      <c r="E77" s="1440" t="s">
        <v>950</v>
      </c>
      <c r="F77" s="1771">
        <f>SUM(F18:F76)</f>
        <v>3612258</v>
      </c>
      <c r="G77" s="701"/>
    </row>
    <row r="78" spans="1:9" s="728" customFormat="1" ht="12" customHeight="1" thickTop="1" thickBot="1" x14ac:dyDescent="0.25">
      <c r="A78" s="1443"/>
      <c r="B78" s="1441"/>
      <c r="C78" s="1438"/>
      <c r="D78" s="1442" t="s">
        <v>2008</v>
      </c>
      <c r="E78" s="1440"/>
      <c r="F78" s="1772">
        <f>(F14-F77)</f>
        <v>29569714</v>
      </c>
      <c r="G78" s="705"/>
    </row>
    <row r="79" spans="1:9" s="728" customFormat="1" ht="12" customHeight="1" thickTop="1" x14ac:dyDescent="0.2">
      <c r="A79" s="1444"/>
      <c r="B79" s="1441"/>
      <c r="C79" s="1438"/>
      <c r="D79" s="1783" t="str">
        <f>"9 Month ADA from Average Daily Attendance - Student Information System (SIS) in IWAS-preliminary ADA "&amp;'AFR20'!$E$2-1&amp;"-"&amp;'AFR20'!$E$2</f>
        <v>9 Month ADA from Average Daily Attendance - Student Information System (SIS) in IWAS-preliminary ADA 2019-2020</v>
      </c>
      <c r="E79" s="1440"/>
      <c r="F79" s="1773">
        <v>1778.1</v>
      </c>
      <c r="G79" s="733"/>
      <c r="H79" s="705"/>
      <c r="I79" s="705"/>
    </row>
    <row r="80" spans="1:9" s="728" customFormat="1" ht="12" customHeight="1" thickBot="1" x14ac:dyDescent="0.25">
      <c r="A80" s="1445"/>
      <c r="B80" s="1441"/>
      <c r="C80" s="1438"/>
      <c r="D80" s="1442" t="s">
        <v>2009</v>
      </c>
      <c r="E80" s="1440" t="s">
        <v>950</v>
      </c>
      <c r="F80" s="1774">
        <f>IF(F79&gt;0,F78/F79," Complete Line 79")</f>
        <v>16629.949946572186</v>
      </c>
      <c r="G80" s="705"/>
    </row>
    <row r="81" spans="1:7" s="728" customFormat="1" ht="8.25" customHeight="1" thickTop="1" x14ac:dyDescent="0.2">
      <c r="A81" s="734"/>
      <c r="B81" s="705"/>
      <c r="C81" s="707"/>
      <c r="D81" s="735"/>
      <c r="E81" s="704"/>
      <c r="F81" s="1775"/>
      <c r="G81" s="705"/>
    </row>
    <row r="82" spans="1:7" s="728" customFormat="1" ht="12" thickBot="1" x14ac:dyDescent="0.25">
      <c r="A82" s="2389" t="s">
        <v>1094</v>
      </c>
      <c r="B82" s="2390"/>
      <c r="C82" s="2390"/>
      <c r="D82" s="2390"/>
      <c r="E82" s="2390"/>
      <c r="F82" s="2391"/>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6">
        <f>'Revenues 9-14'!F42</f>
        <v>0</v>
      </c>
      <c r="G85" s="745"/>
    </row>
    <row r="86" spans="1:7" x14ac:dyDescent="0.2">
      <c r="A86" s="741" t="s">
        <v>457</v>
      </c>
      <c r="B86" s="741" t="s">
        <v>182</v>
      </c>
      <c r="C86" s="746">
        <f>'Revenues 9-14'!B44</f>
        <v>1413</v>
      </c>
      <c r="D86" s="744" t="str">
        <f>'Revenues 9-14'!A44</f>
        <v>Regular - Transp Fees from Other Sources (In State)</v>
      </c>
      <c r="E86" s="739"/>
      <c r="F86" s="1777">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7">
        <f>'Revenues 9-14'!F45</f>
        <v>3502</v>
      </c>
      <c r="G87" s="747"/>
    </row>
    <row r="88" spans="1:7" x14ac:dyDescent="0.2">
      <c r="A88" s="741" t="s">
        <v>457</v>
      </c>
      <c r="B88" s="741" t="s">
        <v>166</v>
      </c>
      <c r="C88" s="743">
        <v>1416</v>
      </c>
      <c r="D88" s="744" t="str">
        <f>'Revenues 9-14'!A46</f>
        <v>Regular Transp Fees from Other Sources (Out of State)</v>
      </c>
      <c r="E88" s="739"/>
      <c r="F88" s="1777">
        <f>'Revenues 9-14'!F46</f>
        <v>0</v>
      </c>
      <c r="G88" s="747"/>
    </row>
    <row r="89" spans="1:7" x14ac:dyDescent="0.2">
      <c r="A89" s="741" t="s">
        <v>457</v>
      </c>
      <c r="B89" s="741" t="s">
        <v>167</v>
      </c>
      <c r="C89" s="743">
        <f>'Revenues 9-14'!B51</f>
        <v>1431</v>
      </c>
      <c r="D89" s="744" t="str">
        <f>'Revenues 9-14'!A51</f>
        <v>CTE - Transp Fees from Pupils or Parents (In State)</v>
      </c>
      <c r="E89" s="739"/>
      <c r="F89" s="1777">
        <f>'Revenues 9-14'!F51</f>
        <v>0</v>
      </c>
      <c r="G89" s="747"/>
    </row>
    <row r="90" spans="1:7" x14ac:dyDescent="0.2">
      <c r="A90" s="741" t="s">
        <v>457</v>
      </c>
      <c r="B90" s="741" t="s">
        <v>168</v>
      </c>
      <c r="C90" s="743">
        <f>'Revenues 9-14'!B53</f>
        <v>1433</v>
      </c>
      <c r="D90" s="744" t="str">
        <f>'Revenues 9-14'!A53</f>
        <v>CTE - Transp Fees from Other Sources (In State)</v>
      </c>
      <c r="E90" s="739"/>
      <c r="F90" s="1777">
        <f>'Revenues 9-14'!F53</f>
        <v>0</v>
      </c>
      <c r="G90" s="747"/>
    </row>
    <row r="91" spans="1:7" x14ac:dyDescent="0.2">
      <c r="A91" s="741" t="s">
        <v>457</v>
      </c>
      <c r="B91" s="741" t="s">
        <v>169</v>
      </c>
      <c r="C91" s="743">
        <f>'Revenues 9-14'!B54</f>
        <v>1434</v>
      </c>
      <c r="D91" s="744" t="str">
        <f>'Revenues 9-14'!A54</f>
        <v>CTE - Transp Fees from Other Sources (Out of State)</v>
      </c>
      <c r="E91" s="739"/>
      <c r="F91" s="1777">
        <f>'Revenues 9-14'!F54</f>
        <v>0</v>
      </c>
      <c r="G91" s="747"/>
    </row>
    <row r="92" spans="1:7" x14ac:dyDescent="0.2">
      <c r="A92" s="741" t="s">
        <v>457</v>
      </c>
      <c r="B92" s="741" t="s">
        <v>170</v>
      </c>
      <c r="C92" s="748">
        <f>'Revenues 9-14'!B55</f>
        <v>1441</v>
      </c>
      <c r="D92" s="744" t="str">
        <f>'Revenues 9-14'!A55</f>
        <v>Special Ed - Transp Fees from Pupils or Parents (In State)</v>
      </c>
      <c r="E92" s="739"/>
      <c r="F92" s="1777">
        <f>'Revenues 9-14'!F55</f>
        <v>0</v>
      </c>
      <c r="G92" s="747"/>
    </row>
    <row r="93" spans="1:7" x14ac:dyDescent="0.2">
      <c r="A93" s="741" t="s">
        <v>457</v>
      </c>
      <c r="B93" s="741" t="s">
        <v>171</v>
      </c>
      <c r="C93" s="743">
        <f>'Revenues 9-14'!B57</f>
        <v>1443</v>
      </c>
      <c r="D93" s="744" t="str">
        <f>'Revenues 9-14'!A57</f>
        <v>Special Ed - Transp Fees from Other Sources (In State)</v>
      </c>
      <c r="E93" s="739"/>
      <c r="F93" s="1777">
        <f>'Revenues 9-14'!F57</f>
        <v>0</v>
      </c>
      <c r="G93" s="749"/>
    </row>
    <row r="94" spans="1:7" x14ac:dyDescent="0.2">
      <c r="A94" s="741" t="s">
        <v>457</v>
      </c>
      <c r="B94" s="741" t="s">
        <v>172</v>
      </c>
      <c r="C94" s="743">
        <f>'Revenues 9-14'!B58</f>
        <v>1444</v>
      </c>
      <c r="D94" s="744" t="str">
        <f>'Revenues 9-14'!A58</f>
        <v>Special Ed - Transp Fees from Other Sources (Out of State)</v>
      </c>
      <c r="E94" s="739"/>
      <c r="F94" s="1777">
        <f>'Revenues 9-14'!F58</f>
        <v>0</v>
      </c>
      <c r="G94" s="749"/>
    </row>
    <row r="95" spans="1:7" x14ac:dyDescent="0.2">
      <c r="A95" s="741" t="s">
        <v>455</v>
      </c>
      <c r="B95" s="741" t="s">
        <v>173</v>
      </c>
      <c r="C95" s="743">
        <v>1600</v>
      </c>
      <c r="D95" s="750" t="str">
        <f>'Revenues 9-14'!A75</f>
        <v>Total Food Service</v>
      </c>
      <c r="E95" s="739"/>
      <c r="F95" s="1777">
        <f>'Revenues 9-14'!C75</f>
        <v>0</v>
      </c>
      <c r="G95" s="745"/>
    </row>
    <row r="96" spans="1:7" x14ac:dyDescent="0.2">
      <c r="A96" s="741" t="s">
        <v>139</v>
      </c>
      <c r="B96" s="741" t="s">
        <v>174</v>
      </c>
      <c r="C96" s="743">
        <v>1700</v>
      </c>
      <c r="D96" s="751" t="str">
        <f>'Revenues 9-14'!A82</f>
        <v>Total District/School Activity Income</v>
      </c>
      <c r="E96" s="739"/>
      <c r="F96" s="1777">
        <f>SUM('Revenues 9-14'!C82,'Revenues 9-14'!D82)</f>
        <v>719488</v>
      </c>
      <c r="G96" s="745"/>
    </row>
    <row r="97" spans="1:7" x14ac:dyDescent="0.2">
      <c r="A97" s="741" t="s">
        <v>455</v>
      </c>
      <c r="B97" s="741" t="s">
        <v>175</v>
      </c>
      <c r="C97" s="743">
        <f>'Revenues 9-14'!B84</f>
        <v>1811</v>
      </c>
      <c r="D97" s="744" t="str">
        <f>'Revenues 9-14'!A84</f>
        <v>Rentals - Regular Textbooks</v>
      </c>
      <c r="E97" s="739"/>
      <c r="F97" s="1777">
        <f>'Revenues 9-14'!C84</f>
        <v>149211</v>
      </c>
      <c r="G97" s="745"/>
    </row>
    <row r="98" spans="1:7" x14ac:dyDescent="0.2">
      <c r="A98" s="741" t="s">
        <v>455</v>
      </c>
      <c r="B98" s="741" t="s">
        <v>176</v>
      </c>
      <c r="C98" s="743">
        <f>'Revenues 9-14'!B87</f>
        <v>1819</v>
      </c>
      <c r="D98" s="744" t="str">
        <f>'Revenues 9-14'!A87</f>
        <v>Rentals - Other (Describe &amp; Itemize)</v>
      </c>
      <c r="E98" s="739"/>
      <c r="F98" s="1777">
        <f>'Revenues 9-14'!C87</f>
        <v>0</v>
      </c>
      <c r="G98" s="745"/>
    </row>
    <row r="99" spans="1:7" x14ac:dyDescent="0.2">
      <c r="A99" s="741" t="s">
        <v>455</v>
      </c>
      <c r="B99" s="741" t="s">
        <v>177</v>
      </c>
      <c r="C99" s="743">
        <f>'Revenues 9-14'!B88</f>
        <v>1821</v>
      </c>
      <c r="D99" s="744" t="str">
        <f>'Revenues 9-14'!A88</f>
        <v>Sales - Regular Textbooks</v>
      </c>
      <c r="E99" s="739"/>
      <c r="F99" s="1777">
        <f>'Revenues 9-14'!C88</f>
        <v>0</v>
      </c>
      <c r="G99" s="745"/>
    </row>
    <row r="100" spans="1:7" x14ac:dyDescent="0.2">
      <c r="A100" s="741" t="s">
        <v>455</v>
      </c>
      <c r="B100" s="741" t="s">
        <v>178</v>
      </c>
      <c r="C100" s="743">
        <f>'Revenues 9-14'!B91</f>
        <v>1829</v>
      </c>
      <c r="D100" s="744" t="str">
        <f>'Revenues 9-14'!A91</f>
        <v>Sales - Other (Describe &amp; Itemize)</v>
      </c>
      <c r="E100" s="739"/>
      <c r="F100" s="1777">
        <f>'Revenues 9-14'!C91</f>
        <v>0</v>
      </c>
      <c r="G100" s="745"/>
    </row>
    <row r="101" spans="1:7" x14ac:dyDescent="0.2">
      <c r="A101" s="741" t="s">
        <v>455</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36881</v>
      </c>
      <c r="G102" s="745"/>
    </row>
    <row r="103" spans="1:7" x14ac:dyDescent="0.2">
      <c r="A103" s="741" t="s">
        <v>499</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7">
        <f>SUM('Revenues 9-14'!C104,'Revenues 9-14'!D104,'Revenues 9-14'!E104,'Revenues 9-14'!F104,'Revenues 9-14'!G104)</f>
        <v>289144</v>
      </c>
      <c r="G104" s="745"/>
    </row>
    <row r="105" spans="1:7" x14ac:dyDescent="0.2">
      <c r="A105" s="741" t="s">
        <v>455</v>
      </c>
      <c r="B105" s="741" t="s">
        <v>801</v>
      </c>
      <c r="C105" s="743">
        <f>'Revenues 9-14'!B106</f>
        <v>1993</v>
      </c>
      <c r="D105" s="744" t="str">
        <f>'Revenues 9-14'!A106</f>
        <v>Other Local Fees (Describe &amp; Itemize)</v>
      </c>
      <c r="E105" s="739"/>
      <c r="F105" s="1777">
        <f>('Revenues 9-14'!C106)</f>
        <v>37389</v>
      </c>
      <c r="G105" s="745"/>
    </row>
    <row r="106" spans="1:7" x14ac:dyDescent="0.2">
      <c r="A106" s="741" t="s">
        <v>499</v>
      </c>
      <c r="B106" s="741" t="s">
        <v>1906</v>
      </c>
      <c r="C106" s="746">
        <v>3100</v>
      </c>
      <c r="D106" s="752" t="str">
        <f>'Revenues 9-14'!A132</f>
        <v>Total Special Education</v>
      </c>
      <c r="E106" s="739"/>
      <c r="F106" s="1777">
        <f>SUM('Revenues 9-14'!C132:D132,'Revenues 9-14'!F132)</f>
        <v>82312</v>
      </c>
      <c r="G106" s="745"/>
    </row>
    <row r="107" spans="1:7" x14ac:dyDescent="0.2">
      <c r="A107" s="741" t="s">
        <v>667</v>
      </c>
      <c r="B107" s="741" t="s">
        <v>1907</v>
      </c>
      <c r="C107" s="753">
        <v>3200</v>
      </c>
      <c r="D107" s="744" t="str">
        <f>'Revenues 9-14'!A141</f>
        <v>Total Career and Technical Education</v>
      </c>
      <c r="E107" s="739"/>
      <c r="F107" s="1777">
        <f>SUM('Revenues 9-14'!C141,'Revenues 9-14'!D141,'Revenues 9-14'!G141)</f>
        <v>0</v>
      </c>
      <c r="G107" s="745"/>
    </row>
    <row r="108" spans="1:7" x14ac:dyDescent="0.2">
      <c r="A108" s="754" t="s">
        <v>658</v>
      </c>
      <c r="B108" s="741" t="s">
        <v>1908</v>
      </c>
      <c r="C108" s="753">
        <v>3300</v>
      </c>
      <c r="D108" s="744" t="str">
        <f>'Revenues 9-14'!A145</f>
        <v>Total Bilingual Ed</v>
      </c>
      <c r="E108" s="739"/>
      <c r="F108" s="1777">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7">
        <f>'Revenues 9-14'!C146</f>
        <v>0</v>
      </c>
      <c r="G109" s="745"/>
    </row>
    <row r="110" spans="1:7" x14ac:dyDescent="0.2">
      <c r="A110" s="741" t="s">
        <v>667</v>
      </c>
      <c r="B110" s="741" t="s">
        <v>1910</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7">
        <f>SUM('Revenues 9-14'!C148,'Revenues 9-14'!D148)</f>
        <v>0</v>
      </c>
      <c r="G111" s="745"/>
    </row>
    <row r="112" spans="1:7" x14ac:dyDescent="0.2">
      <c r="A112" s="741" t="s">
        <v>662</v>
      </c>
      <c r="B112" s="741" t="s">
        <v>1912</v>
      </c>
      <c r="C112" s="755">
        <v>3500</v>
      </c>
      <c r="D112" s="744" t="str">
        <f>'Revenues 9-14'!A155</f>
        <v>Total Transportation</v>
      </c>
      <c r="E112" s="739"/>
      <c r="F112" s="1777">
        <f>SUM('Revenues 9-14'!C155,'Revenues 9-14'!D155,'Revenues 9-14'!F155,'Revenues 9-14'!G155)</f>
        <v>797091</v>
      </c>
      <c r="G112" s="745"/>
    </row>
    <row r="113" spans="1:7" x14ac:dyDescent="0.2">
      <c r="A113" s="741" t="s">
        <v>455</v>
      </c>
      <c r="B113" s="741" t="s">
        <v>1913</v>
      </c>
      <c r="C113" s="753">
        <f>'Revenues 9-14'!B156</f>
        <v>3610</v>
      </c>
      <c r="D113" s="744" t="str">
        <f>'Revenues 9-14'!A156</f>
        <v>Learning Improvement - Change Grants</v>
      </c>
      <c r="E113" s="739"/>
      <c r="F113" s="1777">
        <f>'Revenues 9-14'!C156</f>
        <v>0</v>
      </c>
      <c r="G113" s="745"/>
    </row>
    <row r="114" spans="1:7" x14ac:dyDescent="0.2">
      <c r="A114" s="741" t="s">
        <v>662</v>
      </c>
      <c r="B114" s="741" t="s">
        <v>1914</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6">
        <f>SUM('Revenues 9-14'!C163:G163)</f>
        <v>0</v>
      </c>
      <c r="G119" s="745"/>
    </row>
    <row r="120" spans="1:7" x14ac:dyDescent="0.2">
      <c r="A120" s="756" t="s">
        <v>500</v>
      </c>
      <c r="B120" s="756" t="s">
        <v>1920</v>
      </c>
      <c r="C120" s="757">
        <f>'Revenues 9-14'!B164</f>
        <v>3815</v>
      </c>
      <c r="D120" s="758" t="str">
        <f>'Revenues 9-14'!A164</f>
        <v>State Charter Schools</v>
      </c>
      <c r="E120" s="739"/>
      <c r="F120" s="1776">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7">
        <f>'Revenues 9-14'!D167</f>
        <v>0</v>
      </c>
      <c r="G121" s="763"/>
    </row>
    <row r="122" spans="1:7" x14ac:dyDescent="0.2">
      <c r="A122" s="760" t="s">
        <v>496</v>
      </c>
      <c r="B122" s="760" t="s">
        <v>1922</v>
      </c>
      <c r="C122" s="761">
        <f>'Revenues 9-14'!B168</f>
        <v>3999</v>
      </c>
      <c r="D122" s="762" t="s">
        <v>539</v>
      </c>
      <c r="E122" s="764"/>
      <c r="F122" s="1777">
        <f>SUM('Revenues 9-14'!C168:G168,'Revenues 9-14'!J168)</f>
        <v>125223</v>
      </c>
      <c r="G122" s="763"/>
    </row>
    <row r="123" spans="1:7" x14ac:dyDescent="0.2">
      <c r="A123" s="760" t="s">
        <v>455</v>
      </c>
      <c r="B123" s="760" t="s">
        <v>1923</v>
      </c>
      <c r="C123" s="765">
        <f>'Revenues 9-14'!B177</f>
        <v>4045</v>
      </c>
      <c r="D123" s="762" t="str">
        <f>'Revenues 9-14'!A177 &amp; " (Subtract)"</f>
        <v>Head Start (Subtract)</v>
      </c>
      <c r="E123" s="739"/>
      <c r="F123" s="1777">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662</v>
      </c>
      <c r="B125" s="760" t="s">
        <v>1925</v>
      </c>
      <c r="C125" s="765">
        <v>4100</v>
      </c>
      <c r="D125" s="766" t="str">
        <f>'Revenues 9-14'!A188</f>
        <v>Total Title V</v>
      </c>
      <c r="E125" s="739"/>
      <c r="F125" s="1777">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7">
        <f>SUM('Revenues 9-14'!C198,'Revenues 9-14'!G198)</f>
        <v>13124</v>
      </c>
      <c r="G126" s="763"/>
    </row>
    <row r="127" spans="1:7" x14ac:dyDescent="0.2">
      <c r="A127" s="760" t="s">
        <v>662</v>
      </c>
      <c r="B127" s="760" t="s">
        <v>1927</v>
      </c>
      <c r="C127" s="765">
        <v>4300</v>
      </c>
      <c r="D127" s="766" t="str">
        <f>'Revenues 9-14'!A204</f>
        <v>Total Title I</v>
      </c>
      <c r="E127" s="739"/>
      <c r="F127" s="1777">
        <f>SUM('Revenues 9-14'!C204,'Revenues 9-14'!D204,'Revenues 9-14'!F204,'Revenues 9-14'!G204)</f>
        <v>20995</v>
      </c>
      <c r="G127" s="763"/>
    </row>
    <row r="128" spans="1:7" x14ac:dyDescent="0.2">
      <c r="A128" s="760" t="s">
        <v>662</v>
      </c>
      <c r="B128" s="760" t="s">
        <v>1928</v>
      </c>
      <c r="C128" s="765">
        <v>4400</v>
      </c>
      <c r="D128" s="766" t="str">
        <f>'Revenues 9-14'!A209</f>
        <v>Total Title IV</v>
      </c>
      <c r="E128" s="739"/>
      <c r="F128" s="1777">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77">
        <f>SUM('Revenues 9-14'!C213:D213,'Revenues 9-14'!F213:G213)</f>
        <v>326401</v>
      </c>
      <c r="G129" s="763"/>
    </row>
    <row r="130" spans="1:7" x14ac:dyDescent="0.2">
      <c r="A130" s="760" t="s">
        <v>662</v>
      </c>
      <c r="B130" s="760" t="s">
        <v>1930</v>
      </c>
      <c r="C130" s="765">
        <f>'Revenues 9-14'!B214</f>
        <v>4625</v>
      </c>
      <c r="D130" s="766" t="str">
        <f>'Revenues 9-14'!A214</f>
        <v>Fed - Spec Education - IDEA - Room &amp; Board</v>
      </c>
      <c r="E130" s="739"/>
      <c r="F130" s="1777">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667</v>
      </c>
      <c r="B133" s="760" t="s">
        <v>1932</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7">
        <v>0</v>
      </c>
      <c r="G139" s="738"/>
    </row>
    <row r="140" spans="1:7" s="703" customFormat="1" hidden="1" x14ac:dyDescent="0.2">
      <c r="A140" s="767" t="s">
        <v>204</v>
      </c>
      <c r="B140" s="767" t="s">
        <v>1939</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1396</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496</v>
      </c>
      <c r="B158" s="772" t="s">
        <v>1947</v>
      </c>
      <c r="C158" s="773" t="s">
        <v>834</v>
      </c>
      <c r="D158" s="774" t="s">
        <v>770</v>
      </c>
      <c r="E158" s="775"/>
      <c r="F158" s="1777">
        <f>SUM(F134:F157)</f>
        <v>0</v>
      </c>
      <c r="G158" s="738"/>
    </row>
    <row r="159" spans="1:7" s="703" customFormat="1" x14ac:dyDescent="0.2">
      <c r="A159" s="771" t="s">
        <v>455</v>
      </c>
      <c r="B159" s="772" t="s">
        <v>1948</v>
      </c>
      <c r="C159" s="773" t="s">
        <v>1406</v>
      </c>
      <c r="D159" s="774" t="s">
        <v>1407</v>
      </c>
      <c r="E159" s="775"/>
      <c r="F159" s="1777">
        <f>SUM('Revenues 9-14'!C253)</f>
        <v>0</v>
      </c>
      <c r="G159" s="738"/>
    </row>
    <row r="160" spans="1:7" s="703" customFormat="1" x14ac:dyDescent="0.2">
      <c r="A160" s="771" t="s">
        <v>496</v>
      </c>
      <c r="B160" s="772" t="s">
        <v>1949</v>
      </c>
      <c r="C160" s="773" t="s">
        <v>1445</v>
      </c>
      <c r="D160" s="774" t="s">
        <v>1446</v>
      </c>
      <c r="E160" s="775"/>
      <c r="F160" s="1777">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7">
        <f>SUM('Revenues 9-14'!C256,'Revenues 9-14'!F256,'Revenues 9-14'!G256)</f>
        <v>10882</v>
      </c>
      <c r="G162" s="776"/>
    </row>
    <row r="163" spans="1:7" x14ac:dyDescent="0.2">
      <c r="A163" s="760" t="s">
        <v>662</v>
      </c>
      <c r="B163" s="760" t="s">
        <v>1952</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6">
        <f>SUM('Revenues 9-14'!C259,'Revenues 9-14'!D259,'Revenues 9-14'!F259,'Revenues 9-14'!G259)</f>
        <v>39186</v>
      </c>
      <c r="G165" s="763"/>
    </row>
    <row r="166" spans="1:7" x14ac:dyDescent="0.2">
      <c r="A166" s="760" t="s">
        <v>662</v>
      </c>
      <c r="B166" s="760" t="s">
        <v>1955</v>
      </c>
      <c r="C166" s="765">
        <f>'Revenues 9-14'!B260</f>
        <v>4960</v>
      </c>
      <c r="D166" s="762" t="str">
        <f>'Revenues 9-14'!A260</f>
        <v>Federal Charter Schools</v>
      </c>
      <c r="E166" s="739"/>
      <c r="F166" s="1777">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7">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7">
        <f>SUM('Revenues 9-14'!C263:D263,'Revenues 9-14'!F263:G263)</f>
        <v>34933</v>
      </c>
      <c r="G169" s="780">
        <v>6320</v>
      </c>
    </row>
    <row r="170" spans="1:7" x14ac:dyDescent="0.2">
      <c r="A170" s="760" t="s">
        <v>662</v>
      </c>
      <c r="B170" s="760" t="s">
        <v>1957</v>
      </c>
      <c r="C170" s="765">
        <f>'Revenues 9-14'!B264</f>
        <v>4992</v>
      </c>
      <c r="D170" s="766" t="str">
        <f>'Revenues 9-14'!A264</f>
        <v>Medicaid Matching Funds - Fee-for-Service Program</v>
      </c>
      <c r="E170" s="739"/>
      <c r="F170" s="1777">
        <f>SUM('Revenues 9-14'!C264:D264,'Revenues 9-14'!F264:G264)</f>
        <v>0</v>
      </c>
      <c r="G170" s="780"/>
    </row>
    <row r="171" spans="1:7" x14ac:dyDescent="0.2">
      <c r="A171" s="781" t="s">
        <v>662</v>
      </c>
      <c r="B171" s="777" t="s">
        <v>1958</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18" t="s">
        <v>5</v>
      </c>
      <c r="B172" s="1519" t="s">
        <v>1881</v>
      </c>
      <c r="C172" s="1520">
        <v>3100</v>
      </c>
      <c r="D172" s="1521" t="s">
        <v>1883</v>
      </c>
      <c r="E172" s="739"/>
      <c r="F172" s="1778">
        <v>611235</v>
      </c>
      <c r="G172" s="760"/>
    </row>
    <row r="173" spans="1:7" x14ac:dyDescent="0.2">
      <c r="A173" s="1518" t="s">
        <v>658</v>
      </c>
      <c r="B173" s="1519" t="s">
        <v>1881</v>
      </c>
      <c r="C173" s="1520">
        <v>3300</v>
      </c>
      <c r="D173" s="1521" t="s">
        <v>1884</v>
      </c>
      <c r="E173" s="739"/>
      <c r="F173" s="1778">
        <v>34609</v>
      </c>
      <c r="G173" s="760"/>
    </row>
    <row r="174" spans="1:7" ht="6" customHeight="1" x14ac:dyDescent="0.2">
      <c r="A174" s="760"/>
      <c r="B174" s="760"/>
      <c r="C174" s="782"/>
      <c r="D174" s="760"/>
      <c r="E174" s="739"/>
      <c r="F174" s="1779"/>
      <c r="G174" s="780"/>
    </row>
    <row r="175" spans="1:7" x14ac:dyDescent="0.2">
      <c r="A175" s="1436"/>
      <c r="B175" s="1446"/>
      <c r="C175" s="1447"/>
      <c r="D175" s="1448" t="s">
        <v>2012</v>
      </c>
      <c r="E175" s="1449" t="s">
        <v>950</v>
      </c>
      <c r="F175" s="1780">
        <f>SUM(F85:F133,F158:F173)</f>
        <v>3331606</v>
      </c>
    </row>
    <row r="176" spans="1:7" ht="12" customHeight="1" x14ac:dyDescent="0.2">
      <c r="A176" s="1436"/>
      <c r="B176" s="1446"/>
      <c r="C176" s="1447"/>
      <c r="D176" s="1448" t="s">
        <v>2010</v>
      </c>
      <c r="E176" s="1449"/>
      <c r="F176" s="1777">
        <f>'PCTC-OEPP 27-28'!F78-F175</f>
        <v>26238108</v>
      </c>
    </row>
    <row r="177" spans="1:9" ht="12" customHeight="1" x14ac:dyDescent="0.2">
      <c r="A177" s="1436"/>
      <c r="B177" s="1446"/>
      <c r="C177" s="1447"/>
      <c r="D177" s="1448" t="s">
        <v>1790</v>
      </c>
      <c r="E177" s="1449"/>
      <c r="F177" s="1777">
        <f>'Cap Outlay Deprec 26'!I18</f>
        <v>1697992.7</v>
      </c>
    </row>
    <row r="178" spans="1:9" ht="12" customHeight="1" x14ac:dyDescent="0.2">
      <c r="A178" s="1436"/>
      <c r="B178" s="1446"/>
      <c r="C178" s="1447"/>
      <c r="D178" s="1448" t="s">
        <v>2011</v>
      </c>
      <c r="E178" s="1449"/>
      <c r="F178" s="1777">
        <f>F176+F177</f>
        <v>27936100.699999999</v>
      </c>
    </row>
    <row r="179" spans="1:9" ht="12" customHeight="1" x14ac:dyDescent="0.2">
      <c r="A179" s="1436"/>
      <c r="B179" s="1450"/>
      <c r="C179" s="1447"/>
      <c r="D179" s="1783" t="str">
        <f>D79</f>
        <v>9 Month ADA from Average Daily Attendance - Student Information System (SIS) in IWAS-preliminary ADA 2019-2020</v>
      </c>
      <c r="E179" s="1449"/>
      <c r="F179" s="1781">
        <f>'PCTC-OEPP 27-28'!F79</f>
        <v>1778.1</v>
      </c>
      <c r="G179" s="763"/>
      <c r="I179" s="701"/>
    </row>
    <row r="180" spans="1:9" ht="12" customHeight="1" thickBot="1" x14ac:dyDescent="0.25">
      <c r="A180" s="1436"/>
      <c r="B180" s="1450"/>
      <c r="C180" s="1447"/>
      <c r="D180" s="1448" t="s">
        <v>2013</v>
      </c>
      <c r="E180" s="1449" t="s">
        <v>1524</v>
      </c>
      <c r="F180" s="1782">
        <f>F178/F179</f>
        <v>15711.208987121085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2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23"/>
    </row>
    <row r="184" spans="1:9" s="152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23"/>
    </row>
    <row r="185" spans="1:9" ht="12" customHeight="1" x14ac:dyDescent="0.2">
      <c r="C185" s="782"/>
      <c r="D185" s="763"/>
      <c r="E185" s="782"/>
      <c r="F185" s="763"/>
      <c r="G185" s="763"/>
    </row>
    <row r="186" spans="1:9" x14ac:dyDescent="0.2">
      <c r="A186" s="1524" t="s">
        <v>1886</v>
      </c>
      <c r="B186" s="152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F138"/>
  <sheetViews>
    <sheetView topLeftCell="A13" workbookViewId="0">
      <selection activeCell="B38" sqref="B38"/>
    </sheetView>
  </sheetViews>
  <sheetFormatPr defaultColWidth="9.140625" defaultRowHeight="15" x14ac:dyDescent="0.25"/>
  <cols>
    <col min="1" max="1" width="52" style="1876" customWidth="1"/>
    <col min="2" max="2" width="16.42578125" style="1877" bestFit="1" customWidth="1"/>
    <col min="3" max="3" width="33.7109375" style="1878" customWidth="1"/>
    <col min="4" max="4" width="16.28515625" style="1879" customWidth="1"/>
    <col min="5" max="5" width="23.5703125" style="1879" customWidth="1"/>
    <col min="6" max="6" width="23.28515625" style="1878" customWidth="1"/>
    <col min="7" max="16384" width="9.140625" style="1844"/>
  </cols>
  <sheetData>
    <row r="1" spans="1:6" ht="15" customHeight="1" x14ac:dyDescent="0.25">
      <c r="A1" s="1841" t="s">
        <v>1803</v>
      </c>
      <c r="B1" s="1842"/>
      <c r="C1" s="1843"/>
      <c r="D1" s="1843"/>
      <c r="E1" s="1843"/>
      <c r="F1" s="1843"/>
    </row>
    <row r="2" spans="1:6" x14ac:dyDescent="0.25">
      <c r="A2" s="1845"/>
      <c r="B2" s="1846"/>
      <c r="C2" s="1893" t="s">
        <v>1999</v>
      </c>
      <c r="D2" s="1845"/>
      <c r="E2" s="1845"/>
      <c r="F2" s="1845"/>
    </row>
    <row r="3" spans="1:6" ht="5.25" customHeight="1" x14ac:dyDescent="0.25">
      <c r="A3" s="1847"/>
      <c r="B3" s="1848"/>
      <c r="C3" s="1847"/>
      <c r="D3" s="1847"/>
      <c r="E3" s="1847"/>
      <c r="F3" s="1847"/>
    </row>
    <row r="4" spans="1:6" ht="18.75" customHeight="1" x14ac:dyDescent="0.25">
      <c r="A4" s="2403" t="s">
        <v>1791</v>
      </c>
      <c r="B4" s="2404"/>
      <c r="C4" s="2404"/>
      <c r="D4" s="2404"/>
      <c r="E4" s="2404"/>
      <c r="F4" s="2405"/>
    </row>
    <row r="5" spans="1:6" x14ac:dyDescent="0.25">
      <c r="A5" s="2406"/>
      <c r="B5" s="2407"/>
      <c r="C5" s="2407"/>
      <c r="D5" s="2407"/>
      <c r="E5" s="2407"/>
      <c r="F5" s="2408"/>
    </row>
    <row r="6" spans="1:6" ht="18.75" x14ac:dyDescent="0.25">
      <c r="A6" s="1849" t="s">
        <v>1792</v>
      </c>
      <c r="B6" s="1850"/>
      <c r="C6" s="1851"/>
      <c r="D6" s="1851"/>
      <c r="E6" s="1851"/>
      <c r="F6" s="1852"/>
    </row>
    <row r="7" spans="1:6" ht="47.25" customHeight="1" x14ac:dyDescent="0.25">
      <c r="A7" s="2409" t="s">
        <v>1981</v>
      </c>
      <c r="B7" s="2410"/>
      <c r="C7" s="2410"/>
      <c r="D7" s="2410"/>
      <c r="E7" s="2410"/>
      <c r="F7" s="2411"/>
    </row>
    <row r="8" spans="1:6" ht="20.25" customHeight="1" x14ac:dyDescent="0.25">
      <c r="A8" s="1883" t="s">
        <v>1983</v>
      </c>
      <c r="B8" s="1884"/>
      <c r="C8" s="1884"/>
      <c r="D8" s="1884"/>
      <c r="E8" s="1853"/>
      <c r="F8" s="1854"/>
    </row>
    <row r="9" spans="1:6" ht="18" customHeight="1" x14ac:dyDescent="0.25">
      <c r="A9" s="1855" t="s">
        <v>1980</v>
      </c>
      <c r="B9" s="1857"/>
      <c r="C9" s="1857"/>
      <c r="D9" s="1857"/>
      <c r="E9" s="1853"/>
      <c r="F9" s="1854"/>
    </row>
    <row r="10" spans="1:6" ht="15.75" customHeight="1" x14ac:dyDescent="0.25">
      <c r="A10" s="2412" t="s">
        <v>1977</v>
      </c>
      <c r="B10" s="2413"/>
      <c r="C10" s="2413"/>
      <c r="D10" s="2413"/>
      <c r="E10" s="2413"/>
      <c r="F10" s="2414"/>
    </row>
    <row r="11" spans="1:6" ht="33" customHeight="1" x14ac:dyDescent="0.25">
      <c r="A11" s="2409" t="s">
        <v>1982</v>
      </c>
      <c r="B11" s="2410"/>
      <c r="C11" s="2410"/>
      <c r="D11" s="2410"/>
      <c r="E11" s="2410"/>
      <c r="F11" s="2411"/>
    </row>
    <row r="12" spans="1:6" ht="15" customHeight="1" x14ac:dyDescent="0.25">
      <c r="A12" s="1855" t="s">
        <v>1978</v>
      </c>
      <c r="B12" s="1856"/>
      <c r="C12" s="1857"/>
      <c r="D12" s="1857"/>
      <c r="E12" s="1857"/>
      <c r="F12" s="1858"/>
    </row>
    <row r="13" spans="1:6" ht="17.25" customHeight="1" x14ac:dyDescent="0.25">
      <c r="A13" s="2409" t="s">
        <v>1979</v>
      </c>
      <c r="B13" s="2410"/>
      <c r="C13" s="2410"/>
      <c r="D13" s="2410"/>
      <c r="E13" s="2410"/>
      <c r="F13" s="2411"/>
    </row>
    <row r="14" spans="1:6" ht="15" customHeight="1" x14ac:dyDescent="0.25">
      <c r="A14" s="1855" t="s">
        <v>1796</v>
      </c>
      <c r="B14" s="1856"/>
      <c r="C14" s="1857"/>
      <c r="D14" s="1857"/>
      <c r="E14" s="1857"/>
      <c r="F14" s="1858"/>
    </row>
    <row r="15" spans="1:6" ht="32.25" customHeight="1" x14ac:dyDescent="0.25">
      <c r="A15" s="240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1"/>
      <c r="C15" s="2401"/>
      <c r="D15" s="2401"/>
      <c r="E15" s="2401"/>
      <c r="F15" s="2402"/>
    </row>
    <row r="16" spans="1:6" ht="61.5" customHeight="1" x14ac:dyDescent="0.25">
      <c r="A16" s="1859" t="s">
        <v>1797</v>
      </c>
      <c r="B16" s="1860" t="s">
        <v>1798</v>
      </c>
      <c r="C16" s="1859" t="s">
        <v>1799</v>
      </c>
      <c r="D16" s="1861" t="s">
        <v>1800</v>
      </c>
      <c r="E16" s="1861" t="s">
        <v>1801</v>
      </c>
      <c r="F16" s="1861" t="s">
        <v>1802</v>
      </c>
    </row>
    <row r="17" spans="1:6" x14ac:dyDescent="0.25">
      <c r="A17" s="1862" t="s">
        <v>1804</v>
      </c>
      <c r="B17" s="1888" t="s">
        <v>1795</v>
      </c>
      <c r="C17" s="1863" t="s">
        <v>1793</v>
      </c>
      <c r="D17" s="1864">
        <v>500000</v>
      </c>
      <c r="E17" s="1864" t="str">
        <f>IF(D17&lt;25000,D17,"25,000")</f>
        <v>25,000</v>
      </c>
      <c r="F17" s="1865">
        <f>IF(D17&gt;=25000,(D17-E17),"0")</f>
        <v>475000</v>
      </c>
    </row>
    <row r="18" spans="1:6" x14ac:dyDescent="0.25">
      <c r="A18" s="2055" t="s">
        <v>2109</v>
      </c>
      <c r="B18" s="2048">
        <v>102100300</v>
      </c>
      <c r="C18" s="2053" t="s">
        <v>2090</v>
      </c>
      <c r="D18" s="2049">
        <v>114111</v>
      </c>
      <c r="E18" s="1887" t="str">
        <f t="shared" ref="E18:E77" si="0">IF(D18&lt;25000,D18,"25,000")</f>
        <v>25,000</v>
      </c>
      <c r="F18" s="1887">
        <f t="shared" ref="F18:F77" si="1">IF(D18&gt;=25000,(D18-E18),"0")</f>
        <v>89111</v>
      </c>
    </row>
    <row r="19" spans="1:6" x14ac:dyDescent="0.25">
      <c r="A19" s="2055" t="s">
        <v>2110</v>
      </c>
      <c r="B19" s="2048">
        <v>102540300</v>
      </c>
      <c r="C19" s="2053" t="s">
        <v>2091</v>
      </c>
      <c r="D19" s="2049">
        <v>85040</v>
      </c>
      <c r="E19" s="1887" t="str">
        <f t="shared" si="0"/>
        <v>25,000</v>
      </c>
      <c r="F19" s="1887">
        <f t="shared" si="1"/>
        <v>60040</v>
      </c>
    </row>
    <row r="20" spans="1:6" x14ac:dyDescent="0.25">
      <c r="A20" s="2055" t="s">
        <v>2110</v>
      </c>
      <c r="B20" s="2048">
        <v>102540300</v>
      </c>
      <c r="C20" s="2053" t="s">
        <v>2092</v>
      </c>
      <c r="D20" s="2049">
        <v>121895</v>
      </c>
      <c r="E20" s="1887" t="str">
        <f t="shared" si="0"/>
        <v>25,000</v>
      </c>
      <c r="F20" s="1887">
        <f t="shared" si="1"/>
        <v>96895</v>
      </c>
    </row>
    <row r="21" spans="1:6" x14ac:dyDescent="0.25">
      <c r="A21" s="2055" t="s">
        <v>2109</v>
      </c>
      <c r="B21" s="2048">
        <v>102100300</v>
      </c>
      <c r="C21" s="2053" t="s">
        <v>2093</v>
      </c>
      <c r="D21" s="2049">
        <v>27786</v>
      </c>
      <c r="E21" s="1887" t="str">
        <f t="shared" si="0"/>
        <v>25,000</v>
      </c>
      <c r="F21" s="1887">
        <f t="shared" si="1"/>
        <v>2786</v>
      </c>
    </row>
    <row r="22" spans="1:6" x14ac:dyDescent="0.25">
      <c r="A22" s="2055" t="s">
        <v>2110</v>
      </c>
      <c r="B22" s="2048">
        <v>102520300</v>
      </c>
      <c r="C22" s="2054" t="s">
        <v>2094</v>
      </c>
      <c r="D22" s="2049">
        <v>60607</v>
      </c>
      <c r="E22" s="1887" t="str">
        <f t="shared" si="0"/>
        <v>25,000</v>
      </c>
      <c r="F22" s="1887">
        <f t="shared" si="1"/>
        <v>35607</v>
      </c>
    </row>
    <row r="23" spans="1:6" x14ac:dyDescent="0.25">
      <c r="A23" s="2055" t="s">
        <v>2111</v>
      </c>
      <c r="B23" s="2048">
        <v>102660300</v>
      </c>
      <c r="C23" s="2053" t="s">
        <v>2096</v>
      </c>
      <c r="D23" s="2049">
        <v>46777</v>
      </c>
      <c r="E23" s="1887" t="str">
        <f t="shared" si="0"/>
        <v>25,000</v>
      </c>
      <c r="F23" s="1887">
        <f t="shared" si="1"/>
        <v>21777</v>
      </c>
    </row>
    <row r="24" spans="1:6" x14ac:dyDescent="0.25">
      <c r="A24" s="2055" t="s">
        <v>2111</v>
      </c>
      <c r="B24" s="2048" t="s">
        <v>2095</v>
      </c>
      <c r="C24" s="2053" t="s">
        <v>2097</v>
      </c>
      <c r="D24" s="2049">
        <v>26482</v>
      </c>
      <c r="E24" s="1887" t="str">
        <f t="shared" si="0"/>
        <v>25,000</v>
      </c>
      <c r="F24" s="1887">
        <f t="shared" si="1"/>
        <v>1482</v>
      </c>
    </row>
    <row r="25" spans="1:6" x14ac:dyDescent="0.25">
      <c r="A25" s="2055" t="s">
        <v>2112</v>
      </c>
      <c r="B25" s="2048">
        <v>102660400</v>
      </c>
      <c r="C25" s="2053" t="s">
        <v>2098</v>
      </c>
      <c r="D25" s="2049">
        <v>69021</v>
      </c>
      <c r="E25" s="1887" t="str">
        <f t="shared" si="0"/>
        <v>25,000</v>
      </c>
      <c r="F25" s="1887">
        <f t="shared" si="1"/>
        <v>44021</v>
      </c>
    </row>
    <row r="26" spans="1:6" x14ac:dyDescent="0.25">
      <c r="A26" s="2055" t="s">
        <v>2113</v>
      </c>
      <c r="B26" s="2048">
        <v>202540400</v>
      </c>
      <c r="C26" s="2053" t="s">
        <v>2099</v>
      </c>
      <c r="D26" s="2049">
        <v>61586</v>
      </c>
      <c r="E26" s="1887" t="str">
        <f t="shared" si="0"/>
        <v>25,000</v>
      </c>
      <c r="F26" s="1887">
        <f t="shared" si="1"/>
        <v>36586</v>
      </c>
    </row>
    <row r="27" spans="1:6" x14ac:dyDescent="0.25">
      <c r="A27" s="2055" t="s">
        <v>2114</v>
      </c>
      <c r="B27" s="2048">
        <v>202540300</v>
      </c>
      <c r="C27" s="2053" t="s">
        <v>2100</v>
      </c>
      <c r="D27" s="2049">
        <v>53484</v>
      </c>
      <c r="E27" s="1887" t="str">
        <f t="shared" si="0"/>
        <v>25,000</v>
      </c>
      <c r="F27" s="1887">
        <f t="shared" si="1"/>
        <v>28484</v>
      </c>
    </row>
    <row r="28" spans="1:6" x14ac:dyDescent="0.25">
      <c r="A28" s="2055" t="s">
        <v>2114</v>
      </c>
      <c r="B28" s="2048">
        <v>202540300</v>
      </c>
      <c r="C28" s="2053" t="s">
        <v>2101</v>
      </c>
      <c r="D28" s="2049">
        <v>53950</v>
      </c>
      <c r="E28" s="1887" t="str">
        <f t="shared" si="0"/>
        <v>25,000</v>
      </c>
      <c r="F28" s="1887">
        <f t="shared" si="1"/>
        <v>28950</v>
      </c>
    </row>
    <row r="29" spans="1:6" x14ac:dyDescent="0.25">
      <c r="A29" s="2055" t="s">
        <v>2115</v>
      </c>
      <c r="B29" s="2048">
        <v>402550300</v>
      </c>
      <c r="C29" s="2053" t="s">
        <v>2102</v>
      </c>
      <c r="D29" s="2049">
        <v>284749</v>
      </c>
      <c r="E29" s="1887" t="str">
        <f t="shared" si="0"/>
        <v>25,000</v>
      </c>
      <c r="F29" s="1887">
        <f t="shared" si="1"/>
        <v>259749</v>
      </c>
    </row>
    <row r="30" spans="1:6" x14ac:dyDescent="0.25">
      <c r="A30" s="2055" t="s">
        <v>2115</v>
      </c>
      <c r="B30" s="2048">
        <v>402550300</v>
      </c>
      <c r="C30" s="2053" t="s">
        <v>2103</v>
      </c>
      <c r="D30" s="2049">
        <v>50319</v>
      </c>
      <c r="E30" s="1887" t="str">
        <f t="shared" si="0"/>
        <v>25,000</v>
      </c>
      <c r="F30" s="1887">
        <f t="shared" si="1"/>
        <v>25319</v>
      </c>
    </row>
    <row r="31" spans="1:6" x14ac:dyDescent="0.25">
      <c r="A31" s="2055" t="s">
        <v>2115</v>
      </c>
      <c r="B31" s="2048">
        <v>402550300</v>
      </c>
      <c r="C31" s="2053" t="s">
        <v>2104</v>
      </c>
      <c r="D31" s="2049">
        <v>34148</v>
      </c>
      <c r="E31" s="1887" t="str">
        <f t="shared" si="0"/>
        <v>25,000</v>
      </c>
      <c r="F31" s="1887">
        <f t="shared" si="1"/>
        <v>9148</v>
      </c>
    </row>
    <row r="32" spans="1:6" x14ac:dyDescent="0.25">
      <c r="A32" s="2055" t="s">
        <v>2115</v>
      </c>
      <c r="B32" s="2048">
        <v>402550300</v>
      </c>
      <c r="C32" s="2053" t="s">
        <v>2105</v>
      </c>
      <c r="D32" s="2049">
        <v>74690</v>
      </c>
      <c r="E32" s="1887" t="str">
        <f t="shared" si="0"/>
        <v>25,000</v>
      </c>
      <c r="F32" s="1887">
        <f t="shared" si="1"/>
        <v>49690</v>
      </c>
    </row>
    <row r="33" spans="1:6" x14ac:dyDescent="0.25">
      <c r="A33" s="2055" t="s">
        <v>2116</v>
      </c>
      <c r="B33" s="2048">
        <v>402550400</v>
      </c>
      <c r="C33" s="2054" t="s">
        <v>2106</v>
      </c>
      <c r="D33" s="2049">
        <v>77034</v>
      </c>
      <c r="E33" s="1887" t="str">
        <f t="shared" si="0"/>
        <v>25,000</v>
      </c>
      <c r="F33" s="1887">
        <f t="shared" si="1"/>
        <v>52034</v>
      </c>
    </row>
    <row r="34" spans="1:6" x14ac:dyDescent="0.25">
      <c r="A34" s="2056" t="s">
        <v>2107</v>
      </c>
      <c r="B34" s="1889">
        <v>101000400</v>
      </c>
      <c r="C34" s="2051" t="s">
        <v>2086</v>
      </c>
      <c r="D34" s="2050">
        <v>26371</v>
      </c>
      <c r="E34" s="1887" t="str">
        <f t="shared" si="0"/>
        <v>25,000</v>
      </c>
      <c r="F34" s="1887">
        <f t="shared" si="1"/>
        <v>1371</v>
      </c>
    </row>
    <row r="35" spans="1:6" x14ac:dyDescent="0.25">
      <c r="A35" s="2056" t="s">
        <v>2107</v>
      </c>
      <c r="B35" s="1889">
        <v>101000400</v>
      </c>
      <c r="C35" s="2051" t="s">
        <v>2087</v>
      </c>
      <c r="D35" s="2050">
        <v>31315</v>
      </c>
      <c r="E35" s="1887" t="str">
        <f t="shared" si="0"/>
        <v>25,000</v>
      </c>
      <c r="F35" s="1887">
        <f t="shared" si="1"/>
        <v>6315</v>
      </c>
    </row>
    <row r="36" spans="1:6" x14ac:dyDescent="0.25">
      <c r="A36" s="2056" t="s">
        <v>2107</v>
      </c>
      <c r="B36" s="1889">
        <v>101000400</v>
      </c>
      <c r="C36" s="2051" t="s">
        <v>2088</v>
      </c>
      <c r="D36" s="2050">
        <v>78673</v>
      </c>
      <c r="E36" s="1887" t="str">
        <f t="shared" si="0"/>
        <v>25,000</v>
      </c>
      <c r="F36" s="1887">
        <f t="shared" si="1"/>
        <v>53673</v>
      </c>
    </row>
    <row r="37" spans="1:6" x14ac:dyDescent="0.25">
      <c r="A37" s="2055" t="s">
        <v>2108</v>
      </c>
      <c r="B37" s="1889">
        <v>101000400</v>
      </c>
      <c r="C37" s="2052" t="s">
        <v>2089</v>
      </c>
      <c r="D37" s="2049">
        <v>55148</v>
      </c>
      <c r="E37" s="1887" t="str">
        <f t="shared" si="0"/>
        <v>25,000</v>
      </c>
      <c r="F37" s="1887">
        <f t="shared" si="1"/>
        <v>30148</v>
      </c>
    </row>
    <row r="38" spans="1:6" x14ac:dyDescent="0.25">
      <c r="A38" s="1869"/>
      <c r="B38" s="1890"/>
      <c r="C38" s="1870"/>
      <c r="D38" s="1868"/>
      <c r="E38" s="1887">
        <f t="shared" si="0"/>
        <v>0</v>
      </c>
      <c r="F38" s="1887" t="str">
        <f t="shared" si="1"/>
        <v>0</v>
      </c>
    </row>
    <row r="39" spans="1:6" x14ac:dyDescent="0.25">
      <c r="A39" s="1869"/>
      <c r="B39" s="1890"/>
      <c r="C39" s="1870"/>
      <c r="D39" s="1868"/>
      <c r="E39" s="1887">
        <f t="shared" si="0"/>
        <v>0</v>
      </c>
      <c r="F39" s="1887" t="str">
        <f t="shared" si="1"/>
        <v>0</v>
      </c>
    </row>
    <row r="40" spans="1:6" x14ac:dyDescent="0.25">
      <c r="A40" s="1869"/>
      <c r="B40" s="1890"/>
      <c r="C40" s="1870"/>
      <c r="D40" s="1868"/>
      <c r="E40" s="1887">
        <f t="shared" si="0"/>
        <v>0</v>
      </c>
      <c r="F40" s="1887" t="str">
        <f t="shared" si="1"/>
        <v>0</v>
      </c>
    </row>
    <row r="41" spans="1:6" x14ac:dyDescent="0.25">
      <c r="A41" s="1869"/>
      <c r="B41" s="1890"/>
      <c r="C41" s="1870"/>
      <c r="D41" s="1868"/>
      <c r="E41" s="1887">
        <f t="shared" si="0"/>
        <v>0</v>
      </c>
      <c r="F41" s="1887" t="str">
        <f t="shared" si="1"/>
        <v>0</v>
      </c>
    </row>
    <row r="42" spans="1:6" x14ac:dyDescent="0.25">
      <c r="A42" s="1869"/>
      <c r="B42" s="1890"/>
      <c r="C42" s="1870"/>
      <c r="D42" s="1868"/>
      <c r="E42" s="1887">
        <f t="shared" si="0"/>
        <v>0</v>
      </c>
      <c r="F42" s="1887" t="str">
        <f t="shared" si="1"/>
        <v>0</v>
      </c>
    </row>
    <row r="43" spans="1:6" x14ac:dyDescent="0.25">
      <c r="A43" s="1869"/>
      <c r="B43" s="1890"/>
      <c r="C43" s="1870"/>
      <c r="D43" s="1868"/>
      <c r="E43" s="1887">
        <f t="shared" si="0"/>
        <v>0</v>
      </c>
      <c r="F43" s="1887" t="str">
        <f t="shared" si="1"/>
        <v>0</v>
      </c>
    </row>
    <row r="44" spans="1:6" x14ac:dyDescent="0.25">
      <c r="A44" s="1869"/>
      <c r="B44" s="1890"/>
      <c r="C44" s="1870"/>
      <c r="D44" s="1868"/>
      <c r="E44" s="1887">
        <f t="shared" si="0"/>
        <v>0</v>
      </c>
      <c r="F44" s="1887" t="str">
        <f t="shared" si="1"/>
        <v>0</v>
      </c>
    </row>
    <row r="45" spans="1:6" x14ac:dyDescent="0.25">
      <c r="A45" s="1869"/>
      <c r="B45" s="1890"/>
      <c r="C45" s="1870"/>
      <c r="D45" s="1868"/>
      <c r="E45" s="1887">
        <f t="shared" si="0"/>
        <v>0</v>
      </c>
      <c r="F45" s="1887" t="str">
        <f t="shared" si="1"/>
        <v>0</v>
      </c>
    </row>
    <row r="46" spans="1:6" x14ac:dyDescent="0.25">
      <c r="A46" s="1869"/>
      <c r="B46" s="1890"/>
      <c r="C46" s="1870"/>
      <c r="D46" s="1868"/>
      <c r="E46" s="1887">
        <f t="shared" si="0"/>
        <v>0</v>
      </c>
      <c r="F46" s="1887" t="str">
        <f t="shared" si="1"/>
        <v>0</v>
      </c>
    </row>
    <row r="47" spans="1:6" x14ac:dyDescent="0.25">
      <c r="A47" s="1869"/>
      <c r="B47" s="1890"/>
      <c r="C47" s="1870"/>
      <c r="D47" s="1868"/>
      <c r="E47" s="1887">
        <f t="shared" si="0"/>
        <v>0</v>
      </c>
      <c r="F47" s="1887" t="str">
        <f t="shared" si="1"/>
        <v>0</v>
      </c>
    </row>
    <row r="48" spans="1:6" x14ac:dyDescent="0.25">
      <c r="A48" s="1869"/>
      <c r="B48" s="1890"/>
      <c r="C48" s="1870"/>
      <c r="D48" s="1868"/>
      <c r="E48" s="1887">
        <f t="shared" si="0"/>
        <v>0</v>
      </c>
      <c r="F48" s="1887" t="str">
        <f t="shared" si="1"/>
        <v>0</v>
      </c>
    </row>
    <row r="49" spans="1:6" x14ac:dyDescent="0.25">
      <c r="A49" s="1869"/>
      <c r="B49" s="1890"/>
      <c r="C49" s="1870"/>
      <c r="D49" s="1868"/>
      <c r="E49" s="1887">
        <f t="shared" si="0"/>
        <v>0</v>
      </c>
      <c r="F49" s="1887" t="str">
        <f t="shared" si="1"/>
        <v>0</v>
      </c>
    </row>
    <row r="50" spans="1:6" x14ac:dyDescent="0.25">
      <c r="A50" s="1869"/>
      <c r="B50" s="1890"/>
      <c r="C50" s="1870"/>
      <c r="D50" s="1868"/>
      <c r="E50" s="1887">
        <f t="shared" si="0"/>
        <v>0</v>
      </c>
      <c r="F50" s="1887" t="str">
        <f t="shared" si="1"/>
        <v>0</v>
      </c>
    </row>
    <row r="51" spans="1:6" x14ac:dyDescent="0.25">
      <c r="A51" s="1869"/>
      <c r="B51" s="1890"/>
      <c r="C51" s="1870"/>
      <c r="D51" s="1868"/>
      <c r="E51" s="1887">
        <f t="shared" si="0"/>
        <v>0</v>
      </c>
      <c r="F51" s="1887" t="str">
        <f t="shared" si="1"/>
        <v>0</v>
      </c>
    </row>
    <row r="52" spans="1:6" x14ac:dyDescent="0.25">
      <c r="A52" s="1869"/>
      <c r="B52" s="1890"/>
      <c r="C52" s="1870"/>
      <c r="D52" s="1868"/>
      <c r="E52" s="1887">
        <f t="shared" si="0"/>
        <v>0</v>
      </c>
      <c r="F52" s="1887" t="str">
        <f t="shared" si="1"/>
        <v>0</v>
      </c>
    </row>
    <row r="53" spans="1:6" x14ac:dyDescent="0.25">
      <c r="A53" s="1869"/>
      <c r="B53" s="1890"/>
      <c r="C53" s="1870"/>
      <c r="D53" s="1868"/>
      <c r="E53" s="1887">
        <f t="shared" si="0"/>
        <v>0</v>
      </c>
      <c r="F53" s="1887" t="str">
        <f t="shared" si="1"/>
        <v>0</v>
      </c>
    </row>
    <row r="54" spans="1:6" x14ac:dyDescent="0.25">
      <c r="A54" s="1869"/>
      <c r="B54" s="1890"/>
      <c r="C54" s="1870"/>
      <c r="D54" s="1868"/>
      <c r="E54" s="1887">
        <f t="shared" si="0"/>
        <v>0</v>
      </c>
      <c r="F54" s="1887" t="str">
        <f t="shared" si="1"/>
        <v>0</v>
      </c>
    </row>
    <row r="55" spans="1:6" x14ac:dyDescent="0.25">
      <c r="A55" s="1869"/>
      <c r="B55" s="1890"/>
      <c r="C55" s="1870"/>
      <c r="D55" s="1868"/>
      <c r="E55" s="1887">
        <f t="shared" si="0"/>
        <v>0</v>
      </c>
      <c r="F55" s="1887" t="str">
        <f t="shared" si="1"/>
        <v>0</v>
      </c>
    </row>
    <row r="56" spans="1:6" x14ac:dyDescent="0.25">
      <c r="A56" s="1869"/>
      <c r="B56" s="1890"/>
      <c r="C56" s="1870"/>
      <c r="D56" s="1868"/>
      <c r="E56" s="1887">
        <f t="shared" si="0"/>
        <v>0</v>
      </c>
      <c r="F56" s="1887" t="str">
        <f t="shared" si="1"/>
        <v>0</v>
      </c>
    </row>
    <row r="57" spans="1:6" x14ac:dyDescent="0.25">
      <c r="A57" s="1869"/>
      <c r="B57" s="1890"/>
      <c r="C57" s="1870"/>
      <c r="D57" s="1868"/>
      <c r="E57" s="1887">
        <f t="shared" si="0"/>
        <v>0</v>
      </c>
      <c r="F57" s="1887" t="str">
        <f t="shared" si="1"/>
        <v>0</v>
      </c>
    </row>
    <row r="58" spans="1:6" x14ac:dyDescent="0.25">
      <c r="A58" s="1869"/>
      <c r="B58" s="1890"/>
      <c r="C58" s="1870"/>
      <c r="D58" s="1868"/>
      <c r="E58" s="1887">
        <f t="shared" si="0"/>
        <v>0</v>
      </c>
      <c r="F58" s="1887" t="str">
        <f t="shared" si="1"/>
        <v>0</v>
      </c>
    </row>
    <row r="59" spans="1:6" x14ac:dyDescent="0.25">
      <c r="A59" s="1869"/>
      <c r="B59" s="1890"/>
      <c r="C59" s="1870"/>
      <c r="D59" s="1868"/>
      <c r="E59" s="1887">
        <f t="shared" si="0"/>
        <v>0</v>
      </c>
      <c r="F59" s="1887" t="str">
        <f t="shared" si="1"/>
        <v>0</v>
      </c>
    </row>
    <row r="60" spans="1:6" x14ac:dyDescent="0.25">
      <c r="A60" s="1869"/>
      <c r="B60" s="1890"/>
      <c r="C60" s="1870"/>
      <c r="D60" s="1868"/>
      <c r="E60" s="1887">
        <f t="shared" si="0"/>
        <v>0</v>
      </c>
      <c r="F60" s="1887" t="str">
        <f t="shared" si="1"/>
        <v>0</v>
      </c>
    </row>
    <row r="61" spans="1:6" x14ac:dyDescent="0.25">
      <c r="A61" s="1866"/>
      <c r="B61" s="1890"/>
      <c r="C61" s="1867"/>
      <c r="D61" s="1868"/>
      <c r="E61" s="1887">
        <f t="shared" si="0"/>
        <v>0</v>
      </c>
      <c r="F61" s="1887" t="str">
        <f t="shared" si="1"/>
        <v>0</v>
      </c>
    </row>
    <row r="62" spans="1:6" x14ac:dyDescent="0.25">
      <c r="A62" s="1869"/>
      <c r="B62" s="1890"/>
      <c r="C62" s="1870"/>
      <c r="D62" s="1868"/>
      <c r="E62" s="1887">
        <f t="shared" si="0"/>
        <v>0</v>
      </c>
      <c r="F62" s="1887" t="str">
        <f t="shared" si="1"/>
        <v>0</v>
      </c>
    </row>
    <row r="63" spans="1:6" x14ac:dyDescent="0.25">
      <c r="A63" s="1869"/>
      <c r="B63" s="1890"/>
      <c r="C63" s="1870"/>
      <c r="D63" s="1868"/>
      <c r="E63" s="1887">
        <f t="shared" si="0"/>
        <v>0</v>
      </c>
      <c r="F63" s="1887" t="str">
        <f t="shared" si="1"/>
        <v>0</v>
      </c>
    </row>
    <row r="64" spans="1:6" x14ac:dyDescent="0.25">
      <c r="A64" s="1869"/>
      <c r="B64" s="1890"/>
      <c r="C64" s="1870"/>
      <c r="D64" s="1868"/>
      <c r="E64" s="1887">
        <f t="shared" si="0"/>
        <v>0</v>
      </c>
      <c r="F64" s="1887" t="str">
        <f t="shared" si="1"/>
        <v>0</v>
      </c>
    </row>
    <row r="65" spans="1:6" x14ac:dyDescent="0.25">
      <c r="A65" s="1869"/>
      <c r="B65" s="1890"/>
      <c r="C65" s="1870"/>
      <c r="D65" s="1868"/>
      <c r="E65" s="1887">
        <f t="shared" si="0"/>
        <v>0</v>
      </c>
      <c r="F65" s="1887" t="str">
        <f t="shared" si="1"/>
        <v>0</v>
      </c>
    </row>
    <row r="66" spans="1:6" x14ac:dyDescent="0.25">
      <c r="A66" s="1869"/>
      <c r="B66" s="1890"/>
      <c r="C66" s="1870"/>
      <c r="D66" s="1868"/>
      <c r="E66" s="1887">
        <f t="shared" si="0"/>
        <v>0</v>
      </c>
      <c r="F66" s="1887" t="str">
        <f t="shared" si="1"/>
        <v>0</v>
      </c>
    </row>
    <row r="67" spans="1:6" x14ac:dyDescent="0.25">
      <c r="A67" s="1869"/>
      <c r="B67" s="1890"/>
      <c r="C67" s="1870"/>
      <c r="D67" s="1868"/>
      <c r="E67" s="1887">
        <f t="shared" si="0"/>
        <v>0</v>
      </c>
      <c r="F67" s="1887" t="str">
        <f t="shared" si="1"/>
        <v>0</v>
      </c>
    </row>
    <row r="68" spans="1:6" x14ac:dyDescent="0.25">
      <c r="A68" s="1869"/>
      <c r="B68" s="1890"/>
      <c r="C68" s="1870"/>
      <c r="D68" s="1868"/>
      <c r="E68" s="1887">
        <f t="shared" si="0"/>
        <v>0</v>
      </c>
      <c r="F68" s="1887" t="str">
        <f t="shared" si="1"/>
        <v>0</v>
      </c>
    </row>
    <row r="69" spans="1:6" x14ac:dyDescent="0.25">
      <c r="A69" s="1869"/>
      <c r="B69" s="1890"/>
      <c r="C69" s="1870"/>
      <c r="D69" s="1868"/>
      <c r="E69" s="1887">
        <f t="shared" si="0"/>
        <v>0</v>
      </c>
      <c r="F69" s="1887" t="str">
        <f t="shared" si="1"/>
        <v>0</v>
      </c>
    </row>
    <row r="70" spans="1:6" x14ac:dyDescent="0.25">
      <c r="A70" s="1869"/>
      <c r="B70" s="1890"/>
      <c r="C70" s="1870"/>
      <c r="D70" s="1868"/>
      <c r="E70" s="1887">
        <f t="shared" si="0"/>
        <v>0</v>
      </c>
      <c r="F70" s="1887" t="str">
        <f t="shared" si="1"/>
        <v>0</v>
      </c>
    </row>
    <row r="71" spans="1:6" x14ac:dyDescent="0.25">
      <c r="A71" s="1869"/>
      <c r="B71" s="1890"/>
      <c r="C71" s="1870"/>
      <c r="D71" s="1868"/>
      <c r="E71" s="1887">
        <f t="shared" si="0"/>
        <v>0</v>
      </c>
      <c r="F71" s="1887" t="str">
        <f t="shared" si="1"/>
        <v>0</v>
      </c>
    </row>
    <row r="72" spans="1:6" x14ac:dyDescent="0.25">
      <c r="A72" s="1869"/>
      <c r="B72" s="1890"/>
      <c r="C72" s="1870"/>
      <c r="D72" s="1868"/>
      <c r="E72" s="1887">
        <f t="shared" si="0"/>
        <v>0</v>
      </c>
      <c r="F72" s="1887" t="str">
        <f t="shared" si="1"/>
        <v>0</v>
      </c>
    </row>
    <row r="73" spans="1:6" x14ac:dyDescent="0.25">
      <c r="A73" s="1869"/>
      <c r="B73" s="1890"/>
      <c r="C73" s="1870"/>
      <c r="D73" s="1868"/>
      <c r="E73" s="1887">
        <f t="shared" si="0"/>
        <v>0</v>
      </c>
      <c r="F73" s="1887" t="str">
        <f t="shared" si="1"/>
        <v>0</v>
      </c>
    </row>
    <row r="74" spans="1:6" x14ac:dyDescent="0.25">
      <c r="A74" s="1869"/>
      <c r="B74" s="1890"/>
      <c r="C74" s="1870"/>
      <c r="D74" s="1868"/>
      <c r="E74" s="1887">
        <f t="shared" si="0"/>
        <v>0</v>
      </c>
      <c r="F74" s="1887" t="str">
        <f t="shared" si="1"/>
        <v>0</v>
      </c>
    </row>
    <row r="75" spans="1:6" x14ac:dyDescent="0.25">
      <c r="A75" s="1869"/>
      <c r="B75" s="1890"/>
      <c r="C75" s="1870"/>
      <c r="D75" s="1868"/>
      <c r="E75" s="1887">
        <f t="shared" si="0"/>
        <v>0</v>
      </c>
      <c r="F75" s="1887" t="str">
        <f t="shared" si="1"/>
        <v>0</v>
      </c>
    </row>
    <row r="76" spans="1:6" x14ac:dyDescent="0.25">
      <c r="A76" s="1869"/>
      <c r="B76" s="1890"/>
      <c r="C76" s="1870"/>
      <c r="D76" s="1868"/>
      <c r="E76" s="1887">
        <f t="shared" si="0"/>
        <v>0</v>
      </c>
      <c r="F76" s="1887" t="str">
        <f t="shared" si="1"/>
        <v>0</v>
      </c>
    </row>
    <row r="77" spans="1:6" x14ac:dyDescent="0.25">
      <c r="A77" s="1869"/>
      <c r="B77" s="1890"/>
      <c r="C77" s="1870"/>
      <c r="D77" s="1868"/>
      <c r="E77" s="1887">
        <f t="shared" si="0"/>
        <v>0</v>
      </c>
      <c r="F77" s="1887" t="str">
        <f t="shared" si="1"/>
        <v>0</v>
      </c>
    </row>
    <row r="78" spans="1:6" x14ac:dyDescent="0.25">
      <c r="A78" s="1869"/>
      <c r="B78" s="1890"/>
      <c r="C78" s="1870"/>
      <c r="D78" s="1868"/>
      <c r="E78" s="1887">
        <f t="shared" ref="E78:E137" si="2">IF(D78&lt;25000,D78,"25,000")</f>
        <v>0</v>
      </c>
      <c r="F78" s="1887" t="str">
        <f t="shared" ref="F78:F137" si="3">IF(D78&gt;=25000,(D78-E78),"0")</f>
        <v>0</v>
      </c>
    </row>
    <row r="79" spans="1:6" x14ac:dyDescent="0.25">
      <c r="A79" s="1869"/>
      <c r="B79" s="1890"/>
      <c r="C79" s="1870"/>
      <c r="D79" s="1868"/>
      <c r="E79" s="1887">
        <f t="shared" si="2"/>
        <v>0</v>
      </c>
      <c r="F79" s="1887" t="str">
        <f t="shared" si="3"/>
        <v>0</v>
      </c>
    </row>
    <row r="80" spans="1:6" x14ac:dyDescent="0.25">
      <c r="A80" s="1869"/>
      <c r="B80" s="1890"/>
      <c r="C80" s="1870"/>
      <c r="D80" s="1868"/>
      <c r="E80" s="1887">
        <f t="shared" si="2"/>
        <v>0</v>
      </c>
      <c r="F80" s="1887" t="str">
        <f t="shared" si="3"/>
        <v>0</v>
      </c>
    </row>
    <row r="81" spans="1:6" x14ac:dyDescent="0.25">
      <c r="A81" s="1869"/>
      <c r="B81" s="1890"/>
      <c r="C81" s="1870"/>
      <c r="D81" s="1868"/>
      <c r="E81" s="1887">
        <f t="shared" si="2"/>
        <v>0</v>
      </c>
      <c r="F81" s="1887" t="str">
        <f t="shared" si="3"/>
        <v>0</v>
      </c>
    </row>
    <row r="82" spans="1:6" x14ac:dyDescent="0.25">
      <c r="A82" s="1869"/>
      <c r="B82" s="1890"/>
      <c r="C82" s="1870"/>
      <c r="D82" s="1868"/>
      <c r="E82" s="1887">
        <f t="shared" si="2"/>
        <v>0</v>
      </c>
      <c r="F82" s="1887" t="str">
        <f t="shared" si="3"/>
        <v>0</v>
      </c>
    </row>
    <row r="83" spans="1:6" x14ac:dyDescent="0.25">
      <c r="A83" s="1869"/>
      <c r="B83" s="1890"/>
      <c r="C83" s="1870"/>
      <c r="D83" s="1868"/>
      <c r="E83" s="1887">
        <f t="shared" si="2"/>
        <v>0</v>
      </c>
      <c r="F83" s="1887" t="str">
        <f t="shared" si="3"/>
        <v>0</v>
      </c>
    </row>
    <row r="84" spans="1:6" x14ac:dyDescent="0.25">
      <c r="A84" s="1869"/>
      <c r="B84" s="1890"/>
      <c r="C84" s="1870"/>
      <c r="D84" s="1868"/>
      <c r="E84" s="1887">
        <f t="shared" si="2"/>
        <v>0</v>
      </c>
      <c r="F84" s="1887" t="str">
        <f t="shared" si="3"/>
        <v>0</v>
      </c>
    </row>
    <row r="85" spans="1:6" x14ac:dyDescent="0.25">
      <c r="A85" s="1869"/>
      <c r="B85" s="1890"/>
      <c r="C85" s="1870"/>
      <c r="D85" s="1868"/>
      <c r="E85" s="1887">
        <f t="shared" si="2"/>
        <v>0</v>
      </c>
      <c r="F85" s="1887" t="str">
        <f t="shared" si="3"/>
        <v>0</v>
      </c>
    </row>
    <row r="86" spans="1:6" x14ac:dyDescent="0.25">
      <c r="A86" s="1869"/>
      <c r="B86" s="1890"/>
      <c r="C86" s="1870"/>
      <c r="D86" s="1868"/>
      <c r="E86" s="1887">
        <f t="shared" si="2"/>
        <v>0</v>
      </c>
      <c r="F86" s="1887" t="str">
        <f t="shared" si="3"/>
        <v>0</v>
      </c>
    </row>
    <row r="87" spans="1:6" x14ac:dyDescent="0.25">
      <c r="A87" s="1869"/>
      <c r="B87" s="1890"/>
      <c r="C87" s="1870"/>
      <c r="D87" s="1868"/>
      <c r="E87" s="1887">
        <f t="shared" si="2"/>
        <v>0</v>
      </c>
      <c r="F87" s="1887" t="str">
        <f t="shared" si="3"/>
        <v>0</v>
      </c>
    </row>
    <row r="88" spans="1:6" x14ac:dyDescent="0.25">
      <c r="A88" s="1869"/>
      <c r="B88" s="1890"/>
      <c r="C88" s="1870"/>
      <c r="D88" s="1868"/>
      <c r="E88" s="1887">
        <f t="shared" si="2"/>
        <v>0</v>
      </c>
      <c r="F88" s="1887" t="str">
        <f t="shared" si="3"/>
        <v>0</v>
      </c>
    </row>
    <row r="89" spans="1:6" x14ac:dyDescent="0.25">
      <c r="A89" s="1869"/>
      <c r="B89" s="1890"/>
      <c r="C89" s="1870"/>
      <c r="D89" s="1868"/>
      <c r="E89" s="1887">
        <f t="shared" si="2"/>
        <v>0</v>
      </c>
      <c r="F89" s="1887" t="str">
        <f t="shared" si="3"/>
        <v>0</v>
      </c>
    </row>
    <row r="90" spans="1:6" x14ac:dyDescent="0.25">
      <c r="A90" s="1869"/>
      <c r="B90" s="1890"/>
      <c r="C90" s="1870"/>
      <c r="D90" s="1868"/>
      <c r="E90" s="1887">
        <f t="shared" si="2"/>
        <v>0</v>
      </c>
      <c r="F90" s="1887" t="str">
        <f t="shared" si="3"/>
        <v>0</v>
      </c>
    </row>
    <row r="91" spans="1:6" x14ac:dyDescent="0.25">
      <c r="A91" s="1869"/>
      <c r="B91" s="1890"/>
      <c r="C91" s="1870"/>
      <c r="D91" s="1868"/>
      <c r="E91" s="1887">
        <f t="shared" si="2"/>
        <v>0</v>
      </c>
      <c r="F91" s="1887" t="str">
        <f t="shared" si="3"/>
        <v>0</v>
      </c>
    </row>
    <row r="92" spans="1:6" x14ac:dyDescent="0.25">
      <c r="A92" s="1869"/>
      <c r="B92" s="1890"/>
      <c r="C92" s="1870"/>
      <c r="D92" s="1868"/>
      <c r="E92" s="1887">
        <f t="shared" si="2"/>
        <v>0</v>
      </c>
      <c r="F92" s="1887" t="str">
        <f t="shared" si="3"/>
        <v>0</v>
      </c>
    </row>
    <row r="93" spans="1:6" x14ac:dyDescent="0.25">
      <c r="A93" s="1869"/>
      <c r="B93" s="1890"/>
      <c r="C93" s="1870"/>
      <c r="D93" s="1868"/>
      <c r="E93" s="1887">
        <f t="shared" si="2"/>
        <v>0</v>
      </c>
      <c r="F93" s="1887" t="str">
        <f t="shared" si="3"/>
        <v>0</v>
      </c>
    </row>
    <row r="94" spans="1:6" x14ac:dyDescent="0.25">
      <c r="A94" s="1869"/>
      <c r="B94" s="1890"/>
      <c r="C94" s="1870"/>
      <c r="D94" s="1868"/>
      <c r="E94" s="1887">
        <f t="shared" si="2"/>
        <v>0</v>
      </c>
      <c r="F94" s="1887" t="str">
        <f t="shared" si="3"/>
        <v>0</v>
      </c>
    </row>
    <row r="95" spans="1:6" x14ac:dyDescent="0.25">
      <c r="A95" s="1869"/>
      <c r="B95" s="1890"/>
      <c r="C95" s="1870"/>
      <c r="D95" s="1868"/>
      <c r="E95" s="1887">
        <f t="shared" si="2"/>
        <v>0</v>
      </c>
      <c r="F95" s="1887" t="str">
        <f t="shared" si="3"/>
        <v>0</v>
      </c>
    </row>
    <row r="96" spans="1:6" x14ac:dyDescent="0.25">
      <c r="A96" s="1869"/>
      <c r="B96" s="1890"/>
      <c r="C96" s="1870"/>
      <c r="D96" s="1868"/>
      <c r="E96" s="1887">
        <f t="shared" si="2"/>
        <v>0</v>
      </c>
      <c r="F96" s="1887" t="str">
        <f t="shared" si="3"/>
        <v>0</v>
      </c>
    </row>
    <row r="97" spans="1:6" x14ac:dyDescent="0.25">
      <c r="A97" s="1869"/>
      <c r="B97" s="1890"/>
      <c r="C97" s="1870"/>
      <c r="D97" s="1868"/>
      <c r="E97" s="1887">
        <f t="shared" si="2"/>
        <v>0</v>
      </c>
      <c r="F97" s="1887" t="str">
        <f t="shared" si="3"/>
        <v>0</v>
      </c>
    </row>
    <row r="98" spans="1:6" x14ac:dyDescent="0.25">
      <c r="A98" s="1869"/>
      <c r="B98" s="1890"/>
      <c r="C98" s="1870"/>
      <c r="D98" s="1868"/>
      <c r="E98" s="1887">
        <f t="shared" si="2"/>
        <v>0</v>
      </c>
      <c r="F98" s="1887" t="str">
        <f t="shared" si="3"/>
        <v>0</v>
      </c>
    </row>
    <row r="99" spans="1:6" x14ac:dyDescent="0.25">
      <c r="A99" s="1869"/>
      <c r="B99" s="1890"/>
      <c r="C99" s="1870"/>
      <c r="D99" s="1868"/>
      <c r="E99" s="1887">
        <f t="shared" si="2"/>
        <v>0</v>
      </c>
      <c r="F99" s="1887" t="str">
        <f t="shared" si="3"/>
        <v>0</v>
      </c>
    </row>
    <row r="100" spans="1:6" x14ac:dyDescent="0.25">
      <c r="A100" s="1869"/>
      <c r="B100" s="1890"/>
      <c r="C100" s="1870"/>
      <c r="D100" s="1868"/>
      <c r="E100" s="1887">
        <f t="shared" si="2"/>
        <v>0</v>
      </c>
      <c r="F100" s="1887" t="str">
        <f t="shared" si="3"/>
        <v>0</v>
      </c>
    </row>
    <row r="101" spans="1:6" x14ac:dyDescent="0.25">
      <c r="A101" s="1869"/>
      <c r="B101" s="1890"/>
      <c r="C101" s="1870"/>
      <c r="D101" s="1868"/>
      <c r="E101" s="1887">
        <f t="shared" si="2"/>
        <v>0</v>
      </c>
      <c r="F101" s="1887" t="str">
        <f t="shared" si="3"/>
        <v>0</v>
      </c>
    </row>
    <row r="102" spans="1:6" x14ac:dyDescent="0.25">
      <c r="A102" s="1869"/>
      <c r="B102" s="1890"/>
      <c r="C102" s="1870"/>
      <c r="D102" s="1868"/>
      <c r="E102" s="1887">
        <f t="shared" si="2"/>
        <v>0</v>
      </c>
      <c r="F102" s="1887" t="str">
        <f t="shared" si="3"/>
        <v>0</v>
      </c>
    </row>
    <row r="103" spans="1:6" x14ac:dyDescent="0.25">
      <c r="A103" s="1869"/>
      <c r="B103" s="1890"/>
      <c r="C103" s="1870"/>
      <c r="D103" s="1868"/>
      <c r="E103" s="1887">
        <f t="shared" si="2"/>
        <v>0</v>
      </c>
      <c r="F103" s="1887" t="str">
        <f t="shared" si="3"/>
        <v>0</v>
      </c>
    </row>
    <row r="104" spans="1:6" x14ac:dyDescent="0.25">
      <c r="A104" s="1869"/>
      <c r="B104" s="1890"/>
      <c r="C104" s="1870"/>
      <c r="D104" s="1868"/>
      <c r="E104" s="1887">
        <f t="shared" si="2"/>
        <v>0</v>
      </c>
      <c r="F104" s="1887" t="str">
        <f t="shared" si="3"/>
        <v>0</v>
      </c>
    </row>
    <row r="105" spans="1:6" x14ac:dyDescent="0.25">
      <c r="A105" s="1869"/>
      <c r="B105" s="1890"/>
      <c r="C105" s="1870"/>
      <c r="D105" s="1868"/>
      <c r="E105" s="1887">
        <f t="shared" si="2"/>
        <v>0</v>
      </c>
      <c r="F105" s="1887" t="str">
        <f t="shared" si="3"/>
        <v>0</v>
      </c>
    </row>
    <row r="106" spans="1:6" x14ac:dyDescent="0.25">
      <c r="A106" s="1869"/>
      <c r="B106" s="1890"/>
      <c r="C106" s="1870"/>
      <c r="D106" s="1868"/>
      <c r="E106" s="1887">
        <f t="shared" si="2"/>
        <v>0</v>
      </c>
      <c r="F106" s="1887" t="str">
        <f t="shared" si="3"/>
        <v>0</v>
      </c>
    </row>
    <row r="107" spans="1:6" x14ac:dyDescent="0.25">
      <c r="A107" s="1869"/>
      <c r="B107" s="1890"/>
      <c r="C107" s="1870"/>
      <c r="D107" s="1868"/>
      <c r="E107" s="1887">
        <f t="shared" si="2"/>
        <v>0</v>
      </c>
      <c r="F107" s="1887" t="str">
        <f t="shared" si="3"/>
        <v>0</v>
      </c>
    </row>
    <row r="108" spans="1:6" x14ac:dyDescent="0.25">
      <c r="A108" s="1869"/>
      <c r="B108" s="1890"/>
      <c r="C108" s="1870"/>
      <c r="D108" s="1868"/>
      <c r="E108" s="1887">
        <f t="shared" si="2"/>
        <v>0</v>
      </c>
      <c r="F108" s="1887" t="str">
        <f t="shared" si="3"/>
        <v>0</v>
      </c>
    </row>
    <row r="109" spans="1:6" x14ac:dyDescent="0.25">
      <c r="A109" s="1869"/>
      <c r="B109" s="1890"/>
      <c r="C109" s="1870"/>
      <c r="D109" s="1868"/>
      <c r="E109" s="1887">
        <f t="shared" si="2"/>
        <v>0</v>
      </c>
      <c r="F109" s="1887" t="str">
        <f t="shared" si="3"/>
        <v>0</v>
      </c>
    </row>
    <row r="110" spans="1:6" x14ac:dyDescent="0.25">
      <c r="A110" s="1869"/>
      <c r="B110" s="1890"/>
      <c r="C110" s="1870"/>
      <c r="D110" s="1868"/>
      <c r="E110" s="1887">
        <f t="shared" si="2"/>
        <v>0</v>
      </c>
      <c r="F110" s="1887" t="str">
        <f t="shared" si="3"/>
        <v>0</v>
      </c>
    </row>
    <row r="111" spans="1:6" x14ac:dyDescent="0.25">
      <c r="A111" s="1869"/>
      <c r="B111" s="1890"/>
      <c r="C111" s="1870"/>
      <c r="D111" s="1868"/>
      <c r="E111" s="1887">
        <f t="shared" si="2"/>
        <v>0</v>
      </c>
      <c r="F111" s="1887" t="str">
        <f t="shared" si="3"/>
        <v>0</v>
      </c>
    </row>
    <row r="112" spans="1:6" x14ac:dyDescent="0.25">
      <c r="A112" s="1869"/>
      <c r="B112" s="1890"/>
      <c r="C112" s="1870"/>
      <c r="D112" s="1868"/>
      <c r="E112" s="1887">
        <f t="shared" si="2"/>
        <v>0</v>
      </c>
      <c r="F112" s="1887" t="str">
        <f t="shared" si="3"/>
        <v>0</v>
      </c>
    </row>
    <row r="113" spans="1:6" x14ac:dyDescent="0.25">
      <c r="A113" s="1869"/>
      <c r="B113" s="1890"/>
      <c r="C113" s="1870"/>
      <c r="D113" s="1868"/>
      <c r="E113" s="1887">
        <f t="shared" si="2"/>
        <v>0</v>
      </c>
      <c r="F113" s="1887" t="str">
        <f t="shared" si="3"/>
        <v>0</v>
      </c>
    </row>
    <row r="114" spans="1:6" x14ac:dyDescent="0.25">
      <c r="A114" s="1869"/>
      <c r="B114" s="1890"/>
      <c r="C114" s="1870"/>
      <c r="D114" s="1868"/>
      <c r="E114" s="1887">
        <f t="shared" si="2"/>
        <v>0</v>
      </c>
      <c r="F114" s="1887" t="str">
        <f t="shared" si="3"/>
        <v>0</v>
      </c>
    </row>
    <row r="115" spans="1:6" x14ac:dyDescent="0.25">
      <c r="A115" s="1869"/>
      <c r="B115" s="1890"/>
      <c r="C115" s="1870"/>
      <c r="D115" s="1868"/>
      <c r="E115" s="1887">
        <f t="shared" si="2"/>
        <v>0</v>
      </c>
      <c r="F115" s="1887" t="str">
        <f t="shared" si="3"/>
        <v>0</v>
      </c>
    </row>
    <row r="116" spans="1:6" x14ac:dyDescent="0.25">
      <c r="A116" s="1869"/>
      <c r="B116" s="1890"/>
      <c r="C116" s="1870"/>
      <c r="D116" s="1868"/>
      <c r="E116" s="1887">
        <f t="shared" si="2"/>
        <v>0</v>
      </c>
      <c r="F116" s="1887" t="str">
        <f t="shared" si="3"/>
        <v>0</v>
      </c>
    </row>
    <row r="117" spans="1:6" x14ac:dyDescent="0.25">
      <c r="A117" s="1869"/>
      <c r="B117" s="1890"/>
      <c r="C117" s="1870"/>
      <c r="D117" s="1868"/>
      <c r="E117" s="1887">
        <f t="shared" si="2"/>
        <v>0</v>
      </c>
      <c r="F117" s="1887" t="str">
        <f t="shared" si="3"/>
        <v>0</v>
      </c>
    </row>
    <row r="118" spans="1:6" x14ac:dyDescent="0.25">
      <c r="A118" s="1869"/>
      <c r="B118" s="1890"/>
      <c r="C118" s="1870"/>
      <c r="D118" s="1868"/>
      <c r="E118" s="1887">
        <f t="shared" si="2"/>
        <v>0</v>
      </c>
      <c r="F118" s="1887" t="str">
        <f t="shared" si="3"/>
        <v>0</v>
      </c>
    </row>
    <row r="119" spans="1:6" x14ac:dyDescent="0.25">
      <c r="A119" s="1869"/>
      <c r="B119" s="1890"/>
      <c r="C119" s="1870"/>
      <c r="D119" s="1868"/>
      <c r="E119" s="1887">
        <f t="shared" si="2"/>
        <v>0</v>
      </c>
      <c r="F119" s="1887" t="str">
        <f t="shared" si="3"/>
        <v>0</v>
      </c>
    </row>
    <row r="120" spans="1:6" x14ac:dyDescent="0.25">
      <c r="A120" s="1869"/>
      <c r="B120" s="1890"/>
      <c r="C120" s="1870"/>
      <c r="D120" s="1868"/>
      <c r="E120" s="1887">
        <f t="shared" si="2"/>
        <v>0</v>
      </c>
      <c r="F120" s="1887" t="str">
        <f t="shared" si="3"/>
        <v>0</v>
      </c>
    </row>
    <row r="121" spans="1:6" x14ac:dyDescent="0.25">
      <c r="A121" s="1869"/>
      <c r="B121" s="1890"/>
      <c r="C121" s="1870"/>
      <c r="D121" s="1868"/>
      <c r="E121" s="1887">
        <f t="shared" si="2"/>
        <v>0</v>
      </c>
      <c r="F121" s="1887" t="str">
        <f t="shared" si="3"/>
        <v>0</v>
      </c>
    </row>
    <row r="122" spans="1:6" x14ac:dyDescent="0.25">
      <c r="A122" s="1869"/>
      <c r="B122" s="1890"/>
      <c r="C122" s="1870"/>
      <c r="D122" s="1868"/>
      <c r="E122" s="1887">
        <f t="shared" si="2"/>
        <v>0</v>
      </c>
      <c r="F122" s="1887" t="str">
        <f t="shared" si="3"/>
        <v>0</v>
      </c>
    </row>
    <row r="123" spans="1:6" x14ac:dyDescent="0.25">
      <c r="A123" s="1869"/>
      <c r="B123" s="1890"/>
      <c r="C123" s="1870"/>
      <c r="D123" s="1868"/>
      <c r="E123" s="1887">
        <f t="shared" si="2"/>
        <v>0</v>
      </c>
      <c r="F123" s="1887" t="str">
        <f t="shared" si="3"/>
        <v>0</v>
      </c>
    </row>
    <row r="124" spans="1:6" x14ac:dyDescent="0.25">
      <c r="A124" s="1869"/>
      <c r="B124" s="1890"/>
      <c r="C124" s="1870"/>
      <c r="D124" s="1868"/>
      <c r="E124" s="1887">
        <f t="shared" si="2"/>
        <v>0</v>
      </c>
      <c r="F124" s="1887" t="str">
        <f t="shared" si="3"/>
        <v>0</v>
      </c>
    </row>
    <row r="125" spans="1:6" x14ac:dyDescent="0.25">
      <c r="A125" s="1869"/>
      <c r="B125" s="1890"/>
      <c r="C125" s="1870"/>
      <c r="D125" s="1868"/>
      <c r="E125" s="1887">
        <f t="shared" si="2"/>
        <v>0</v>
      </c>
      <c r="F125" s="1887" t="str">
        <f t="shared" si="3"/>
        <v>0</v>
      </c>
    </row>
    <row r="126" spans="1:6" x14ac:dyDescent="0.25">
      <c r="A126" s="1869"/>
      <c r="B126" s="1890"/>
      <c r="C126" s="1870"/>
      <c r="D126" s="1868"/>
      <c r="E126" s="1887">
        <f t="shared" si="2"/>
        <v>0</v>
      </c>
      <c r="F126" s="1887" t="str">
        <f t="shared" si="3"/>
        <v>0</v>
      </c>
    </row>
    <row r="127" spans="1:6" x14ac:dyDescent="0.25">
      <c r="A127" s="1869"/>
      <c r="B127" s="1890"/>
      <c r="C127" s="1870"/>
      <c r="D127" s="1868"/>
      <c r="E127" s="1887">
        <f t="shared" si="2"/>
        <v>0</v>
      </c>
      <c r="F127" s="1887" t="str">
        <f t="shared" si="3"/>
        <v>0</v>
      </c>
    </row>
    <row r="128" spans="1:6" x14ac:dyDescent="0.25">
      <c r="A128" s="1869"/>
      <c r="B128" s="1890"/>
      <c r="C128" s="1870"/>
      <c r="D128" s="1868"/>
      <c r="E128" s="1887">
        <f t="shared" si="2"/>
        <v>0</v>
      </c>
      <c r="F128" s="1887" t="str">
        <f t="shared" si="3"/>
        <v>0</v>
      </c>
    </row>
    <row r="129" spans="1:6" x14ac:dyDescent="0.25">
      <c r="A129" s="1869"/>
      <c r="B129" s="1890"/>
      <c r="C129" s="1870"/>
      <c r="D129" s="1868"/>
      <c r="E129" s="1887">
        <f t="shared" si="2"/>
        <v>0</v>
      </c>
      <c r="F129" s="1887" t="str">
        <f t="shared" si="3"/>
        <v>0</v>
      </c>
    </row>
    <row r="130" spans="1:6" x14ac:dyDescent="0.25">
      <c r="A130" s="1869"/>
      <c r="B130" s="1890"/>
      <c r="C130" s="1870"/>
      <c r="D130" s="1868"/>
      <c r="E130" s="1887">
        <f t="shared" si="2"/>
        <v>0</v>
      </c>
      <c r="F130" s="1887" t="str">
        <f t="shared" si="3"/>
        <v>0</v>
      </c>
    </row>
    <row r="131" spans="1:6" x14ac:dyDescent="0.25">
      <c r="A131" s="1869"/>
      <c r="B131" s="1890"/>
      <c r="C131" s="1870"/>
      <c r="D131" s="1868"/>
      <c r="E131" s="1887">
        <f t="shared" si="2"/>
        <v>0</v>
      </c>
      <c r="F131" s="1887" t="str">
        <f t="shared" si="3"/>
        <v>0</v>
      </c>
    </row>
    <row r="132" spans="1:6" x14ac:dyDescent="0.25">
      <c r="A132" s="1869"/>
      <c r="B132" s="1890"/>
      <c r="C132" s="1870"/>
      <c r="D132" s="1868"/>
      <c r="E132" s="1887">
        <f t="shared" si="2"/>
        <v>0</v>
      </c>
      <c r="F132" s="1887" t="str">
        <f t="shared" si="3"/>
        <v>0</v>
      </c>
    </row>
    <row r="133" spans="1:6" x14ac:dyDescent="0.25">
      <c r="A133" s="1869"/>
      <c r="B133" s="1890"/>
      <c r="C133" s="1870"/>
      <c r="D133" s="1868"/>
      <c r="E133" s="1887">
        <f t="shared" si="2"/>
        <v>0</v>
      </c>
      <c r="F133" s="1887" t="str">
        <f t="shared" si="3"/>
        <v>0</v>
      </c>
    </row>
    <row r="134" spans="1:6" x14ac:dyDescent="0.25">
      <c r="A134" s="1869"/>
      <c r="B134" s="1890"/>
      <c r="C134" s="1870"/>
      <c r="D134" s="1868"/>
      <c r="E134" s="1887">
        <f t="shared" si="2"/>
        <v>0</v>
      </c>
      <c r="F134" s="1887" t="str">
        <f t="shared" si="3"/>
        <v>0</v>
      </c>
    </row>
    <row r="135" spans="1:6" x14ac:dyDescent="0.25">
      <c r="A135" s="1869"/>
      <c r="B135" s="1890"/>
      <c r="C135" s="1870"/>
      <c r="D135" s="1868"/>
      <c r="E135" s="1887">
        <f t="shared" si="2"/>
        <v>0</v>
      </c>
      <c r="F135" s="1887" t="str">
        <f t="shared" si="3"/>
        <v>0</v>
      </c>
    </row>
    <row r="136" spans="1:6" x14ac:dyDescent="0.25">
      <c r="A136" s="1869"/>
      <c r="B136" s="1890"/>
      <c r="C136" s="1870"/>
      <c r="D136" s="1868"/>
      <c r="E136" s="1887">
        <f t="shared" si="2"/>
        <v>0</v>
      </c>
      <c r="F136" s="1887" t="str">
        <f t="shared" si="3"/>
        <v>0</v>
      </c>
    </row>
    <row r="137" spans="1:6" x14ac:dyDescent="0.25">
      <c r="A137" s="1869"/>
      <c r="B137" s="1891"/>
      <c r="C137" s="1870"/>
      <c r="D137" s="1868"/>
      <c r="E137" s="1887">
        <f t="shared" si="2"/>
        <v>0</v>
      </c>
      <c r="F137" s="1887" t="str">
        <f t="shared" si="3"/>
        <v>0</v>
      </c>
    </row>
    <row r="138" spans="1:6" x14ac:dyDescent="0.25">
      <c r="A138" s="1871" t="s">
        <v>155</v>
      </c>
      <c r="B138" s="1892"/>
      <c r="C138" s="1872"/>
      <c r="D138" s="1873">
        <f>SUM(D18:D137)</f>
        <v>1433186</v>
      </c>
      <c r="E138" s="1874">
        <f>SUM(E18:E137)</f>
        <v>0</v>
      </c>
      <c r="F138" s="1875">
        <f>SUM(F18:F137)</f>
        <v>933186</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1103</v>
      </c>
      <c r="B1" s="1363"/>
      <c r="C1" s="1364"/>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15" t="s">
        <v>1656</v>
      </c>
      <c r="B5" s="2416"/>
      <c r="C5" s="2416"/>
      <c r="D5" s="2416"/>
      <c r="E5" s="2416"/>
      <c r="F5" s="2416"/>
      <c r="G5" s="2417"/>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900</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1890</v>
      </c>
      <c r="B10" s="803"/>
      <c r="C10" s="807"/>
      <c r="D10" s="804"/>
      <c r="E10" s="1784">
        <v>200</v>
      </c>
      <c r="F10" s="805"/>
      <c r="G10" s="806"/>
      <c r="H10" s="157"/>
      <c r="I10" s="157"/>
    </row>
    <row r="11" spans="1:13" s="542" customFormat="1" ht="22.5" customHeight="1" x14ac:dyDescent="0.2">
      <c r="A11" s="242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1"/>
      <c r="C11" s="2421"/>
      <c r="D11" s="2422"/>
      <c r="E11" s="1785"/>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66" t="s">
        <v>528</v>
      </c>
      <c r="E17" s="1367"/>
      <c r="F17" s="1366" t="s">
        <v>429</v>
      </c>
      <c r="G17" s="1368"/>
      <c r="H17" s="157"/>
      <c r="I17" s="157"/>
    </row>
    <row r="18" spans="1:9" s="254" customFormat="1" ht="11.25" x14ac:dyDescent="0.2">
      <c r="A18" s="818"/>
      <c r="C18" s="819" t="s">
        <v>430</v>
      </c>
      <c r="D18" s="1369" t="s">
        <v>431</v>
      </c>
      <c r="E18" s="1369" t="s">
        <v>53</v>
      </c>
      <c r="F18" s="1369" t="s">
        <v>431</v>
      </c>
      <c r="G18" s="1369" t="s">
        <v>53</v>
      </c>
      <c r="H18" s="173"/>
      <c r="I18" s="173"/>
    </row>
    <row r="19" spans="1:9" s="542" customFormat="1" ht="12" customHeight="1" x14ac:dyDescent="0.2">
      <c r="A19" s="820" t="s">
        <v>452</v>
      </c>
      <c r="B19" s="821"/>
      <c r="C19" s="822" t="s">
        <v>565</v>
      </c>
      <c r="D19" s="1786"/>
      <c r="E19" s="1787">
        <f>'Expenditures 15-22'!K33-SUM('Expenditures 15-22'!G33,'Expenditures 15-22'!I33)+'Expenditures 15-22'!D229</f>
        <v>17129375</v>
      </c>
      <c r="F19" s="1786"/>
      <c r="G19" s="1788">
        <f>'Expenditures 15-22'!K33-SUM('Expenditures 15-22'!G33,'Expenditures 15-22'!I33)+'Expenditures 15-22'!D229</f>
        <v>17129375</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397</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2003056</v>
      </c>
      <c r="F21" s="1789"/>
      <c r="G21" s="1792">
        <f>'Expenditures 15-22'!K42-SUM('Expenditures 15-22'!G42,'Expenditures 15-22'!I42)+'Expenditures 15-22'!K120-SUM('Expenditures 15-22'!G120,'Expenditures 15-22'!I120)+'Expenditures 15-22'!K180-SUM('Expenditures 15-22'!G180,'Expenditures 15-22'!I180)+'Expenditures 15-22'!D238</f>
        <v>2003056</v>
      </c>
      <c r="H21" s="817"/>
      <c r="I21" s="157"/>
    </row>
    <row r="22" spans="1:9" s="542" customFormat="1" ht="12" customHeight="1" x14ac:dyDescent="0.2">
      <c r="A22" s="824" t="s">
        <v>559</v>
      </c>
      <c r="B22" s="825"/>
      <c r="C22" s="823">
        <v>2200</v>
      </c>
      <c r="D22" s="1789"/>
      <c r="E22" s="1791">
        <f>'Expenditures 15-22'!K47-SUM('Expenditures 15-22'!G47,'Expenditures 15-22'!I47)+'Expenditures 15-22'!D243</f>
        <v>1549130</v>
      </c>
      <c r="F22" s="1789"/>
      <c r="G22" s="1792">
        <f>'Expenditures 15-22'!K47-SUM('Expenditures 15-22'!G47,'Expenditures 15-22'!I47)+'Expenditures 15-22'!D243</f>
        <v>1549130</v>
      </c>
      <c r="H22" s="817"/>
      <c r="I22" s="157"/>
    </row>
    <row r="23" spans="1:9" s="542" customFormat="1" ht="12" customHeight="1" x14ac:dyDescent="0.2">
      <c r="A23" s="824" t="s">
        <v>560</v>
      </c>
      <c r="B23" s="825"/>
      <c r="C23" s="823">
        <v>2300</v>
      </c>
      <c r="D23" s="1789"/>
      <c r="E23" s="1791">
        <f>'Expenditures 15-22'!K53-SUM('Expenditures 15-22'!G53,'Expenditures 15-22'!I53)+'Expenditures 15-22'!D257+'Expenditures 15-22'!K330-SUM('Expenditures 15-22'!G330,'Expenditures 15-22'!I330)</f>
        <v>1228309</v>
      </c>
      <c r="F23" s="1789"/>
      <c r="G23" s="1791">
        <f>'Expenditures 15-22'!K53-SUM('Expenditures 15-22'!G53,'Expenditures 15-22'!I53)+'Expenditures 15-22'!D257+'Expenditures 15-22'!K330-SUM('Expenditures 15-22'!G330,'Expenditures 15-22'!I330)</f>
        <v>1228309</v>
      </c>
      <c r="H23" s="817"/>
      <c r="I23" s="157"/>
    </row>
    <row r="24" spans="1:9" s="542" customFormat="1" ht="12" customHeight="1" x14ac:dyDescent="0.2">
      <c r="A24" s="824" t="s">
        <v>561</v>
      </c>
      <c r="B24" s="825"/>
      <c r="C24" s="823">
        <v>2400</v>
      </c>
      <c r="D24" s="1789"/>
      <c r="E24" s="1791">
        <f>'Expenditures 15-22'!K57-SUM('Expenditures 15-22'!G57,'Expenditures 15-22'!I57)+'Expenditures 15-22'!D261</f>
        <v>1536768</v>
      </c>
      <c r="F24" s="1789"/>
      <c r="G24" s="1792">
        <f>'Expenditures 15-22'!K57-SUM('Expenditures 15-22'!G57,'Expenditures 15-22'!I57)+'Expenditures 15-22'!D261</f>
        <v>1536768</v>
      </c>
      <c r="H24" s="817"/>
      <c r="I24" s="157"/>
    </row>
    <row r="25" spans="1:9" s="542" customFormat="1" ht="12" customHeight="1" x14ac:dyDescent="0.2">
      <c r="A25" s="820" t="s">
        <v>562</v>
      </c>
      <c r="B25" s="826"/>
      <c r="C25" s="823"/>
      <c r="D25" s="1789"/>
      <c r="E25" s="1791"/>
      <c r="F25" s="1789"/>
      <c r="G25" s="1792"/>
      <c r="H25" s="817"/>
      <c r="I25" s="157"/>
    </row>
    <row r="26" spans="1:9" s="542" customFormat="1" ht="12" customHeight="1" x14ac:dyDescent="0.2">
      <c r="A26" s="824" t="s">
        <v>511</v>
      </c>
      <c r="B26" s="827"/>
      <c r="C26" s="823">
        <v>2510</v>
      </c>
      <c r="D26" s="1791">
        <f>'Expenditures 15-22'!K59-SUM('Expenditures 15-22'!G59,'Expenditures 15-22'!I59)+'Expenditures 15-22'!D263-E7</f>
        <v>217858</v>
      </c>
      <c r="E26" s="1791">
        <f>'Expenditures 15-22'!K122-SUM('Expenditures 15-22'!G122,'Expenditures 15-22'!I122)+E7</f>
        <v>0</v>
      </c>
      <c r="F26" s="1791">
        <f>'Expenditures 15-22'!K59-SUM('Expenditures 15-22'!G59,'Expenditures 15-22'!I59)+'Expenditures 15-22'!D263-E7</f>
        <v>217858</v>
      </c>
      <c r="G26" s="1792">
        <f>'Expenditures 15-22'!K122-SUM('Expenditures 15-22'!G122,'Expenditures 15-22'!I122)+E7</f>
        <v>0</v>
      </c>
      <c r="H26" s="817"/>
      <c r="I26" s="157"/>
    </row>
    <row r="27" spans="1:9" s="542" customFormat="1" ht="12" customHeight="1" x14ac:dyDescent="0.2">
      <c r="A27" s="824" t="s">
        <v>459</v>
      </c>
      <c r="B27" s="827"/>
      <c r="C27" s="823">
        <v>2520</v>
      </c>
      <c r="D27" s="1791">
        <f>'Expenditures 15-22'!K60-SUM('Expenditures 15-22'!G60,'Expenditures 15-22'!I60)+'Expenditures 15-22'!D264-E8</f>
        <v>533411</v>
      </c>
      <c r="E27" s="1791">
        <f>E8</f>
        <v>0</v>
      </c>
      <c r="F27" s="1791">
        <f>'Expenditures 15-22'!K60-SUM('Expenditures 15-22'!G60,'Expenditures 15-22'!I60)+'Expenditures 15-22'!D264-E8</f>
        <v>533411</v>
      </c>
      <c r="G27" s="1792">
        <f>E8</f>
        <v>0</v>
      </c>
      <c r="H27" s="817"/>
      <c r="I27" s="157"/>
    </row>
    <row r="28" spans="1:9" s="542" customFormat="1" ht="12" customHeight="1" x14ac:dyDescent="0.2">
      <c r="A28" s="824" t="s">
        <v>512</v>
      </c>
      <c r="B28" s="827"/>
      <c r="C28" s="823">
        <v>2540</v>
      </c>
      <c r="D28" s="1793"/>
      <c r="E28" s="1791">
        <f>'Expenditures 15-22'!K61-SUM('Expenditures 15-22'!G61,'Expenditures 15-22'!I61)+'Expenditures 15-22'!K124-SUM('Expenditures 15-22'!G124,'Expenditures 15-22'!I124)+'Expenditures 15-22'!D266</f>
        <v>2432247</v>
      </c>
      <c r="F28" s="1793">
        <f>'Expenditures 15-22'!K61-SUM('Expenditures 15-22'!G61,'Expenditures 15-22'!I61)+'Expenditures 15-22'!K124-SUM('Expenditures 15-22'!G124,'Expenditures 15-22'!I124)+'Expenditures 15-22'!D266-E9</f>
        <v>2432247</v>
      </c>
      <c r="G28" s="1792">
        <f>E9</f>
        <v>0</v>
      </c>
      <c r="H28" s="817"/>
      <c r="I28" s="157"/>
    </row>
    <row r="29" spans="1:9" ht="12" customHeight="1" x14ac:dyDescent="0.2">
      <c r="A29" s="824" t="s">
        <v>513</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2232123</v>
      </c>
      <c r="F29" s="1789"/>
      <c r="G29" s="1792">
        <f>'Expenditures 15-22'!K62-SUM('Expenditures 15-22'!G62,'Expenditures 15-22'!I62)+'Expenditures 15-22'!K125-SUM('Expenditures 15-22'!G125,'Expenditures 15-22'!I125)+'Expenditures 15-22'!K182-SUM('Expenditures 15-22'!G182,'Expenditures 15-22'!I182)+'Expenditures 15-22'!D267</f>
        <v>2232123</v>
      </c>
      <c r="H29" s="815"/>
    </row>
    <row r="30" spans="1:9" ht="12" customHeight="1" x14ac:dyDescent="0.2">
      <c r="A30" s="824" t="s">
        <v>100</v>
      </c>
      <c r="B30" s="827"/>
      <c r="C30" s="823">
        <v>2560</v>
      </c>
      <c r="D30" s="1789"/>
      <c r="E30" s="1791">
        <f>'Expenditures 15-22'!K63-SUM('Expenditures 15-22'!G63,'Expenditures 15-22'!I63)+'Expenditures 15-22'!D268-E10</f>
        <v>31832</v>
      </c>
      <c r="F30" s="1789"/>
      <c r="G30" s="1791">
        <f>'Expenditures 15-22'!K63-SUM('Expenditures 15-22'!G63,'Expenditures 15-22'!I63)+'Expenditures 15-22'!D268-E10</f>
        <v>31832</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514</v>
      </c>
      <c r="B32" s="826"/>
      <c r="C32" s="823"/>
      <c r="D32" s="1789"/>
      <c r="E32" s="1789"/>
      <c r="F32" s="1789"/>
      <c r="G32" s="1789"/>
    </row>
    <row r="33" spans="1:7" ht="12" customHeight="1" x14ac:dyDescent="0.2">
      <c r="A33" s="824" t="s">
        <v>515</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516</v>
      </c>
      <c r="B34" s="827"/>
      <c r="C34" s="823">
        <v>2620</v>
      </c>
      <c r="D34" s="1789"/>
      <c r="E34" s="1791">
        <f>'Expenditures 15-22'!K68-SUM('Expenditures 15-22'!G68,'Expenditures 15-22'!I68)+'Expenditures 15-22'!D273</f>
        <v>9716</v>
      </c>
      <c r="F34" s="1789"/>
      <c r="G34" s="1791">
        <f>'Expenditures 15-22'!K68-SUM('Expenditures 15-22'!G68,'Expenditures 15-22'!I68)+'Expenditures 15-22'!D273</f>
        <v>9716</v>
      </c>
    </row>
    <row r="35" spans="1:7" ht="12" customHeight="1" x14ac:dyDescent="0.2">
      <c r="A35" s="824" t="s">
        <v>1050</v>
      </c>
      <c r="B35" s="827"/>
      <c r="C35" s="823">
        <v>2630</v>
      </c>
      <c r="D35" s="1789"/>
      <c r="E35" s="1791">
        <f>'Expenditures 15-22'!K69-SUM('Expenditures 15-22'!G69,'Expenditures 15-22'!I69)+'Expenditures 15-22'!D274</f>
        <v>104161</v>
      </c>
      <c r="F35" s="1789"/>
      <c r="G35" s="1791">
        <f>'Expenditures 15-22'!K69-SUM('Expenditures 15-22'!G69,'Expenditures 15-22'!I69)+'Expenditures 15-22'!D274</f>
        <v>104161</v>
      </c>
    </row>
    <row r="36" spans="1:7" ht="12" customHeight="1" x14ac:dyDescent="0.2">
      <c r="A36" s="824" t="s">
        <v>399</v>
      </c>
      <c r="B36" s="827"/>
      <c r="C36" s="823">
        <v>2640</v>
      </c>
      <c r="D36" s="1791">
        <f>'Expenditures 15-22'!K70-SUM('Expenditures 15-22'!G70,'Expenditures 15-22'!I70)+'Expenditures 15-22'!D275-E13</f>
        <v>16723</v>
      </c>
      <c r="E36" s="1791">
        <f>E13</f>
        <v>0</v>
      </c>
      <c r="F36" s="1791">
        <f>'Expenditures 15-22'!K70-SUM('Expenditures 15-22'!G70,'Expenditures 15-22'!I70)+'Expenditures 15-22'!D275-E13</f>
        <v>16723</v>
      </c>
      <c r="G36" s="1791">
        <f>E13</f>
        <v>0</v>
      </c>
    </row>
    <row r="37" spans="1:7" ht="12" customHeight="1" x14ac:dyDescent="0.2">
      <c r="A37" s="824" t="s">
        <v>400</v>
      </c>
      <c r="B37" s="827"/>
      <c r="C37" s="823">
        <v>2660</v>
      </c>
      <c r="D37" s="1791">
        <f>'Expenditures 15-22'!K71-SUM('Expenditures 15-22'!G71,'Expenditures 15-22'!I71)+'Expenditures 15-22'!D276-E14</f>
        <v>1099216</v>
      </c>
      <c r="E37" s="1791">
        <f>E14</f>
        <v>0</v>
      </c>
      <c r="F37" s="1791">
        <f>'Expenditures 15-22'!K71-SUM('Expenditures 15-22'!G71,'Expenditures 15-22'!I71)+'Expenditures 15-22'!D276-E14</f>
        <v>1099216</v>
      </c>
      <c r="G37" s="1791">
        <f>E14</f>
        <v>0</v>
      </c>
    </row>
    <row r="38" spans="1:7" ht="12" customHeight="1" x14ac:dyDescent="0.2">
      <c r="A38" s="820" t="s">
        <v>517</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366275</v>
      </c>
      <c r="F39" s="1789"/>
      <c r="G39" s="1791">
        <f>'Expenditures 15-22'!K75-SUM('Expenditures 15-22'!G75,'Expenditures 15-22'!I75)+'Expenditures 15-22'!K130-SUM('Expenditures 15-22'!G130,'Expenditures 15-22'!I130)+'Expenditures 15-22'!K185-SUM('Expenditures 15-22'!G185,'Expenditures 15-22'!I185)+'Expenditures 15-22'!D280</f>
        <v>366275</v>
      </c>
    </row>
    <row r="40" spans="1:7" ht="12" customHeight="1" x14ac:dyDescent="0.2">
      <c r="A40" s="820" t="s">
        <v>1794</v>
      </c>
      <c r="B40" s="821"/>
      <c r="C40" s="823"/>
      <c r="D40" s="1789"/>
      <c r="E40" s="1793">
        <f>-'Contracts Paid in CY 29'!F138</f>
        <v>-933186</v>
      </c>
      <c r="F40" s="1789"/>
      <c r="G40" s="1793">
        <f>-'Contracts Paid in CY 29'!F138</f>
        <v>-933186</v>
      </c>
    </row>
    <row r="41" spans="1:7" ht="12" customHeight="1" x14ac:dyDescent="0.2">
      <c r="A41" s="828" t="s">
        <v>155</v>
      </c>
      <c r="B41" s="829"/>
      <c r="C41" s="830"/>
      <c r="D41" s="1793">
        <f>SUM(D19:D39)</f>
        <v>1867208</v>
      </c>
      <c r="E41" s="1793">
        <f>SUM(E19:E40)</f>
        <v>27689806</v>
      </c>
      <c r="F41" s="1793">
        <f>SUM(F19:F39)</f>
        <v>4299455</v>
      </c>
      <c r="G41" s="1793">
        <f>SUM(G19:G40)</f>
        <v>25257559</v>
      </c>
    </row>
    <row r="42" spans="1:7" x14ac:dyDescent="0.2">
      <c r="A42" s="817"/>
      <c r="B42" s="157"/>
      <c r="C42" s="831"/>
      <c r="D42" s="2418" t="s">
        <v>518</v>
      </c>
      <c r="E42" s="2419"/>
      <c r="F42" s="832" t="s">
        <v>519</v>
      </c>
      <c r="G42" s="833"/>
    </row>
    <row r="43" spans="1:7" ht="12" customHeight="1" x14ac:dyDescent="0.2">
      <c r="A43" s="817"/>
      <c r="B43" s="157"/>
      <c r="C43" s="831"/>
      <c r="D43" s="1451" t="s">
        <v>469</v>
      </c>
      <c r="E43" s="1794">
        <f>D41</f>
        <v>1867208</v>
      </c>
      <c r="F43" s="1451" t="s">
        <v>469</v>
      </c>
      <c r="G43" s="1794">
        <f>F41</f>
        <v>4299455</v>
      </c>
    </row>
    <row r="44" spans="1:7" ht="12" customHeight="1" x14ac:dyDescent="0.2">
      <c r="A44" s="817"/>
      <c r="B44" s="157"/>
      <c r="C44" s="831"/>
      <c r="D44" s="1451" t="s">
        <v>470</v>
      </c>
      <c r="E44" s="1794">
        <f>E41</f>
        <v>27689806</v>
      </c>
      <c r="F44" s="1451" t="s">
        <v>470</v>
      </c>
      <c r="G44" s="1794">
        <f>G41</f>
        <v>25257559</v>
      </c>
    </row>
    <row r="45" spans="1:7" ht="12" customHeight="1" x14ac:dyDescent="0.2">
      <c r="A45" s="817"/>
      <c r="B45" s="157"/>
      <c r="C45" s="157"/>
      <c r="D45" s="1452" t="s">
        <v>997</v>
      </c>
      <c r="E45" s="1795">
        <f>(E43/E44)</f>
        <v>6.7433047382130448E-2</v>
      </c>
      <c r="F45" s="1452" t="s">
        <v>997</v>
      </c>
      <c r="G45" s="1795">
        <f>(G43/G44)</f>
        <v>0.1702244860637562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9FF33"/>
    <pageSetUpPr fitToPage="1"/>
  </sheetPr>
  <dimension ref="A1:O97"/>
  <sheetViews>
    <sheetView workbookViewId="0">
      <selection sqref="A1:F1"/>
    </sheetView>
  </sheetViews>
  <sheetFormatPr defaultColWidth="9.140625" defaultRowHeight="12.75" x14ac:dyDescent="0.2"/>
  <cols>
    <col min="1" max="1" width="54.5703125" style="1494" customWidth="1"/>
    <col min="2" max="2" width="4.140625" style="1494" customWidth="1"/>
    <col min="3" max="4" width="9.85546875" style="1470" customWidth="1"/>
    <col min="5" max="5" width="12.5703125" style="1495" customWidth="1"/>
    <col min="6" max="6" width="67.5703125" style="1470" customWidth="1"/>
    <col min="7" max="7" width="9.140625" style="1470" customWidth="1"/>
    <col min="8" max="8" width="5.5703125" style="1496" bestFit="1" customWidth="1"/>
    <col min="9" max="10" width="2" style="1496" bestFit="1" customWidth="1"/>
    <col min="11" max="11" width="9" style="1496" customWidth="1"/>
    <col min="12" max="16384" width="9.140625" style="1470"/>
  </cols>
  <sheetData>
    <row r="1" spans="1:15" x14ac:dyDescent="0.2">
      <c r="A1" s="2426" t="s">
        <v>1359</v>
      </c>
      <c r="B1" s="2426"/>
      <c r="C1" s="2426"/>
      <c r="D1" s="2426"/>
      <c r="E1" s="2426"/>
      <c r="F1" s="2426"/>
    </row>
    <row r="2" spans="1:15" x14ac:dyDescent="0.2">
      <c r="A2" s="1502" t="s">
        <v>1874</v>
      </c>
      <c r="B2" s="1471"/>
      <c r="C2" s="1502"/>
      <c r="D2" s="1471"/>
      <c r="E2" s="1471"/>
      <c r="F2" s="1472"/>
    </row>
    <row r="3" spans="1:15" x14ac:dyDescent="0.2">
      <c r="A3" s="1796" t="str">
        <f>"Fiscal Year Ending June 30, "&amp;'AFR20'!E2</f>
        <v>Fiscal Year Ending June 30, 2020</v>
      </c>
      <c r="B3" s="1471"/>
      <c r="C3" s="1502"/>
      <c r="D3" s="1471"/>
      <c r="E3" s="1471"/>
      <c r="F3" s="1472"/>
      <c r="H3" s="1838"/>
      <c r="I3" s="1838"/>
      <c r="J3" s="1838"/>
      <c r="K3" s="1838"/>
    </row>
    <row r="4" spans="1:15" ht="3.75" customHeight="1" x14ac:dyDescent="0.2">
      <c r="A4" s="1471"/>
      <c r="B4" s="1471"/>
      <c r="C4" s="1471"/>
      <c r="D4" s="1471"/>
      <c r="E4" s="1471"/>
      <c r="F4" s="1472"/>
    </row>
    <row r="5" spans="1:15" ht="15" x14ac:dyDescent="0.25">
      <c r="A5" s="2427" t="s">
        <v>1525</v>
      </c>
      <c r="B5" s="2428"/>
      <c r="C5" s="2429"/>
      <c r="D5" s="2429"/>
      <c r="E5" s="2429"/>
      <c r="F5" s="2429"/>
      <c r="G5" s="1496"/>
      <c r="L5" s="1496"/>
      <c r="M5" s="1839"/>
      <c r="N5" s="1839"/>
      <c r="O5" s="1839"/>
    </row>
    <row r="6" spans="1:15" ht="12" customHeight="1" x14ac:dyDescent="0.25">
      <c r="A6" s="1473"/>
      <c r="B6" s="1474"/>
      <c r="C6" s="2430" t="str">
        <f>COVER!A17</f>
        <v xml:space="preserve">   Lincolnshire-Prairieview SD 103</v>
      </c>
      <c r="D6" s="2430"/>
      <c r="E6" s="2430"/>
      <c r="F6" s="1475"/>
      <c r="G6" s="1496"/>
      <c r="L6" s="1496"/>
      <c r="M6" s="1839"/>
      <c r="N6" s="1839"/>
      <c r="O6" s="1839"/>
    </row>
    <row r="7" spans="1:15" ht="11.25" customHeight="1" thickBot="1" x14ac:dyDescent="0.3">
      <c r="A7" s="1473"/>
      <c r="B7" s="1474"/>
      <c r="C7" s="2431">
        <f>COVER!A13</f>
        <v>34049103002</v>
      </c>
      <c r="D7" s="2431"/>
      <c r="E7" s="2431"/>
      <c r="F7" s="1475"/>
      <c r="G7" s="1496"/>
      <c r="L7" s="1496"/>
      <c r="M7" s="1839"/>
      <c r="N7" s="1839"/>
      <c r="O7" s="1839"/>
    </row>
    <row r="8" spans="1:15" ht="25.5" customHeight="1" thickBot="1" x14ac:dyDescent="0.25">
      <c r="A8" s="1508" t="s">
        <v>1870</v>
      </c>
      <c r="B8" s="1476"/>
      <c r="C8" s="1504" t="s">
        <v>1658</v>
      </c>
      <c r="D8" s="1503" t="s">
        <v>1659</v>
      </c>
      <c r="E8" s="1505" t="s">
        <v>1360</v>
      </c>
      <c r="F8" s="1503" t="s">
        <v>1660</v>
      </c>
      <c r="G8" s="1496"/>
      <c r="H8" s="1477" t="b">
        <v>0</v>
      </c>
      <c r="L8" s="1496"/>
      <c r="M8" s="1839"/>
      <c r="N8" s="1839"/>
      <c r="O8" s="1839"/>
    </row>
    <row r="9" spans="1:15" ht="15.75" customHeight="1" x14ac:dyDescent="0.2">
      <c r="A9" s="1478" t="s">
        <v>1521</v>
      </c>
      <c r="B9" s="1479"/>
      <c r="C9" s="1480"/>
      <c r="D9" s="1480"/>
      <c r="E9" s="1481"/>
      <c r="F9" s="1482"/>
      <c r="G9" s="1496"/>
      <c r="L9" s="1496"/>
      <c r="M9" s="1839"/>
      <c r="N9" s="1839"/>
      <c r="O9" s="1839"/>
    </row>
    <row r="10" spans="1:15" ht="27.75" customHeight="1" x14ac:dyDescent="0.2">
      <c r="A10" s="1483" t="s">
        <v>1657</v>
      </c>
      <c r="B10" s="1484"/>
      <c r="C10" s="1485"/>
      <c r="D10" s="1485"/>
      <c r="E10" s="1506" t="s">
        <v>1361</v>
      </c>
      <c r="F10" s="1507" t="s">
        <v>1362</v>
      </c>
      <c r="G10" s="1496"/>
      <c r="L10" s="1496"/>
      <c r="M10" s="1839"/>
      <c r="N10" s="1839"/>
      <c r="O10" s="1839"/>
    </row>
    <row r="11" spans="1:15" ht="12" customHeight="1" x14ac:dyDescent="0.2">
      <c r="A11" s="1486" t="s">
        <v>1363</v>
      </c>
      <c r="B11" s="1487"/>
      <c r="C11" s="2057" t="s">
        <v>2117</v>
      </c>
      <c r="D11" s="2057" t="s">
        <v>2117</v>
      </c>
      <c r="E11" s="2057" t="s">
        <v>2117</v>
      </c>
      <c r="F11" s="2058" t="s">
        <v>2118</v>
      </c>
      <c r="G11" s="1496"/>
      <c r="H11" s="1496">
        <f>IF(C11="X",5,0)</f>
        <v>5</v>
      </c>
      <c r="I11" s="1496">
        <f>IF(D11="X",5,0)</f>
        <v>5</v>
      </c>
      <c r="J11" s="1496">
        <f>IF(E11="X",5,0)</f>
        <v>5</v>
      </c>
      <c r="L11" s="1496"/>
      <c r="M11" s="1839"/>
      <c r="N11" s="1839"/>
      <c r="O11" s="1839"/>
    </row>
    <row r="12" spans="1:15" ht="12" customHeight="1" x14ac:dyDescent="0.2">
      <c r="A12" s="1486" t="s">
        <v>1364</v>
      </c>
      <c r="B12" s="1487"/>
      <c r="C12" s="2057"/>
      <c r="D12" s="2057"/>
      <c r="E12" s="2059"/>
      <c r="F12" s="2058"/>
      <c r="G12" s="1496"/>
      <c r="H12" s="1496">
        <f t="shared" ref="H12:H33" si="0">IF(C12="X",5,0)</f>
        <v>0</v>
      </c>
      <c r="I12" s="1496">
        <f t="shared" ref="I12:I33" si="1">IF(D12="X",5,0)</f>
        <v>0</v>
      </c>
      <c r="J12" s="1496">
        <f t="shared" ref="J12:J33" si="2">IF(E12="X",5,0)</f>
        <v>0</v>
      </c>
      <c r="L12" s="1496"/>
      <c r="M12" s="1839"/>
      <c r="N12" s="1839"/>
      <c r="O12" s="1839"/>
    </row>
    <row r="13" spans="1:15" ht="12" customHeight="1" x14ac:dyDescent="0.2">
      <c r="A13" s="1486" t="s">
        <v>1365</v>
      </c>
      <c r="B13" s="1487"/>
      <c r="C13" s="2057" t="s">
        <v>2117</v>
      </c>
      <c r="D13" s="2057" t="s">
        <v>2117</v>
      </c>
      <c r="E13" s="2057" t="s">
        <v>2117</v>
      </c>
      <c r="F13" s="2058" t="s">
        <v>2119</v>
      </c>
      <c r="G13" s="1496"/>
      <c r="H13" s="1496">
        <f t="shared" si="0"/>
        <v>5</v>
      </c>
      <c r="I13" s="1496">
        <f t="shared" si="1"/>
        <v>5</v>
      </c>
      <c r="J13" s="1496">
        <f t="shared" si="2"/>
        <v>5</v>
      </c>
      <c r="L13" s="1496"/>
      <c r="M13" s="1839"/>
      <c r="N13" s="1839"/>
      <c r="O13" s="1839"/>
    </row>
    <row r="14" spans="1:15" ht="12" customHeight="1" x14ac:dyDescent="0.2">
      <c r="A14" s="1486" t="s">
        <v>1366</v>
      </c>
      <c r="B14" s="1487"/>
      <c r="C14" s="2057" t="s">
        <v>2117</v>
      </c>
      <c r="D14" s="2057" t="s">
        <v>2117</v>
      </c>
      <c r="E14" s="2057" t="s">
        <v>2117</v>
      </c>
      <c r="F14" s="2058" t="s">
        <v>2120</v>
      </c>
      <c r="G14" s="1496"/>
      <c r="H14" s="1496">
        <f t="shared" si="0"/>
        <v>5</v>
      </c>
      <c r="I14" s="1496">
        <f t="shared" si="1"/>
        <v>5</v>
      </c>
      <c r="J14" s="1496">
        <f t="shared" si="2"/>
        <v>5</v>
      </c>
      <c r="L14" s="1496"/>
      <c r="M14" s="1839"/>
      <c r="N14" s="1839"/>
      <c r="O14" s="1839"/>
    </row>
    <row r="15" spans="1:15" ht="12" customHeight="1" x14ac:dyDescent="0.2">
      <c r="A15" s="1486" t="s">
        <v>1367</v>
      </c>
      <c r="B15" s="1487"/>
      <c r="C15" s="2057" t="s">
        <v>2117</v>
      </c>
      <c r="D15" s="2057" t="s">
        <v>2117</v>
      </c>
      <c r="E15" s="2057" t="s">
        <v>2117</v>
      </c>
      <c r="F15" s="2058" t="s">
        <v>2121</v>
      </c>
      <c r="G15" s="1496"/>
      <c r="H15" s="1496">
        <f t="shared" si="0"/>
        <v>5</v>
      </c>
      <c r="I15" s="1496">
        <f t="shared" si="1"/>
        <v>5</v>
      </c>
      <c r="J15" s="1496">
        <f t="shared" si="2"/>
        <v>5</v>
      </c>
      <c r="L15" s="1496"/>
      <c r="M15" s="1839"/>
      <c r="N15" s="1839"/>
      <c r="O15" s="1839"/>
    </row>
    <row r="16" spans="1:15" ht="12" customHeight="1" x14ac:dyDescent="0.2">
      <c r="A16" s="1486" t="s">
        <v>1368</v>
      </c>
      <c r="B16" s="1487"/>
      <c r="C16" s="2057"/>
      <c r="D16" s="2057"/>
      <c r="E16" s="2059"/>
      <c r="F16" s="2058"/>
      <c r="G16" s="1496"/>
      <c r="H16" s="1496">
        <f t="shared" si="0"/>
        <v>0</v>
      </c>
      <c r="I16" s="1496">
        <f t="shared" si="1"/>
        <v>0</v>
      </c>
      <c r="J16" s="1496">
        <f t="shared" si="2"/>
        <v>0</v>
      </c>
      <c r="L16" s="1496"/>
      <c r="M16" s="1839"/>
      <c r="N16" s="1839"/>
      <c r="O16" s="1839"/>
    </row>
    <row r="17" spans="1:15" ht="12" customHeight="1" x14ac:dyDescent="0.2">
      <c r="A17" s="1486" t="s">
        <v>1369</v>
      </c>
      <c r="B17" s="1487"/>
      <c r="C17" s="2057"/>
      <c r="D17" s="2057"/>
      <c r="E17" s="2059"/>
      <c r="F17" s="2058"/>
      <c r="G17" s="1496"/>
      <c r="H17" s="1496">
        <f t="shared" si="0"/>
        <v>0</v>
      </c>
      <c r="I17" s="1496">
        <f t="shared" si="1"/>
        <v>0</v>
      </c>
      <c r="J17" s="1496">
        <f t="shared" si="2"/>
        <v>0</v>
      </c>
      <c r="L17" s="1496"/>
      <c r="M17" s="1839"/>
      <c r="N17" s="1839"/>
      <c r="O17" s="1839"/>
    </row>
    <row r="18" spans="1:15" ht="12" customHeight="1" x14ac:dyDescent="0.2">
      <c r="A18" s="1486" t="s">
        <v>1370</v>
      </c>
      <c r="B18" s="1487"/>
      <c r="C18" s="2057" t="s">
        <v>2117</v>
      </c>
      <c r="D18" s="2057" t="s">
        <v>2117</v>
      </c>
      <c r="E18" s="2057" t="s">
        <v>2117</v>
      </c>
      <c r="F18" s="2058" t="s">
        <v>2122</v>
      </c>
      <c r="G18" s="1496"/>
      <c r="H18" s="1496">
        <f t="shared" si="0"/>
        <v>5</v>
      </c>
      <c r="I18" s="1496">
        <f t="shared" si="1"/>
        <v>5</v>
      </c>
      <c r="J18" s="1496">
        <f t="shared" si="2"/>
        <v>5</v>
      </c>
      <c r="L18" s="1496"/>
      <c r="M18" s="1839"/>
      <c r="N18" s="1839"/>
      <c r="O18" s="1839"/>
    </row>
    <row r="19" spans="1:15" ht="12" customHeight="1" x14ac:dyDescent="0.2">
      <c r="A19" s="1486" t="s">
        <v>1506</v>
      </c>
      <c r="B19" s="1487"/>
      <c r="C19" s="2057" t="s">
        <v>2117</v>
      </c>
      <c r="D19" s="2057" t="s">
        <v>2117</v>
      </c>
      <c r="E19" s="2057" t="s">
        <v>2117</v>
      </c>
      <c r="F19" s="2058" t="s">
        <v>2123</v>
      </c>
      <c r="G19" s="1496"/>
      <c r="H19" s="1496">
        <f t="shared" si="0"/>
        <v>5</v>
      </c>
      <c r="I19" s="1496">
        <f t="shared" si="1"/>
        <v>5</v>
      </c>
      <c r="J19" s="1496">
        <f t="shared" si="2"/>
        <v>5</v>
      </c>
      <c r="L19" s="1496"/>
      <c r="M19" s="1839"/>
      <c r="N19" s="1839"/>
      <c r="O19" s="1839"/>
    </row>
    <row r="20" spans="1:15" ht="12" customHeight="1" x14ac:dyDescent="0.2">
      <c r="A20" s="1486" t="s">
        <v>1507</v>
      </c>
      <c r="B20" s="1487"/>
      <c r="C20" s="2057" t="s">
        <v>2117</v>
      </c>
      <c r="D20" s="2057" t="s">
        <v>2117</v>
      </c>
      <c r="E20" s="2057" t="s">
        <v>2117</v>
      </c>
      <c r="F20" s="2058" t="s">
        <v>2124</v>
      </c>
      <c r="G20" s="1496"/>
      <c r="H20" s="1496">
        <f t="shared" si="0"/>
        <v>5</v>
      </c>
      <c r="I20" s="1496">
        <f t="shared" si="1"/>
        <v>5</v>
      </c>
      <c r="J20" s="1496">
        <f t="shared" si="2"/>
        <v>5</v>
      </c>
      <c r="L20" s="1496"/>
      <c r="M20" s="1839"/>
      <c r="N20" s="1839"/>
      <c r="O20" s="1839"/>
    </row>
    <row r="21" spans="1:15" ht="12" customHeight="1" x14ac:dyDescent="0.2">
      <c r="A21" s="1486" t="s">
        <v>1508</v>
      </c>
      <c r="B21" s="1487"/>
      <c r="C21" s="2057" t="s">
        <v>2117</v>
      </c>
      <c r="D21" s="2057" t="s">
        <v>2117</v>
      </c>
      <c r="E21" s="2057" t="s">
        <v>2117</v>
      </c>
      <c r="F21" s="2058" t="s">
        <v>2125</v>
      </c>
      <c r="G21" s="1496"/>
      <c r="H21" s="1496">
        <f t="shared" si="0"/>
        <v>5</v>
      </c>
      <c r="I21" s="1496">
        <f t="shared" si="1"/>
        <v>5</v>
      </c>
      <c r="J21" s="1496">
        <f t="shared" si="2"/>
        <v>5</v>
      </c>
      <c r="L21" s="1496"/>
      <c r="M21" s="1839"/>
      <c r="N21" s="1839"/>
      <c r="O21" s="1839"/>
    </row>
    <row r="22" spans="1:15" ht="12" customHeight="1" x14ac:dyDescent="0.2">
      <c r="A22" s="1486" t="s">
        <v>1509</v>
      </c>
      <c r="B22" s="1487"/>
      <c r="C22" s="2057"/>
      <c r="D22" s="2057"/>
      <c r="E22" s="2059"/>
      <c r="F22" s="2058"/>
      <c r="G22" s="1496"/>
      <c r="H22" s="1496">
        <f t="shared" si="0"/>
        <v>0</v>
      </c>
      <c r="I22" s="1496">
        <f t="shared" si="1"/>
        <v>0</v>
      </c>
      <c r="J22" s="1496">
        <f t="shared" si="2"/>
        <v>0</v>
      </c>
      <c r="L22" s="1496"/>
      <c r="M22" s="1839"/>
      <c r="N22" s="1839"/>
      <c r="O22" s="1839"/>
    </row>
    <row r="23" spans="1:15" ht="12" customHeight="1" x14ac:dyDescent="0.2">
      <c r="A23" s="1486" t="s">
        <v>1510</v>
      </c>
      <c r="B23" s="1487"/>
      <c r="C23" s="2057"/>
      <c r="D23" s="2057"/>
      <c r="E23" s="2059"/>
      <c r="F23" s="2058"/>
      <c r="G23" s="1496"/>
      <c r="H23" s="1496">
        <f t="shared" si="0"/>
        <v>0</v>
      </c>
      <c r="I23" s="1496">
        <f t="shared" si="1"/>
        <v>0</v>
      </c>
      <c r="J23" s="1496">
        <f t="shared" si="2"/>
        <v>0</v>
      </c>
      <c r="L23" s="1496"/>
      <c r="M23" s="1839"/>
      <c r="N23" s="1839"/>
      <c r="O23" s="1839"/>
    </row>
    <row r="24" spans="1:15" ht="12" customHeight="1" x14ac:dyDescent="0.2">
      <c r="A24" s="1486" t="s">
        <v>1511</v>
      </c>
      <c r="B24" s="1487"/>
      <c r="C24" s="2057" t="s">
        <v>2117</v>
      </c>
      <c r="D24" s="2057" t="s">
        <v>2117</v>
      </c>
      <c r="E24" s="2057" t="s">
        <v>2117</v>
      </c>
      <c r="F24" s="2058" t="s">
        <v>2126</v>
      </c>
      <c r="G24" s="1496"/>
      <c r="H24" s="1496">
        <f t="shared" si="0"/>
        <v>5</v>
      </c>
      <c r="I24" s="1496">
        <f t="shared" si="1"/>
        <v>5</v>
      </c>
      <c r="J24" s="1496">
        <f t="shared" si="2"/>
        <v>5</v>
      </c>
      <c r="L24" s="1496"/>
      <c r="M24" s="1839"/>
      <c r="N24" s="1839"/>
      <c r="O24" s="1839"/>
    </row>
    <row r="25" spans="1:15" ht="12" customHeight="1" x14ac:dyDescent="0.2">
      <c r="A25" s="1486" t="s">
        <v>1512</v>
      </c>
      <c r="B25" s="1487"/>
      <c r="C25" s="2057" t="s">
        <v>2117</v>
      </c>
      <c r="D25" s="2057" t="s">
        <v>2117</v>
      </c>
      <c r="E25" s="2057" t="s">
        <v>2117</v>
      </c>
      <c r="F25" s="2058" t="s">
        <v>2127</v>
      </c>
      <c r="G25" s="1496"/>
      <c r="H25" s="1496">
        <f t="shared" si="0"/>
        <v>5</v>
      </c>
      <c r="I25" s="1496">
        <f t="shared" si="1"/>
        <v>5</v>
      </c>
      <c r="J25" s="1496">
        <f t="shared" si="2"/>
        <v>5</v>
      </c>
      <c r="L25" s="1496"/>
      <c r="M25" s="1839"/>
      <c r="N25" s="1839"/>
      <c r="O25" s="1839"/>
    </row>
    <row r="26" spans="1:15" ht="12" customHeight="1" x14ac:dyDescent="0.2">
      <c r="A26" s="1486" t="s">
        <v>1513</v>
      </c>
      <c r="B26" s="1487"/>
      <c r="C26" s="2057" t="s">
        <v>2117</v>
      </c>
      <c r="D26" s="2057" t="s">
        <v>2117</v>
      </c>
      <c r="E26" s="2057" t="s">
        <v>2117</v>
      </c>
      <c r="F26" s="2058" t="s">
        <v>2128</v>
      </c>
      <c r="G26" s="1496"/>
      <c r="H26" s="1496">
        <f t="shared" si="0"/>
        <v>5</v>
      </c>
      <c r="I26" s="1496">
        <f t="shared" si="1"/>
        <v>5</v>
      </c>
      <c r="J26" s="1496">
        <f t="shared" si="2"/>
        <v>5</v>
      </c>
      <c r="L26" s="1496"/>
      <c r="M26" s="1839"/>
      <c r="N26" s="1839"/>
      <c r="O26" s="1839"/>
    </row>
    <row r="27" spans="1:15" ht="18.75" x14ac:dyDescent="0.2">
      <c r="A27" s="1486" t="s">
        <v>1514</v>
      </c>
      <c r="B27" s="1487"/>
      <c r="C27" s="2057"/>
      <c r="D27" s="2057"/>
      <c r="E27" s="2057"/>
      <c r="F27" s="2058"/>
      <c r="G27" s="1496"/>
      <c r="H27" s="1496">
        <f t="shared" si="0"/>
        <v>0</v>
      </c>
      <c r="I27" s="1496">
        <f t="shared" si="1"/>
        <v>0</v>
      </c>
      <c r="J27" s="1496">
        <f t="shared" si="2"/>
        <v>0</v>
      </c>
      <c r="L27" s="1496"/>
      <c r="M27" s="1839"/>
      <c r="N27" s="1839"/>
      <c r="O27" s="1839"/>
    </row>
    <row r="28" spans="1:15" ht="12" customHeight="1" x14ac:dyDescent="0.2">
      <c r="A28" s="1486" t="s">
        <v>1515</v>
      </c>
      <c r="B28" s="1487"/>
      <c r="C28" s="2057"/>
      <c r="D28" s="2057" t="s">
        <v>2117</v>
      </c>
      <c r="E28" s="2059" t="s">
        <v>2117</v>
      </c>
      <c r="F28" s="2058" t="s">
        <v>2129</v>
      </c>
      <c r="G28" s="1496"/>
      <c r="H28" s="1496">
        <f t="shared" si="0"/>
        <v>0</v>
      </c>
      <c r="I28" s="1496">
        <f t="shared" si="1"/>
        <v>5</v>
      </c>
      <c r="J28" s="1496">
        <f t="shared" si="2"/>
        <v>5</v>
      </c>
      <c r="L28" s="1496"/>
      <c r="M28" s="1839"/>
      <c r="N28" s="1839"/>
      <c r="O28" s="1839"/>
    </row>
    <row r="29" spans="1:15" ht="12" customHeight="1" x14ac:dyDescent="0.2">
      <c r="A29" s="1486" t="s">
        <v>1516</v>
      </c>
      <c r="B29" s="1487"/>
      <c r="C29" s="2057"/>
      <c r="D29" s="2057"/>
      <c r="E29" s="2059"/>
      <c r="F29" s="2058"/>
      <c r="G29" s="1496"/>
      <c r="H29" s="1496">
        <f t="shared" si="0"/>
        <v>0</v>
      </c>
      <c r="I29" s="1496">
        <f t="shared" si="1"/>
        <v>0</v>
      </c>
      <c r="J29" s="1496">
        <f t="shared" si="2"/>
        <v>0</v>
      </c>
      <c r="L29" s="1496"/>
      <c r="M29" s="1839"/>
      <c r="N29" s="1839"/>
      <c r="O29" s="1839"/>
    </row>
    <row r="30" spans="1:15" ht="12" customHeight="1" x14ac:dyDescent="0.2">
      <c r="A30" s="1486" t="s">
        <v>1517</v>
      </c>
      <c r="B30" s="1487"/>
      <c r="C30" s="2057"/>
      <c r="D30" s="2057"/>
      <c r="E30" s="2059"/>
      <c r="F30" s="2058"/>
      <c r="G30" s="1496"/>
      <c r="H30" s="1496">
        <f t="shared" si="0"/>
        <v>0</v>
      </c>
      <c r="I30" s="1496">
        <f t="shared" si="1"/>
        <v>0</v>
      </c>
      <c r="J30" s="1496">
        <f t="shared" si="2"/>
        <v>0</v>
      </c>
      <c r="L30" s="1496"/>
      <c r="M30" s="1839"/>
      <c r="N30" s="1839"/>
      <c r="O30" s="1839"/>
    </row>
    <row r="31" spans="1:15" ht="12" customHeight="1" x14ac:dyDescent="0.2">
      <c r="A31" s="1486" t="s">
        <v>1518</v>
      </c>
      <c r="B31" s="1487"/>
      <c r="C31" s="2057" t="s">
        <v>2117</v>
      </c>
      <c r="D31" s="2057" t="s">
        <v>2117</v>
      </c>
      <c r="E31" s="2057" t="s">
        <v>2117</v>
      </c>
      <c r="F31" s="2058" t="s">
        <v>2130</v>
      </c>
      <c r="G31" s="1496"/>
      <c r="H31" s="1496">
        <f t="shared" si="0"/>
        <v>5</v>
      </c>
      <c r="I31" s="1496">
        <f t="shared" si="1"/>
        <v>5</v>
      </c>
      <c r="J31" s="1496">
        <f t="shared" si="2"/>
        <v>5</v>
      </c>
      <c r="L31" s="1840"/>
      <c r="M31" s="1839"/>
      <c r="N31" s="1839"/>
      <c r="O31" s="1839"/>
    </row>
    <row r="32" spans="1:15" ht="12" customHeight="1" x14ac:dyDescent="0.2">
      <c r="A32" s="1486" t="s">
        <v>1519</v>
      </c>
      <c r="B32" s="1487"/>
      <c r="C32" s="2057"/>
      <c r="D32" s="2057"/>
      <c r="E32" s="2059"/>
      <c r="F32" s="2058"/>
      <c r="G32" s="1496"/>
      <c r="H32" s="1496">
        <f t="shared" si="0"/>
        <v>0</v>
      </c>
      <c r="I32" s="1496">
        <f t="shared" si="1"/>
        <v>0</v>
      </c>
      <c r="J32" s="1496">
        <f t="shared" si="2"/>
        <v>0</v>
      </c>
      <c r="L32" s="1496"/>
      <c r="M32" s="1839"/>
      <c r="N32" s="1839"/>
      <c r="O32" s="1839"/>
    </row>
    <row r="33" spans="1:15" ht="12" customHeight="1" x14ac:dyDescent="0.2">
      <c r="A33" s="1486" t="s">
        <v>1520</v>
      </c>
      <c r="B33" s="1487"/>
      <c r="C33" s="2057"/>
      <c r="D33" s="2057"/>
      <c r="E33" s="2059"/>
      <c r="F33" s="2058"/>
      <c r="G33" s="1496"/>
      <c r="H33" s="1496">
        <f t="shared" si="0"/>
        <v>0</v>
      </c>
      <c r="I33" s="1496">
        <f t="shared" si="1"/>
        <v>0</v>
      </c>
      <c r="J33" s="1496">
        <f t="shared" si="2"/>
        <v>0</v>
      </c>
      <c r="L33" s="1496"/>
      <c r="M33" s="1839"/>
      <c r="N33" s="1839"/>
      <c r="O33" s="1839"/>
    </row>
    <row r="34" spans="1:15" ht="12" customHeight="1" x14ac:dyDescent="0.25">
      <c r="A34" s="1488"/>
      <c r="B34" s="1488"/>
      <c r="C34" s="1488"/>
      <c r="D34" s="1488"/>
      <c r="E34" s="1488"/>
      <c r="F34" s="1488"/>
      <c r="G34" s="1496"/>
      <c r="H34" s="1496">
        <f>SUM(H11:H32)</f>
        <v>60</v>
      </c>
      <c r="I34" s="1496">
        <f>SUM(I11:I32)</f>
        <v>65</v>
      </c>
      <c r="J34" s="1496">
        <f>SUM(J11:J32)</f>
        <v>65</v>
      </c>
      <c r="K34" s="1496">
        <f>SUM(H34:J34)</f>
        <v>190</v>
      </c>
      <c r="L34" s="1496"/>
      <c r="M34" s="1839"/>
      <c r="N34" s="1839"/>
      <c r="O34" s="1839"/>
    </row>
    <row r="35" spans="1:15" ht="12" customHeight="1" x14ac:dyDescent="0.2">
      <c r="A35" s="1489" t="s">
        <v>1372</v>
      </c>
      <c r="B35" s="1490"/>
      <c r="C35" s="2432"/>
      <c r="D35" s="2432"/>
      <c r="E35" s="2432"/>
      <c r="F35" s="2433"/>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37"/>
      <c r="B38" s="2438"/>
      <c r="C38" s="2438"/>
      <c r="D38" s="2438"/>
      <c r="E38" s="2438"/>
      <c r="F38" s="2439"/>
    </row>
    <row r="39" spans="1:15" ht="4.5" hidden="1" customHeight="1" x14ac:dyDescent="0.2">
      <c r="A39" s="1491"/>
      <c r="B39" s="1491"/>
      <c r="C39" s="1491"/>
      <c r="D39" s="1491"/>
      <c r="E39" s="1491"/>
      <c r="F39" s="1491"/>
    </row>
    <row r="40" spans="1:15" s="1488" customFormat="1" ht="12" customHeight="1" x14ac:dyDescent="0.25">
      <c r="A40" s="1492" t="s">
        <v>1371</v>
      </c>
      <c r="B40" s="1493"/>
      <c r="C40" s="2440"/>
      <c r="D40" s="2440"/>
      <c r="E40" s="2440"/>
      <c r="F40" s="2441"/>
      <c r="H40" s="1497"/>
      <c r="I40" s="1497"/>
      <c r="J40" s="1497"/>
      <c r="K40" s="1497"/>
    </row>
    <row r="41" spans="1:15" s="1488" customFormat="1" ht="12" customHeight="1" x14ac:dyDescent="0.25">
      <c r="A41" s="2442"/>
      <c r="B41" s="2443"/>
      <c r="C41" s="2443"/>
      <c r="D41" s="2443"/>
      <c r="E41" s="2443"/>
      <c r="F41" s="2444"/>
      <c r="H41" s="1497"/>
      <c r="I41" s="1497"/>
      <c r="J41" s="1497"/>
      <c r="K41" s="1497"/>
    </row>
    <row r="42" spans="1:15" s="1488" customFormat="1" ht="12" customHeight="1" x14ac:dyDescent="0.25">
      <c r="A42" s="2442"/>
      <c r="B42" s="2443"/>
      <c r="C42" s="2443"/>
      <c r="D42" s="2443"/>
      <c r="E42" s="2443"/>
      <c r="F42" s="2444"/>
      <c r="H42" s="1497"/>
      <c r="I42" s="1497"/>
      <c r="J42" s="1497"/>
      <c r="K42" s="1497"/>
    </row>
    <row r="43" spans="1:15" s="1488" customFormat="1" ht="15" x14ac:dyDescent="0.25">
      <c r="A43" s="2434"/>
      <c r="B43" s="2435"/>
      <c r="C43" s="2435"/>
      <c r="D43" s="2435"/>
      <c r="E43" s="2435"/>
      <c r="F43" s="2436"/>
      <c r="H43" s="1497"/>
      <c r="I43" s="1497"/>
      <c r="J43" s="1497"/>
      <c r="K43" s="1497"/>
    </row>
    <row r="44" spans="1:15" s="1488" customFormat="1" ht="12" hidden="1" customHeight="1" x14ac:dyDescent="0.25">
      <c r="A44" s="2434"/>
      <c r="B44" s="2435"/>
      <c r="C44" s="2435"/>
      <c r="D44" s="2435"/>
      <c r="E44" s="2435"/>
      <c r="F44" s="2436"/>
      <c r="H44" s="1497"/>
      <c r="I44" s="1497"/>
      <c r="J44" s="1497"/>
      <c r="K44" s="1497"/>
    </row>
    <row r="45" spans="1:15" s="1488" customFormat="1" ht="12" customHeight="1" x14ac:dyDescent="0.25">
      <c r="H45" s="1497"/>
      <c r="I45" s="1497"/>
      <c r="J45" s="1497"/>
      <c r="K45" s="1497"/>
    </row>
    <row r="46" spans="1:15" s="1488" customFormat="1" ht="9.75" customHeight="1" x14ac:dyDescent="0.25">
      <c r="H46" s="1497"/>
      <c r="I46" s="1497"/>
      <c r="J46" s="1497"/>
      <c r="K46" s="1497"/>
    </row>
    <row r="47" spans="1:15" s="1488" customFormat="1" ht="13.5" customHeight="1" x14ac:dyDescent="0.25">
      <c r="H47" s="1497"/>
      <c r="I47" s="1497"/>
      <c r="J47" s="1497"/>
      <c r="K47" s="1497"/>
    </row>
    <row r="48" spans="1:15" s="1488" customFormat="1" ht="15" x14ac:dyDescent="0.25">
      <c r="H48" s="1497"/>
      <c r="I48" s="1497"/>
      <c r="J48" s="1497"/>
      <c r="K48" s="1497"/>
    </row>
    <row r="49" spans="1:11" s="1488" customFormat="1" ht="15" hidden="1" x14ac:dyDescent="0.25">
      <c r="A49" s="1488" t="b">
        <v>0</v>
      </c>
      <c r="H49" s="1497"/>
      <c r="I49" s="1497"/>
      <c r="J49" s="1497"/>
      <c r="K49" s="1497"/>
    </row>
    <row r="50" spans="1:11" s="1488" customFormat="1" ht="15" x14ac:dyDescent="0.25">
      <c r="H50" s="1497"/>
      <c r="I50" s="1497"/>
      <c r="J50" s="1497"/>
      <c r="K50" s="1497"/>
    </row>
    <row r="51" spans="1:11" s="1488" customFormat="1" ht="15" x14ac:dyDescent="0.25">
      <c r="H51" s="1497"/>
      <c r="I51" s="1497"/>
      <c r="J51" s="1497"/>
      <c r="K51" s="1497"/>
    </row>
    <row r="52" spans="1:11" s="1488" customFormat="1" ht="15" x14ac:dyDescent="0.25">
      <c r="H52" s="1497"/>
      <c r="I52" s="1497"/>
      <c r="J52" s="1497"/>
      <c r="K52" s="1497"/>
    </row>
    <row r="53" spans="1:11" s="1488" customFormat="1" ht="15" x14ac:dyDescent="0.25">
      <c r="H53" s="1497"/>
      <c r="I53" s="1497"/>
      <c r="J53" s="1497"/>
      <c r="K53" s="1497"/>
    </row>
    <row r="54" spans="1:11" s="1488" customFormat="1" ht="15" x14ac:dyDescent="0.25">
      <c r="H54" s="1497"/>
      <c r="I54" s="1497"/>
      <c r="J54" s="1497"/>
      <c r="K54" s="1497"/>
    </row>
    <row r="55" spans="1:11" s="1488" customFormat="1" ht="15" x14ac:dyDescent="0.25">
      <c r="H55" s="1497"/>
      <c r="I55" s="1497"/>
      <c r="J55" s="1497"/>
      <c r="K55" s="1497"/>
    </row>
    <row r="56" spans="1:11" s="1488" customFormat="1" ht="15" x14ac:dyDescent="0.25">
      <c r="H56" s="1497"/>
      <c r="I56" s="1497"/>
      <c r="J56" s="1497"/>
      <c r="K56" s="1497"/>
    </row>
    <row r="57" spans="1:11" s="1488" customFormat="1" ht="15" x14ac:dyDescent="0.25">
      <c r="H57" s="1497"/>
      <c r="I57" s="1497"/>
      <c r="J57" s="1497"/>
      <c r="K57" s="1497"/>
    </row>
    <row r="58" spans="1:11" s="1488" customFormat="1" ht="15" x14ac:dyDescent="0.25">
      <c r="H58" s="1497"/>
      <c r="I58" s="1497"/>
      <c r="J58" s="1497"/>
      <c r="K58" s="1497"/>
    </row>
    <row r="59" spans="1:11" s="1488" customFormat="1" ht="15" x14ac:dyDescent="0.25">
      <c r="H59" s="1497"/>
      <c r="I59" s="1497"/>
      <c r="J59" s="1497"/>
      <c r="K59" s="1497"/>
    </row>
    <row r="60" spans="1:11" s="1488" customFormat="1" ht="15" x14ac:dyDescent="0.25">
      <c r="H60" s="1497"/>
      <c r="I60" s="1497"/>
      <c r="J60" s="1497"/>
      <c r="K60" s="1497"/>
    </row>
    <row r="61" spans="1:11" s="1488" customFormat="1" ht="15" x14ac:dyDescent="0.25">
      <c r="H61" s="1497"/>
      <c r="I61" s="1497"/>
      <c r="J61" s="1497"/>
      <c r="K61" s="1497"/>
    </row>
    <row r="62" spans="1:11" s="1488" customFormat="1" ht="15" x14ac:dyDescent="0.25">
      <c r="H62" s="1497"/>
      <c r="I62" s="1497"/>
      <c r="J62" s="1497"/>
      <c r="K62" s="1497"/>
    </row>
    <row r="63" spans="1:11" s="1488" customFormat="1" ht="15" x14ac:dyDescent="0.25">
      <c r="H63" s="1497"/>
      <c r="I63" s="1497"/>
      <c r="J63" s="1497"/>
      <c r="K63" s="1497"/>
    </row>
    <row r="64" spans="1:11" s="1488" customFormat="1" ht="15" x14ac:dyDescent="0.25">
      <c r="H64" s="1497"/>
      <c r="I64" s="1497"/>
      <c r="J64" s="1497"/>
      <c r="K64" s="1497"/>
    </row>
    <row r="65" spans="8:11" s="1488" customFormat="1" ht="15" x14ac:dyDescent="0.25">
      <c r="H65" s="1497"/>
      <c r="I65" s="1497"/>
      <c r="J65" s="1497"/>
      <c r="K65" s="1497"/>
    </row>
    <row r="66" spans="8:11" s="1488" customFormat="1" ht="15" x14ac:dyDescent="0.25">
      <c r="H66" s="1497"/>
      <c r="I66" s="1497"/>
      <c r="J66" s="1497"/>
      <c r="K66" s="1497"/>
    </row>
    <row r="67" spans="8:11" s="1488" customFormat="1" ht="15" x14ac:dyDescent="0.25">
      <c r="H67" s="1497"/>
      <c r="I67" s="1497"/>
      <c r="J67" s="1497"/>
      <c r="K67" s="1497"/>
    </row>
    <row r="68" spans="8:11" s="1488" customFormat="1" ht="15" x14ac:dyDescent="0.25">
      <c r="H68" s="1497"/>
      <c r="I68" s="1497"/>
      <c r="J68" s="1497"/>
      <c r="K68" s="1497"/>
    </row>
    <row r="69" spans="8:11" s="1488" customFormat="1" ht="15" x14ac:dyDescent="0.25">
      <c r="H69" s="1497"/>
      <c r="I69" s="1497"/>
      <c r="J69" s="1497"/>
      <c r="K69" s="1497"/>
    </row>
    <row r="70" spans="8:11" s="1488" customFormat="1" ht="15" x14ac:dyDescent="0.25">
      <c r="H70" s="1497"/>
      <c r="I70" s="1497"/>
      <c r="J70" s="1497"/>
      <c r="K70" s="1497"/>
    </row>
    <row r="71" spans="8:11" s="1488" customFormat="1" ht="15" x14ac:dyDescent="0.25">
      <c r="H71" s="1497"/>
      <c r="I71" s="1497"/>
      <c r="J71" s="1497"/>
      <c r="K71" s="1497"/>
    </row>
    <row r="72" spans="8:11" s="1488" customFormat="1" ht="15" x14ac:dyDescent="0.25">
      <c r="H72" s="1497"/>
      <c r="I72" s="1497"/>
      <c r="J72" s="1497"/>
      <c r="K72" s="1497"/>
    </row>
    <row r="73" spans="8:11" s="1488" customFormat="1" ht="15" x14ac:dyDescent="0.25">
      <c r="H73" s="1497"/>
      <c r="I73" s="1497"/>
      <c r="J73" s="1497"/>
      <c r="K73" s="1497"/>
    </row>
    <row r="74" spans="8:11" s="1488" customFormat="1" ht="15" x14ac:dyDescent="0.25">
      <c r="H74" s="1497"/>
      <c r="I74" s="1497"/>
      <c r="J74" s="1497"/>
      <c r="K74" s="1497"/>
    </row>
    <row r="75" spans="8:11" s="1488" customFormat="1" ht="15" x14ac:dyDescent="0.25">
      <c r="H75" s="1497"/>
      <c r="I75" s="1497"/>
      <c r="J75" s="1497"/>
      <c r="K75" s="1497"/>
    </row>
    <row r="76" spans="8:11" s="1488" customFormat="1" ht="15" x14ac:dyDescent="0.25">
      <c r="H76" s="1497"/>
      <c r="I76" s="1497"/>
      <c r="J76" s="1497"/>
      <c r="K76" s="1497"/>
    </row>
    <row r="77" spans="8:11" s="1488" customFormat="1" ht="15" x14ac:dyDescent="0.25">
      <c r="H77" s="1497"/>
      <c r="I77" s="1497"/>
      <c r="J77" s="1497"/>
      <c r="K77" s="1497"/>
    </row>
    <row r="78" spans="8:11" s="1488" customFormat="1" ht="15" x14ac:dyDescent="0.25">
      <c r="H78" s="1497"/>
      <c r="I78" s="1497"/>
      <c r="J78" s="1497"/>
      <c r="K78" s="1497"/>
    </row>
    <row r="79" spans="8:11" s="1488" customFormat="1" ht="15" x14ac:dyDescent="0.25">
      <c r="H79" s="1497"/>
      <c r="I79" s="1497"/>
      <c r="J79" s="1497"/>
      <c r="K79" s="1497"/>
    </row>
    <row r="80" spans="8:11" s="1488" customFormat="1" ht="15" x14ac:dyDescent="0.25">
      <c r="H80" s="1497"/>
      <c r="I80" s="1497"/>
      <c r="J80" s="1497"/>
      <c r="K80" s="1497"/>
    </row>
    <row r="81" spans="8:11" s="1488" customFormat="1" ht="15" x14ac:dyDescent="0.25">
      <c r="H81" s="1497"/>
      <c r="I81" s="1497"/>
      <c r="J81" s="1497"/>
      <c r="K81" s="1497"/>
    </row>
    <row r="82" spans="8:11" s="1488" customFormat="1" ht="15" x14ac:dyDescent="0.25">
      <c r="H82" s="1497"/>
      <c r="I82" s="1497"/>
      <c r="J82" s="1497"/>
      <c r="K82" s="1497"/>
    </row>
    <row r="83" spans="8:11" s="1488" customFormat="1" ht="15" x14ac:dyDescent="0.25">
      <c r="H83" s="1497"/>
      <c r="I83" s="1497"/>
      <c r="J83" s="1497"/>
      <c r="K83" s="1497"/>
    </row>
    <row r="84" spans="8:11" s="1488" customFormat="1" ht="15" x14ac:dyDescent="0.25">
      <c r="H84" s="1497"/>
      <c r="I84" s="1497"/>
      <c r="J84" s="1497"/>
      <c r="K84" s="1497"/>
    </row>
    <row r="85" spans="8:11" s="1488" customFormat="1" ht="15" x14ac:dyDescent="0.25">
      <c r="H85" s="1497"/>
      <c r="I85" s="1497"/>
      <c r="J85" s="1497"/>
      <c r="K85" s="1497"/>
    </row>
    <row r="86" spans="8:11" s="1488" customFormat="1" ht="15" x14ac:dyDescent="0.25">
      <c r="H86" s="1497"/>
      <c r="I86" s="1497"/>
      <c r="J86" s="1497"/>
      <c r="K86" s="1497"/>
    </row>
    <row r="87" spans="8:11" s="1488" customFormat="1" ht="15" x14ac:dyDescent="0.25">
      <c r="H87" s="1497"/>
      <c r="I87" s="1497"/>
      <c r="J87" s="1497"/>
      <c r="K87" s="1497"/>
    </row>
    <row r="88" spans="8:11" s="1488" customFormat="1" ht="15" x14ac:dyDescent="0.25">
      <c r="H88" s="1497"/>
      <c r="I88" s="1497"/>
      <c r="J88" s="1497"/>
      <c r="K88" s="1497"/>
    </row>
    <row r="89" spans="8:11" s="1488" customFormat="1" ht="15" x14ac:dyDescent="0.25">
      <c r="H89" s="1497"/>
      <c r="I89" s="1497"/>
      <c r="J89" s="1497"/>
      <c r="K89" s="1497"/>
    </row>
    <row r="90" spans="8:11" s="1488" customFormat="1" ht="15" x14ac:dyDescent="0.25">
      <c r="H90" s="1497"/>
      <c r="I90" s="1497"/>
      <c r="J90" s="1497"/>
      <c r="K90" s="1497"/>
    </row>
    <row r="91" spans="8:11" s="1488" customFormat="1" ht="15" x14ac:dyDescent="0.25">
      <c r="H91" s="1497"/>
      <c r="I91" s="1497"/>
      <c r="J91" s="1497"/>
      <c r="K91" s="1497"/>
    </row>
    <row r="92" spans="8:11" s="1488" customFormat="1" ht="15" x14ac:dyDescent="0.25">
      <c r="H92" s="1497"/>
      <c r="I92" s="1497"/>
      <c r="J92" s="1497"/>
      <c r="K92" s="1497"/>
    </row>
    <row r="93" spans="8:11" s="1488" customFormat="1" ht="15" x14ac:dyDescent="0.25">
      <c r="H93" s="1497"/>
      <c r="I93" s="1497"/>
      <c r="J93" s="1497"/>
      <c r="K93" s="1497"/>
    </row>
    <row r="94" spans="8:11" s="1488" customFormat="1" ht="15" x14ac:dyDescent="0.25">
      <c r="H94" s="1497"/>
      <c r="I94" s="1497"/>
      <c r="J94" s="1497"/>
      <c r="K94" s="1497"/>
    </row>
    <row r="95" spans="8:11" s="1488" customFormat="1" ht="15" x14ac:dyDescent="0.25">
      <c r="H95" s="1497"/>
      <c r="I95" s="1497"/>
      <c r="J95" s="1497"/>
      <c r="K95" s="1497"/>
    </row>
    <row r="96" spans="8:11" s="1488" customFormat="1" ht="15" x14ac:dyDescent="0.25">
      <c r="H96" s="1497"/>
      <c r="I96" s="1497"/>
      <c r="J96" s="1497"/>
      <c r="K96" s="1497"/>
    </row>
    <row r="97" spans="8:11" s="1488" customFormat="1" ht="15" x14ac:dyDescent="0.25">
      <c r="H97" s="1497"/>
      <c r="I97" s="1497"/>
      <c r="J97" s="1497"/>
      <c r="K97" s="149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9FF33"/>
  </sheetPr>
  <dimension ref="A1:N72"/>
  <sheetViews>
    <sheetView topLeftCell="A43" workbookViewId="0">
      <selection activeCell="E67" sqref="E67"/>
    </sheetView>
  </sheetViews>
  <sheetFormatPr defaultColWidth="9.140625" defaultRowHeight="15" x14ac:dyDescent="0.25"/>
  <cols>
    <col min="1" max="1" width="2.7109375" style="1919" customWidth="1"/>
    <col min="2" max="2" width="3" style="1919" customWidth="1"/>
    <col min="3" max="3" width="38" style="1919" customWidth="1"/>
    <col min="4" max="4" width="7.7109375" style="1919" customWidth="1"/>
    <col min="5" max="5" width="10.7109375" style="1919" customWidth="1"/>
    <col min="6" max="6" width="11" style="1919" customWidth="1"/>
    <col min="7" max="8" width="9.140625" style="1919"/>
    <col min="9" max="9" width="10.85546875" style="1919" customWidth="1"/>
    <col min="10" max="10" width="12.42578125" style="1919" customWidth="1"/>
    <col min="11" max="11" width="9.140625" style="1919"/>
    <col min="12" max="12" width="13.140625" style="1919" customWidth="1"/>
    <col min="13" max="13" width="9.140625" style="1919"/>
    <col min="14" max="14" width="17.85546875" style="1919" customWidth="1"/>
    <col min="15" max="16384" width="9.140625" style="1919"/>
  </cols>
  <sheetData>
    <row r="1" spans="1:14" x14ac:dyDescent="0.25">
      <c r="A1" s="2033"/>
      <c r="B1" s="2030"/>
      <c r="C1" s="2030"/>
      <c r="D1" s="2030"/>
      <c r="E1" s="2030"/>
      <c r="F1" s="2030"/>
      <c r="G1" s="2032" t="s">
        <v>401</v>
      </c>
      <c r="H1" s="2031"/>
      <c r="I1" s="2030"/>
      <c r="J1" s="2030"/>
      <c r="K1" s="2030"/>
      <c r="L1" s="2030"/>
      <c r="M1" s="2030"/>
      <c r="N1" s="2029"/>
    </row>
    <row r="2" spans="1:14" x14ac:dyDescent="0.25">
      <c r="A2" s="1962"/>
      <c r="B2" s="847"/>
      <c r="C2" s="847"/>
      <c r="D2" s="847"/>
      <c r="E2" s="847"/>
      <c r="F2" s="847"/>
      <c r="G2" s="1918" t="s">
        <v>1998</v>
      </c>
      <c r="H2" s="2028"/>
      <c r="I2" s="847"/>
      <c r="J2" s="847"/>
      <c r="K2" s="847"/>
      <c r="L2" s="847"/>
      <c r="M2" s="847"/>
      <c r="N2" s="1961"/>
    </row>
    <row r="3" spans="1:14" x14ac:dyDescent="0.25">
      <c r="A3" s="1962"/>
      <c r="B3" s="847"/>
      <c r="C3" s="847"/>
      <c r="D3" s="847"/>
      <c r="E3" s="847"/>
      <c r="F3" s="847"/>
      <c r="G3" s="1918" t="s">
        <v>402</v>
      </c>
      <c r="H3" s="847"/>
      <c r="I3" s="847"/>
      <c r="J3" s="847"/>
      <c r="K3" s="847"/>
      <c r="L3" s="847"/>
      <c r="M3" s="847"/>
      <c r="N3" s="1961"/>
    </row>
    <row r="4" spans="1:14" x14ac:dyDescent="0.25">
      <c r="A4" s="1962"/>
      <c r="B4" s="847"/>
      <c r="C4" s="847"/>
      <c r="D4" s="847"/>
      <c r="E4" s="847"/>
      <c r="F4" s="847"/>
      <c r="G4" s="1918" t="s">
        <v>861</v>
      </c>
      <c r="H4" s="847"/>
      <c r="I4" s="847"/>
      <c r="J4" s="847"/>
      <c r="K4" s="847"/>
      <c r="L4" s="847"/>
      <c r="M4" s="847"/>
      <c r="N4" s="1961"/>
    </row>
    <row r="5" spans="1:14" x14ac:dyDescent="0.25">
      <c r="A5" s="1962"/>
      <c r="B5" s="847"/>
      <c r="C5" s="847"/>
      <c r="D5" s="847"/>
      <c r="E5" s="847"/>
      <c r="F5" s="1918"/>
      <c r="G5" s="1918"/>
      <c r="H5" s="847"/>
      <c r="I5" s="847"/>
      <c r="J5" s="847"/>
      <c r="K5" s="847"/>
      <c r="L5" s="847"/>
      <c r="M5" s="847"/>
      <c r="N5" s="1961"/>
    </row>
    <row r="6" spans="1:14" x14ac:dyDescent="0.25">
      <c r="A6" s="2027" t="s">
        <v>666</v>
      </c>
      <c r="B6" s="1370"/>
      <c r="C6" s="1370"/>
      <c r="D6" s="1370"/>
      <c r="E6" s="1371"/>
      <c r="F6" s="2026"/>
      <c r="G6" s="1918"/>
      <c r="H6" s="847"/>
      <c r="I6" s="1950" t="s">
        <v>1019</v>
      </c>
      <c r="J6" s="2487" t="str">
        <f>COVER!A17</f>
        <v xml:space="preserve">   Lincolnshire-Prairieview SD 103</v>
      </c>
      <c r="K6" s="2487"/>
      <c r="L6" s="2488"/>
      <c r="M6" s="847"/>
      <c r="N6" s="1961"/>
    </row>
    <row r="7" spans="1:14" x14ac:dyDescent="0.25">
      <c r="A7" s="2489" t="s">
        <v>862</v>
      </c>
      <c r="B7" s="2490"/>
      <c r="C7" s="2490"/>
      <c r="D7" s="2490"/>
      <c r="E7" s="2491"/>
      <c r="F7" s="2025"/>
      <c r="G7" s="847"/>
      <c r="H7" s="847"/>
      <c r="I7" s="1950" t="s">
        <v>368</v>
      </c>
      <c r="J7" s="2492">
        <f>COVER!A13</f>
        <v>34049103002</v>
      </c>
      <c r="K7" s="2492"/>
      <c r="L7" s="2492"/>
      <c r="M7" s="847"/>
      <c r="N7" s="1961"/>
    </row>
    <row r="8" spans="1:14" x14ac:dyDescent="0.25">
      <c r="A8" s="2024"/>
      <c r="B8" s="2023"/>
      <c r="C8" s="2023"/>
      <c r="D8" s="2023"/>
      <c r="E8" s="2022"/>
      <c r="F8" s="2021"/>
      <c r="G8" s="2020"/>
      <c r="H8" s="2020"/>
      <c r="I8" s="2020"/>
      <c r="J8" s="2020"/>
      <c r="K8" s="2020"/>
      <c r="L8" s="2020"/>
      <c r="M8" s="847"/>
      <c r="N8" s="1961"/>
    </row>
    <row r="9" spans="1:14" x14ac:dyDescent="0.25">
      <c r="A9" s="2019"/>
      <c r="B9" s="2018"/>
      <c r="C9" s="2018"/>
      <c r="D9" s="2017"/>
      <c r="E9" s="2016" t="s">
        <v>2058</v>
      </c>
      <c r="F9" s="2014"/>
      <c r="G9" s="2014"/>
      <c r="H9" s="2014"/>
      <c r="I9" s="2015" t="s">
        <v>2057</v>
      </c>
      <c r="J9" s="2014"/>
      <c r="K9" s="2014"/>
      <c r="L9" s="2013"/>
      <c r="M9" s="847"/>
      <c r="N9" s="1961"/>
    </row>
    <row r="10" spans="1:14" x14ac:dyDescent="0.25">
      <c r="A10" s="1962"/>
      <c r="B10" s="847"/>
      <c r="C10" s="1918"/>
      <c r="D10" s="2012"/>
      <c r="E10" s="2011" t="s">
        <v>421</v>
      </c>
      <c r="F10" s="2008" t="s">
        <v>422</v>
      </c>
      <c r="G10" s="2009" t="s">
        <v>428</v>
      </c>
      <c r="H10" s="2010"/>
      <c r="I10" s="2008" t="s">
        <v>421</v>
      </c>
      <c r="J10" s="2008" t="s">
        <v>422</v>
      </c>
      <c r="K10" s="2009" t="s">
        <v>428</v>
      </c>
      <c r="L10" s="2008"/>
      <c r="M10" s="847"/>
      <c r="N10" s="1961"/>
    </row>
    <row r="11" spans="1:14" ht="51" x14ac:dyDescent="0.25">
      <c r="A11" s="2493" t="s">
        <v>477</v>
      </c>
      <c r="B11" s="2494"/>
      <c r="C11" s="2495"/>
      <c r="D11" s="2007" t="s">
        <v>864</v>
      </c>
      <c r="E11" s="2007" t="s">
        <v>64</v>
      </c>
      <c r="F11" s="2007" t="s">
        <v>6</v>
      </c>
      <c r="G11" s="2006" t="s">
        <v>2056</v>
      </c>
      <c r="H11" s="2005" t="s">
        <v>155</v>
      </c>
      <c r="I11" s="2007" t="s">
        <v>64</v>
      </c>
      <c r="J11" s="2007" t="s">
        <v>6</v>
      </c>
      <c r="K11" s="2006" t="s">
        <v>1997</v>
      </c>
      <c r="L11" s="2005" t="s">
        <v>155</v>
      </c>
      <c r="M11" s="847"/>
      <c r="N11" s="1961"/>
    </row>
    <row r="12" spans="1:14" x14ac:dyDescent="0.25">
      <c r="A12" s="1991">
        <v>1</v>
      </c>
      <c r="B12" s="2003" t="s">
        <v>811</v>
      </c>
      <c r="C12" s="2002"/>
      <c r="D12" s="2001">
        <v>2320</v>
      </c>
      <c r="E12" s="2000">
        <f>'Expenditures 15-22'!K50</f>
        <v>427431</v>
      </c>
      <c r="F12" s="1998"/>
      <c r="G12" s="1999">
        <f>G68</f>
        <v>0</v>
      </c>
      <c r="H12" s="1995">
        <f t="shared" ref="H12:H18" si="0">SUM(E12:G12)</f>
        <v>427431</v>
      </c>
      <c r="I12" s="1996">
        <v>417028</v>
      </c>
      <c r="J12" s="1998"/>
      <c r="K12" s="1996">
        <v>0</v>
      </c>
      <c r="L12" s="1995">
        <f t="shared" ref="L12:L18" si="1">SUM(I12:K12)</f>
        <v>417028</v>
      </c>
      <c r="M12" s="847"/>
      <c r="N12" s="1961"/>
    </row>
    <row r="13" spans="1:14" x14ac:dyDescent="0.25">
      <c r="A13" s="1991">
        <v>2</v>
      </c>
      <c r="B13" s="2003" t="s">
        <v>42</v>
      </c>
      <c r="C13" s="2002"/>
      <c r="D13" s="2001">
        <v>2330</v>
      </c>
      <c r="E13" s="2000">
        <f>'Expenditures 15-22'!K51</f>
        <v>344884</v>
      </c>
      <c r="F13" s="1998"/>
      <c r="G13" s="1999">
        <f>H68</f>
        <v>0</v>
      </c>
      <c r="H13" s="1995">
        <f t="shared" si="0"/>
        <v>344884</v>
      </c>
      <c r="I13" s="1996">
        <v>373710</v>
      </c>
      <c r="J13" s="1998"/>
      <c r="K13" s="1996">
        <v>0</v>
      </c>
      <c r="L13" s="1995">
        <f t="shared" si="1"/>
        <v>373710</v>
      </c>
      <c r="M13" s="847"/>
      <c r="N13" s="1961"/>
    </row>
    <row r="14" spans="1:14" x14ac:dyDescent="0.25">
      <c r="A14" s="1991">
        <v>3</v>
      </c>
      <c r="B14" s="2003" t="s">
        <v>43</v>
      </c>
      <c r="C14" s="2002"/>
      <c r="D14" s="2004">
        <v>2490</v>
      </c>
      <c r="E14" s="2000">
        <f>'Expenditures 15-22'!K56</f>
        <v>0</v>
      </c>
      <c r="F14" s="1998"/>
      <c r="G14" s="1999">
        <f>I68</f>
        <v>0</v>
      </c>
      <c r="H14" s="1995">
        <f t="shared" si="0"/>
        <v>0</v>
      </c>
      <c r="I14" s="1996">
        <v>0</v>
      </c>
      <c r="J14" s="1998"/>
      <c r="K14" s="1996">
        <v>0</v>
      </c>
      <c r="L14" s="1995">
        <f t="shared" si="1"/>
        <v>0</v>
      </c>
      <c r="M14" s="847"/>
      <c r="N14" s="1961"/>
    </row>
    <row r="15" spans="1:14" x14ac:dyDescent="0.25">
      <c r="A15" s="1991">
        <v>4</v>
      </c>
      <c r="B15" s="2003" t="s">
        <v>1057</v>
      </c>
      <c r="C15" s="2002"/>
      <c r="D15" s="2001">
        <v>2510</v>
      </c>
      <c r="E15" s="2000">
        <f>'Expenditures 15-22'!K59</f>
        <v>215423</v>
      </c>
      <c r="F15" s="2000">
        <f>'Expenditures 15-22'!K122</f>
        <v>0</v>
      </c>
      <c r="G15" s="1999">
        <f>J68</f>
        <v>0</v>
      </c>
      <c r="H15" s="1995">
        <f t="shared" si="0"/>
        <v>215423</v>
      </c>
      <c r="I15" s="1996">
        <v>229375</v>
      </c>
      <c r="J15" s="1996">
        <v>0</v>
      </c>
      <c r="K15" s="1996">
        <v>0</v>
      </c>
      <c r="L15" s="1995">
        <f t="shared" si="1"/>
        <v>229375</v>
      </c>
      <c r="M15" s="847"/>
      <c r="N15" s="1961"/>
    </row>
    <row r="16" spans="1:14" x14ac:dyDescent="0.25">
      <c r="A16" s="1991">
        <v>5</v>
      </c>
      <c r="B16" s="2003" t="s">
        <v>101</v>
      </c>
      <c r="C16" s="2002"/>
      <c r="D16" s="2001">
        <v>2570</v>
      </c>
      <c r="E16" s="2000">
        <f>'Expenditures 15-22'!K64</f>
        <v>0</v>
      </c>
      <c r="F16" s="1998"/>
      <c r="G16" s="1999">
        <f>K68</f>
        <v>0</v>
      </c>
      <c r="H16" s="1995">
        <f t="shared" si="0"/>
        <v>0</v>
      </c>
      <c r="I16" s="1996">
        <v>0</v>
      </c>
      <c r="J16" s="1998"/>
      <c r="K16" s="1996">
        <v>0</v>
      </c>
      <c r="L16" s="1995">
        <f t="shared" si="1"/>
        <v>0</v>
      </c>
      <c r="M16" s="847"/>
      <c r="N16" s="1961"/>
    </row>
    <row r="17" spans="1:14" x14ac:dyDescent="0.25">
      <c r="A17" s="1991">
        <v>6</v>
      </c>
      <c r="B17" s="2003" t="s">
        <v>1049</v>
      </c>
      <c r="C17" s="2002"/>
      <c r="D17" s="2001">
        <v>2610</v>
      </c>
      <c r="E17" s="2000">
        <f>'Expenditures 15-22'!K67</f>
        <v>0</v>
      </c>
      <c r="F17" s="1998"/>
      <c r="G17" s="1999">
        <f>L68</f>
        <v>0</v>
      </c>
      <c r="H17" s="1995">
        <f t="shared" si="0"/>
        <v>0</v>
      </c>
      <c r="I17" s="1996">
        <v>0</v>
      </c>
      <c r="J17" s="1998"/>
      <c r="K17" s="1996">
        <v>0</v>
      </c>
      <c r="L17" s="1995">
        <f t="shared" si="1"/>
        <v>0</v>
      </c>
      <c r="M17" s="847"/>
      <c r="N17" s="1961"/>
    </row>
    <row r="18" spans="1:14" ht="28.5" customHeight="1" x14ac:dyDescent="0.25">
      <c r="A18" s="1997">
        <v>7</v>
      </c>
      <c r="B18" s="2496" t="s">
        <v>7</v>
      </c>
      <c r="C18" s="2496"/>
      <c r="D18" s="2497"/>
      <c r="E18" s="1996"/>
      <c r="F18" s="1996"/>
      <c r="G18" s="1996"/>
      <c r="H18" s="1995">
        <f t="shared" si="0"/>
        <v>0</v>
      </c>
      <c r="I18" s="1996"/>
      <c r="J18" s="1996"/>
      <c r="K18" s="1996"/>
      <c r="L18" s="1995">
        <f t="shared" si="1"/>
        <v>0</v>
      </c>
      <c r="M18" s="847"/>
      <c r="N18" s="1961"/>
    </row>
    <row r="19" spans="1:14" ht="15.75" thickBot="1" x14ac:dyDescent="0.3">
      <c r="A19" s="1991">
        <v>8</v>
      </c>
      <c r="B19" s="1994" t="s">
        <v>1149</v>
      </c>
      <c r="C19" s="847"/>
      <c r="D19" s="1993"/>
      <c r="E19" s="1992">
        <f t="shared" ref="E19:L19" si="2">SUM(E12:E17)-E18</f>
        <v>987738</v>
      </c>
      <c r="F19" s="1992">
        <f t="shared" si="2"/>
        <v>0</v>
      </c>
      <c r="G19" s="1992">
        <f t="shared" si="2"/>
        <v>0</v>
      </c>
      <c r="H19" s="1992">
        <f t="shared" si="2"/>
        <v>987738</v>
      </c>
      <c r="I19" s="1992">
        <f t="shared" si="2"/>
        <v>1020113</v>
      </c>
      <c r="J19" s="1992">
        <f t="shared" si="2"/>
        <v>0</v>
      </c>
      <c r="K19" s="1992">
        <f t="shared" si="2"/>
        <v>0</v>
      </c>
      <c r="L19" s="1992">
        <f t="shared" si="2"/>
        <v>1020113</v>
      </c>
      <c r="M19" s="847"/>
      <c r="N19" s="1961"/>
    </row>
    <row r="20" spans="1:14" ht="15.75" thickTop="1" x14ac:dyDescent="0.25">
      <c r="A20" s="1991">
        <v>9</v>
      </c>
      <c r="B20" s="2485" t="s">
        <v>2055</v>
      </c>
      <c r="C20" s="2485"/>
      <c r="D20" s="2486"/>
      <c r="E20" s="1990"/>
      <c r="F20" s="1990"/>
      <c r="G20" s="1990"/>
      <c r="H20" s="1990"/>
      <c r="I20" s="1990"/>
      <c r="J20" s="1990"/>
      <c r="K20" s="1990"/>
      <c r="L20" s="1989">
        <f>IF(AND(H19&gt;0,L19&gt;0),(((L19-H19)/H19)),"Enter Budget Data")</f>
        <v>3.2776910476259899E-2</v>
      </c>
      <c r="M20" s="847"/>
      <c r="N20" s="1961"/>
    </row>
    <row r="21" spans="1:14" x14ac:dyDescent="0.25">
      <c r="A21" s="1988" t="s">
        <v>194</v>
      </c>
      <c r="B21" s="294" t="s">
        <v>2054</v>
      </c>
      <c r="C21" s="847"/>
      <c r="D21" s="1972"/>
      <c r="E21" s="1971"/>
      <c r="F21" s="1987"/>
      <c r="G21" s="1987"/>
      <c r="H21" s="1987"/>
      <c r="I21" s="1987"/>
      <c r="J21" s="1987"/>
      <c r="K21" s="1987"/>
      <c r="L21" s="1986"/>
      <c r="M21" s="847"/>
      <c r="N21" s="1961"/>
    </row>
    <row r="22" spans="1:14" x14ac:dyDescent="0.25">
      <c r="A22" s="1962"/>
      <c r="B22" s="1974"/>
      <c r="C22" s="847"/>
      <c r="D22" s="847"/>
      <c r="E22" s="847"/>
      <c r="F22" s="847"/>
      <c r="G22" s="847"/>
      <c r="H22" s="847"/>
      <c r="I22" s="847"/>
      <c r="J22" s="847"/>
      <c r="K22" s="847"/>
      <c r="L22" s="847"/>
      <c r="M22" s="847"/>
      <c r="N22" s="1961"/>
    </row>
    <row r="23" spans="1:14" x14ac:dyDescent="0.25">
      <c r="A23" s="1985" t="s">
        <v>132</v>
      </c>
      <c r="B23" s="1974"/>
      <c r="C23" s="847"/>
      <c r="D23" s="847"/>
      <c r="E23" s="847"/>
      <c r="F23" s="847"/>
      <c r="G23" s="847"/>
      <c r="H23" s="847"/>
      <c r="I23" s="847"/>
      <c r="J23" s="847"/>
      <c r="K23" s="847"/>
      <c r="L23" s="847"/>
      <c r="M23" s="847"/>
      <c r="N23" s="1961"/>
    </row>
    <row r="24" spans="1:14" x14ac:dyDescent="0.25">
      <c r="A24" s="1984" t="s">
        <v>2053</v>
      </c>
      <c r="B24" s="1983"/>
      <c r="C24" s="1982"/>
      <c r="D24" s="1982"/>
      <c r="E24" s="1982"/>
      <c r="F24" s="1982"/>
      <c r="G24" s="1982"/>
      <c r="H24" s="1982"/>
      <c r="I24" s="1982"/>
      <c r="J24" s="1982"/>
      <c r="K24" s="1982"/>
      <c r="L24" s="847"/>
      <c r="M24" s="847"/>
      <c r="N24" s="1961"/>
    </row>
    <row r="25" spans="1:14" x14ac:dyDescent="0.25">
      <c r="A25" s="1984" t="s">
        <v>2052</v>
      </c>
      <c r="B25" s="1983"/>
      <c r="C25" s="1982"/>
      <c r="D25" s="1982"/>
      <c r="E25" s="1982"/>
      <c r="F25" s="1982"/>
      <c r="G25" s="1982"/>
      <c r="H25" s="1982"/>
      <c r="I25" s="1982"/>
      <c r="J25" s="1982"/>
      <c r="K25" s="1982"/>
      <c r="L25" s="847"/>
      <c r="M25" s="847"/>
      <c r="N25" s="1961"/>
    </row>
    <row r="26" spans="1:14" x14ac:dyDescent="0.25">
      <c r="A26" s="1981"/>
      <c r="B26" s="1974"/>
      <c r="C26" s="847"/>
      <c r="D26" s="847"/>
      <c r="E26" s="847"/>
      <c r="F26" s="847"/>
      <c r="G26" s="847"/>
      <c r="H26" s="847"/>
      <c r="I26" s="847"/>
      <c r="J26" s="847"/>
      <c r="K26" s="847"/>
      <c r="L26" s="847"/>
      <c r="M26" s="847"/>
      <c r="N26" s="1961"/>
    </row>
    <row r="27" spans="1:14" x14ac:dyDescent="0.25">
      <c r="A27" s="1962"/>
      <c r="B27" s="1974"/>
      <c r="C27" s="2471"/>
      <c r="D27" s="2471"/>
      <c r="E27" s="1980"/>
      <c r="F27" s="2472"/>
      <c r="G27" s="2472"/>
      <c r="H27" s="2472"/>
      <c r="I27" s="847"/>
      <c r="J27" s="847"/>
      <c r="K27" s="847"/>
      <c r="L27" s="847"/>
      <c r="M27" s="847"/>
      <c r="N27" s="1961"/>
    </row>
    <row r="28" spans="1:14" x14ac:dyDescent="0.25">
      <c r="A28" s="1962"/>
      <c r="B28" s="1974"/>
      <c r="C28" s="1979" t="s">
        <v>1024</v>
      </c>
      <c r="D28" s="1978"/>
      <c r="E28" s="1977"/>
      <c r="F28" s="2473" t="s">
        <v>1488</v>
      </c>
      <c r="G28" s="2473"/>
      <c r="H28" s="2473"/>
      <c r="I28" s="847"/>
      <c r="J28" s="847"/>
      <c r="K28" s="847"/>
      <c r="L28" s="847"/>
      <c r="M28" s="847"/>
      <c r="N28" s="1961"/>
    </row>
    <row r="29" spans="1:14" x14ac:dyDescent="0.25">
      <c r="A29" s="1962"/>
      <c r="B29" s="1974"/>
      <c r="C29" s="2474"/>
      <c r="D29" s="2474"/>
      <c r="E29" s="846"/>
      <c r="F29" s="2474"/>
      <c r="G29" s="2474"/>
      <c r="H29" s="2474"/>
      <c r="I29" s="847"/>
      <c r="J29" s="847"/>
      <c r="K29" s="847"/>
      <c r="L29" s="847"/>
      <c r="M29" s="847"/>
      <c r="N29" s="1961"/>
    </row>
    <row r="30" spans="1:14" x14ac:dyDescent="0.25">
      <c r="A30" s="1962"/>
      <c r="B30" s="1974"/>
      <c r="C30" s="1976" t="s">
        <v>1540</v>
      </c>
      <c r="D30" s="847"/>
      <c r="E30" s="1975"/>
      <c r="F30" s="2475" t="s">
        <v>1489</v>
      </c>
      <c r="G30" s="2475"/>
      <c r="H30" s="2475"/>
      <c r="I30" s="847"/>
      <c r="J30" s="847"/>
      <c r="K30" s="847"/>
      <c r="L30" s="847"/>
      <c r="M30" s="847"/>
      <c r="N30" s="1961"/>
    </row>
    <row r="31" spans="1:14" x14ac:dyDescent="0.25">
      <c r="A31" s="1962"/>
      <c r="B31" s="1974"/>
      <c r="C31" s="1973"/>
      <c r="D31" s="847"/>
      <c r="E31" s="1972"/>
      <c r="F31" s="1971"/>
      <c r="G31" s="1971"/>
      <c r="H31" s="1971"/>
      <c r="I31" s="847"/>
      <c r="J31" s="847"/>
      <c r="K31" s="847"/>
      <c r="L31" s="847"/>
      <c r="M31" s="847"/>
      <c r="N31" s="1961"/>
    </row>
    <row r="32" spans="1:14" x14ac:dyDescent="0.25">
      <c r="A32" s="1962"/>
      <c r="B32" s="1970" t="s">
        <v>1025</v>
      </c>
      <c r="C32" s="847"/>
      <c r="D32" s="847"/>
      <c r="E32" s="847"/>
      <c r="F32" s="847"/>
      <c r="G32" s="847"/>
      <c r="H32" s="847"/>
      <c r="I32" s="847"/>
      <c r="J32" s="847"/>
      <c r="K32" s="847"/>
      <c r="L32" s="847"/>
      <c r="M32" s="847"/>
      <c r="N32" s="1961"/>
    </row>
    <row r="33" spans="1:14" x14ac:dyDescent="0.25">
      <c r="A33" s="1962"/>
      <c r="B33" s="1969"/>
      <c r="C33" s="847"/>
      <c r="D33" s="847"/>
      <c r="E33" s="847"/>
      <c r="F33" s="847"/>
      <c r="G33" s="847"/>
      <c r="H33" s="847"/>
      <c r="I33" s="847"/>
      <c r="J33" s="847"/>
      <c r="K33" s="847"/>
      <c r="L33" s="847"/>
      <c r="M33" s="847"/>
      <c r="N33" s="1961"/>
    </row>
    <row r="34" spans="1:14" x14ac:dyDescent="0.25">
      <c r="A34" s="1962"/>
      <c r="B34" s="1964"/>
      <c r="C34" s="2476" t="s">
        <v>2051</v>
      </c>
      <c r="D34" s="2476"/>
      <c r="E34" s="2476"/>
      <c r="F34" s="2476"/>
      <c r="G34" s="2476"/>
      <c r="H34" s="2476"/>
      <c r="I34" s="2476"/>
      <c r="J34" s="2476"/>
      <c r="K34" s="1968"/>
      <c r="L34" s="847"/>
      <c r="M34" s="847"/>
      <c r="N34" s="1961"/>
    </row>
    <row r="35" spans="1:14" x14ac:dyDescent="0.25">
      <c r="A35" s="1962"/>
      <c r="B35" s="847"/>
      <c r="C35" s="2476"/>
      <c r="D35" s="2476"/>
      <c r="E35" s="2476"/>
      <c r="F35" s="2476"/>
      <c r="G35" s="2476"/>
      <c r="H35" s="2476"/>
      <c r="I35" s="2476"/>
      <c r="J35" s="2476"/>
      <c r="K35" s="1968"/>
      <c r="L35" s="847"/>
      <c r="M35" s="847"/>
      <c r="N35" s="1961"/>
    </row>
    <row r="36" spans="1:14" x14ac:dyDescent="0.25">
      <c r="A36" s="1962"/>
      <c r="B36" s="847"/>
      <c r="C36" s="1967"/>
      <c r="D36" s="847"/>
      <c r="E36" s="847"/>
      <c r="F36" s="847"/>
      <c r="G36" s="847"/>
      <c r="H36" s="847"/>
      <c r="I36" s="847"/>
      <c r="J36" s="847"/>
      <c r="K36" s="847"/>
      <c r="L36" s="847"/>
      <c r="M36" s="847"/>
      <c r="N36" s="1961"/>
    </row>
    <row r="37" spans="1:14" x14ac:dyDescent="0.25">
      <c r="A37" s="1962"/>
      <c r="B37" s="1964"/>
      <c r="C37" s="2476" t="s">
        <v>2050</v>
      </c>
      <c r="D37" s="2476"/>
      <c r="E37" s="2476"/>
      <c r="F37" s="2476"/>
      <c r="G37" s="2476"/>
      <c r="H37" s="2476"/>
      <c r="I37" s="2476"/>
      <c r="J37" s="2476"/>
      <c r="K37" s="1968"/>
      <c r="L37" s="838"/>
      <c r="M37" s="847"/>
      <c r="N37" s="1961"/>
    </row>
    <row r="38" spans="1:14" x14ac:dyDescent="0.25">
      <c r="A38" s="1962"/>
      <c r="B38" s="847"/>
      <c r="C38" s="2476"/>
      <c r="D38" s="2476"/>
      <c r="E38" s="2476"/>
      <c r="F38" s="2476"/>
      <c r="G38" s="2476"/>
      <c r="H38" s="2476"/>
      <c r="I38" s="2476"/>
      <c r="J38" s="2476"/>
      <c r="K38" s="1968"/>
      <c r="L38" s="838"/>
      <c r="M38" s="847"/>
      <c r="N38" s="1961"/>
    </row>
    <row r="39" spans="1:14" x14ac:dyDescent="0.25">
      <c r="A39" s="1962"/>
      <c r="B39" s="847"/>
      <c r="C39" s="1967"/>
      <c r="D39" s="847"/>
      <c r="E39" s="1965"/>
      <c r="F39" s="1966"/>
      <c r="G39" s="1966"/>
      <c r="H39" s="1965"/>
      <c r="I39" s="847"/>
      <c r="J39" s="847"/>
      <c r="K39" s="847"/>
      <c r="L39" s="847"/>
      <c r="M39" s="847"/>
      <c r="N39" s="1961"/>
    </row>
    <row r="40" spans="1:14" x14ac:dyDescent="0.25">
      <c r="A40" s="1962"/>
      <c r="B40" s="1964"/>
      <c r="C40" s="2477" t="s">
        <v>2049</v>
      </c>
      <c r="D40" s="2478"/>
      <c r="E40" s="2478"/>
      <c r="F40" s="2478"/>
      <c r="G40" s="2478"/>
      <c r="H40" s="2478"/>
      <c r="I40" s="2478"/>
      <c r="J40" s="2478"/>
      <c r="K40" s="1963"/>
      <c r="L40" s="847"/>
      <c r="M40" s="847"/>
      <c r="N40" s="1961"/>
    </row>
    <row r="41" spans="1:14" x14ac:dyDescent="0.25">
      <c r="A41" s="1962"/>
      <c r="B41" s="847"/>
      <c r="C41" s="839"/>
      <c r="D41" s="839"/>
      <c r="E41" s="839"/>
      <c r="F41" s="839"/>
      <c r="G41" s="839"/>
      <c r="H41" s="839"/>
      <c r="I41" s="839"/>
      <c r="J41" s="839"/>
      <c r="K41" s="839"/>
      <c r="L41" s="847"/>
      <c r="M41" s="847"/>
      <c r="N41" s="1961"/>
    </row>
    <row r="42" spans="1:14" ht="15.75" thickBot="1" x14ac:dyDescent="0.3">
      <c r="A42" s="1960"/>
      <c r="B42" s="1959"/>
      <c r="C42" s="1959"/>
      <c r="D42" s="1959"/>
      <c r="E42" s="1959"/>
      <c r="F42" s="1959"/>
      <c r="G42" s="1959"/>
      <c r="H42" s="1959"/>
      <c r="I42" s="1959"/>
      <c r="J42" s="1959"/>
      <c r="K42" s="1959"/>
      <c r="L42" s="1959"/>
      <c r="M42" s="1959"/>
      <c r="N42" s="1958"/>
    </row>
    <row r="43" spans="1:14" ht="27" thickBot="1" x14ac:dyDescent="0.45">
      <c r="A43" s="2479" t="s">
        <v>2048</v>
      </c>
      <c r="B43" s="2480"/>
      <c r="C43" s="2480"/>
      <c r="D43" s="2480"/>
      <c r="E43" s="2480"/>
      <c r="F43" s="2480"/>
      <c r="G43" s="2480"/>
      <c r="H43" s="2480"/>
      <c r="I43" s="2480"/>
      <c r="J43" s="2480"/>
      <c r="K43" s="2480"/>
      <c r="L43" s="2480"/>
      <c r="M43" s="2480"/>
      <c r="N43" s="2481"/>
    </row>
    <row r="44" spans="1:14" x14ac:dyDescent="0.25">
      <c r="A44" s="1949"/>
      <c r="B44" s="1948"/>
      <c r="C44" s="1948"/>
      <c r="D44" s="1948"/>
      <c r="E44" s="1948"/>
      <c r="F44" s="1948"/>
      <c r="G44" s="1948"/>
      <c r="H44" s="1948"/>
      <c r="I44" s="1948"/>
      <c r="J44" s="1948"/>
      <c r="K44" s="1948"/>
      <c r="L44" s="1948"/>
      <c r="M44" s="1948"/>
      <c r="N44" s="1947"/>
    </row>
    <row r="45" spans="1:14" x14ac:dyDescent="0.25">
      <c r="A45" s="1949" t="s">
        <v>2047</v>
      </c>
      <c r="B45" s="1948"/>
      <c r="C45" s="1948"/>
      <c r="D45" s="1948"/>
      <c r="E45" s="1948"/>
      <c r="F45" s="1948"/>
      <c r="G45" s="1948"/>
      <c r="H45" s="1948"/>
      <c r="I45" s="1948"/>
      <c r="J45" s="1948"/>
      <c r="K45" s="1948"/>
      <c r="L45" s="1948"/>
      <c r="M45" s="1948"/>
      <c r="N45" s="1947"/>
    </row>
    <row r="46" spans="1:14" x14ac:dyDescent="0.25">
      <c r="A46" s="2482" t="s">
        <v>2046</v>
      </c>
      <c r="B46" s="2483"/>
      <c r="C46" s="2483"/>
      <c r="D46" s="2483"/>
      <c r="E46" s="2483"/>
      <c r="F46" s="2483"/>
      <c r="G46" s="2483"/>
      <c r="H46" s="2483"/>
      <c r="I46" s="2483"/>
      <c r="J46" s="2483"/>
      <c r="K46" s="2483"/>
      <c r="L46" s="2483"/>
      <c r="M46" s="2483"/>
      <c r="N46" s="2484"/>
    </row>
    <row r="47" spans="1:14" x14ac:dyDescent="0.25">
      <c r="A47" s="2482"/>
      <c r="B47" s="2483"/>
      <c r="C47" s="2483"/>
      <c r="D47" s="2483"/>
      <c r="E47" s="2483"/>
      <c r="F47" s="2483"/>
      <c r="G47" s="2483"/>
      <c r="H47" s="2483"/>
      <c r="I47" s="2483"/>
      <c r="J47" s="2483"/>
      <c r="K47" s="2483"/>
      <c r="L47" s="2483"/>
      <c r="M47" s="2483"/>
      <c r="N47" s="2484"/>
    </row>
    <row r="48" spans="1:14" x14ac:dyDescent="0.25">
      <c r="A48" s="1957"/>
      <c r="B48" s="1948"/>
      <c r="C48" s="1948"/>
      <c r="D48" s="1956"/>
      <c r="E48" s="1956"/>
      <c r="F48" s="1956"/>
      <c r="G48" s="1956"/>
      <c r="H48" s="1956"/>
      <c r="I48" s="1956"/>
      <c r="J48" s="1956"/>
      <c r="K48" s="1956"/>
      <c r="L48" s="1956"/>
      <c r="M48" s="1956"/>
      <c r="N48" s="1955"/>
    </row>
    <row r="49" spans="1:14" ht="15.75" x14ac:dyDescent="0.25">
      <c r="A49" s="1951" t="s">
        <v>2045</v>
      </c>
      <c r="B49" s="1954"/>
      <c r="C49" s="1954"/>
      <c r="D49" s="1953"/>
      <c r="E49" s="1953"/>
      <c r="F49" s="1953"/>
      <c r="G49" s="1953"/>
      <c r="H49" s="1953"/>
      <c r="I49" s="1953"/>
      <c r="J49" s="1953"/>
      <c r="K49" s="1953"/>
      <c r="L49" s="1953"/>
      <c r="M49" s="1953"/>
      <c r="N49" s="1952"/>
    </row>
    <row r="50" spans="1:14" x14ac:dyDescent="0.25">
      <c r="A50" s="1951" t="s">
        <v>2044</v>
      </c>
      <c r="B50" s="1948"/>
      <c r="C50" s="1948"/>
      <c r="D50" s="1948"/>
      <c r="E50" s="1948"/>
      <c r="F50" s="1948"/>
      <c r="G50" s="1948"/>
      <c r="H50" s="1948"/>
      <c r="I50" s="1948"/>
      <c r="J50" s="1948"/>
      <c r="K50" s="1948"/>
      <c r="L50" s="1948"/>
      <c r="M50" s="1948"/>
      <c r="N50" s="1947"/>
    </row>
    <row r="51" spans="1:14" x14ac:dyDescent="0.25">
      <c r="A51" s="1949"/>
      <c r="B51" s="1948"/>
      <c r="C51" s="1948"/>
      <c r="D51" s="1948"/>
      <c r="E51" s="1948"/>
      <c r="F51" s="1948"/>
      <c r="G51" s="1948"/>
      <c r="H51" s="1948"/>
      <c r="I51" s="1948"/>
      <c r="J51" s="1948"/>
      <c r="K51" s="1948"/>
      <c r="L51" s="1948"/>
      <c r="M51" s="1948"/>
      <c r="N51" s="1947"/>
    </row>
    <row r="52" spans="1:14" x14ac:dyDescent="0.25">
      <c r="A52" s="1949"/>
      <c r="B52" s="1948"/>
      <c r="C52" s="1948"/>
      <c r="D52" s="1948"/>
      <c r="E52" s="1948"/>
      <c r="F52" s="1948"/>
      <c r="G52" s="1948"/>
      <c r="H52" s="1948"/>
      <c r="I52" s="1948"/>
      <c r="J52" s="1948"/>
      <c r="K52" s="1950" t="s">
        <v>1019</v>
      </c>
      <c r="L52" s="2469" t="str">
        <f>J6</f>
        <v xml:space="preserve">   Lincolnshire-Prairieview SD 103</v>
      </c>
      <c r="M52" s="2469"/>
      <c r="N52" s="2470"/>
    </row>
    <row r="53" spans="1:14" x14ac:dyDescent="0.25">
      <c r="A53" s="1949"/>
      <c r="B53" s="1948"/>
      <c r="C53" s="1948"/>
      <c r="D53" s="1948"/>
      <c r="E53" s="1948"/>
      <c r="F53" s="1948"/>
      <c r="G53" s="1948"/>
      <c r="H53" s="1948"/>
      <c r="I53" s="1948"/>
      <c r="J53" s="1948"/>
      <c r="K53" s="1950" t="s">
        <v>368</v>
      </c>
      <c r="L53" s="2456">
        <f>J7</f>
        <v>34049103002</v>
      </c>
      <c r="M53" s="2456"/>
      <c r="N53" s="2457"/>
    </row>
    <row r="54" spans="1:14" ht="15.75" thickBot="1" x14ac:dyDescent="0.3">
      <c r="A54" s="1949"/>
      <c r="B54" s="1948"/>
      <c r="C54" s="1948"/>
      <c r="D54" s="1948"/>
      <c r="E54" s="1948"/>
      <c r="F54" s="1948"/>
      <c r="G54" s="1948"/>
      <c r="H54" s="1948"/>
      <c r="I54" s="1948"/>
      <c r="J54" s="1948"/>
      <c r="K54" s="1948"/>
      <c r="L54" s="1948"/>
      <c r="M54" s="1948"/>
      <c r="N54" s="1947"/>
    </row>
    <row r="55" spans="1:14" x14ac:dyDescent="0.25">
      <c r="A55" s="2458"/>
      <c r="B55" s="2459"/>
      <c r="C55" s="2459"/>
      <c r="D55" s="1931"/>
      <c r="E55" s="1931"/>
      <c r="F55" s="1931"/>
      <c r="G55" s="2460" t="s">
        <v>2043</v>
      </c>
      <c r="H55" s="2460"/>
      <c r="I55" s="2460"/>
      <c r="J55" s="2460"/>
      <c r="K55" s="2460"/>
      <c r="L55" s="2460"/>
      <c r="M55" s="2460"/>
      <c r="N55" s="2461"/>
    </row>
    <row r="56" spans="1:14" ht="64.5" x14ac:dyDescent="0.25">
      <c r="A56" s="2462" t="s">
        <v>2042</v>
      </c>
      <c r="B56" s="2463"/>
      <c r="C56" s="2464"/>
      <c r="D56" s="1945" t="s">
        <v>2041</v>
      </c>
      <c r="E56" s="1945" t="s">
        <v>2040</v>
      </c>
      <c r="F56" s="1946"/>
      <c r="G56" s="1945" t="s">
        <v>2039</v>
      </c>
      <c r="H56" s="1945" t="s">
        <v>2038</v>
      </c>
      <c r="I56" s="1945" t="s">
        <v>2037</v>
      </c>
      <c r="J56" s="1945" t="s">
        <v>2036</v>
      </c>
      <c r="K56" s="1945" t="s">
        <v>2035</v>
      </c>
      <c r="L56" s="1945" t="s">
        <v>2034</v>
      </c>
      <c r="M56" s="1945" t="s">
        <v>2033</v>
      </c>
      <c r="N56" s="1944" t="s">
        <v>2032</v>
      </c>
    </row>
    <row r="57" spans="1:14" ht="24" customHeight="1" x14ac:dyDescent="0.25">
      <c r="A57" s="2465" t="s">
        <v>295</v>
      </c>
      <c r="B57" s="2466"/>
      <c r="C57" s="2466"/>
      <c r="D57" s="1943">
        <v>2361</v>
      </c>
      <c r="E57" s="1942">
        <f>'Expenditures 15-22'!K319</f>
        <v>0</v>
      </c>
      <c r="F57" s="1935"/>
      <c r="G57" s="1941"/>
      <c r="H57" s="1940"/>
      <c r="I57" s="1940"/>
      <c r="J57" s="1940"/>
      <c r="K57" s="1940"/>
      <c r="L57" s="1940"/>
      <c r="M57" s="1940"/>
      <c r="N57" s="1932">
        <f t="shared" ref="N57:N67" si="3">IF((SUM(G57:M57))=E57,SUM(G57:M57),"Column N does not agree with Column E")</f>
        <v>0</v>
      </c>
    </row>
    <row r="58" spans="1:14" ht="24.75" customHeight="1" x14ac:dyDescent="0.25">
      <c r="A58" s="2467" t="s">
        <v>2031</v>
      </c>
      <c r="B58" s="2468"/>
      <c r="C58" s="2468"/>
      <c r="D58" s="1939">
        <v>2362</v>
      </c>
      <c r="E58" s="1942">
        <f>'Expenditures 15-22'!K320</f>
        <v>0</v>
      </c>
      <c r="F58" s="1935"/>
      <c r="G58" s="1938"/>
      <c r="H58" s="1937"/>
      <c r="I58" s="1937"/>
      <c r="J58" s="1937"/>
      <c r="K58" s="1937"/>
      <c r="L58" s="1937"/>
      <c r="M58" s="1937"/>
      <c r="N58" s="1932">
        <f t="shared" si="3"/>
        <v>0</v>
      </c>
    </row>
    <row r="59" spans="1:14" ht="24.75" customHeight="1" x14ac:dyDescent="0.25">
      <c r="A59" s="2450" t="s">
        <v>296</v>
      </c>
      <c r="B59" s="2451"/>
      <c r="C59" s="2451"/>
      <c r="D59" s="1939">
        <v>2363</v>
      </c>
      <c r="E59" s="1942">
        <f>'Expenditures 15-22'!K321</f>
        <v>0</v>
      </c>
      <c r="F59" s="1935"/>
      <c r="G59" s="1938"/>
      <c r="H59" s="1937"/>
      <c r="I59" s="1937"/>
      <c r="J59" s="1937"/>
      <c r="K59" s="1937"/>
      <c r="L59" s="1937"/>
      <c r="M59" s="1937"/>
      <c r="N59" s="1932">
        <f t="shared" si="3"/>
        <v>0</v>
      </c>
    </row>
    <row r="60" spans="1:14" ht="24.75" customHeight="1" x14ac:dyDescent="0.25">
      <c r="A60" s="2450" t="s">
        <v>236</v>
      </c>
      <c r="B60" s="2451"/>
      <c r="C60" s="2451"/>
      <c r="D60" s="1939">
        <v>2364</v>
      </c>
      <c r="E60" s="1942">
        <f>'Expenditures 15-22'!K322</f>
        <v>0</v>
      </c>
      <c r="F60" s="1935"/>
      <c r="G60" s="1938"/>
      <c r="H60" s="1937"/>
      <c r="I60" s="1937"/>
      <c r="J60" s="1937"/>
      <c r="K60" s="1937"/>
      <c r="L60" s="1937"/>
      <c r="M60" s="1937"/>
      <c r="N60" s="1932">
        <f t="shared" si="3"/>
        <v>0</v>
      </c>
    </row>
    <row r="61" spans="1:14" ht="24.75" customHeight="1" x14ac:dyDescent="0.25">
      <c r="A61" s="2450" t="s">
        <v>695</v>
      </c>
      <c r="B61" s="2451"/>
      <c r="C61" s="2451"/>
      <c r="D61" s="1939">
        <v>2365</v>
      </c>
      <c r="E61" s="1942">
        <f>'Expenditures 15-22'!K323</f>
        <v>0</v>
      </c>
      <c r="F61" s="1935"/>
      <c r="G61" s="1938"/>
      <c r="H61" s="1937"/>
      <c r="I61" s="1937"/>
      <c r="J61" s="1937"/>
      <c r="K61" s="1937"/>
      <c r="L61" s="1937"/>
      <c r="M61" s="1937"/>
      <c r="N61" s="1932">
        <f t="shared" si="3"/>
        <v>0</v>
      </c>
    </row>
    <row r="62" spans="1:14" ht="24.75" customHeight="1" x14ac:dyDescent="0.25">
      <c r="A62" s="2450" t="s">
        <v>237</v>
      </c>
      <c r="B62" s="2451"/>
      <c r="C62" s="2451"/>
      <c r="D62" s="1939">
        <v>2366</v>
      </c>
      <c r="E62" s="1942">
        <f>'Expenditures 15-22'!K324</f>
        <v>0</v>
      </c>
      <c r="F62" s="1935"/>
      <c r="G62" s="1938"/>
      <c r="H62" s="1937"/>
      <c r="I62" s="1937"/>
      <c r="J62" s="1937"/>
      <c r="K62" s="1937"/>
      <c r="L62" s="1937"/>
      <c r="M62" s="1937"/>
      <c r="N62" s="1932">
        <f t="shared" si="3"/>
        <v>0</v>
      </c>
    </row>
    <row r="63" spans="1:14" ht="24.75" customHeight="1" x14ac:dyDescent="0.25">
      <c r="A63" s="2467" t="s">
        <v>1020</v>
      </c>
      <c r="B63" s="2468"/>
      <c r="C63" s="2468"/>
      <c r="D63" s="1939">
        <v>2367</v>
      </c>
      <c r="E63" s="1942">
        <f>'Expenditures 15-22'!K325</f>
        <v>0</v>
      </c>
      <c r="F63" s="1935"/>
      <c r="G63" s="1938"/>
      <c r="H63" s="1937"/>
      <c r="I63" s="1937"/>
      <c r="J63" s="1937"/>
      <c r="K63" s="1937"/>
      <c r="L63" s="1937"/>
      <c r="M63" s="1937"/>
      <c r="N63" s="1932">
        <f t="shared" si="3"/>
        <v>0</v>
      </c>
    </row>
    <row r="64" spans="1:14" ht="24.75" customHeight="1" x14ac:dyDescent="0.25">
      <c r="A64" s="2450" t="s">
        <v>1021</v>
      </c>
      <c r="B64" s="2451"/>
      <c r="C64" s="2451"/>
      <c r="D64" s="1939">
        <v>2368</v>
      </c>
      <c r="E64" s="1942">
        <f>'Expenditures 15-22'!K326</f>
        <v>0</v>
      </c>
      <c r="F64" s="1935"/>
      <c r="G64" s="1938"/>
      <c r="H64" s="1937"/>
      <c r="I64" s="1937"/>
      <c r="J64" s="1937"/>
      <c r="K64" s="1937"/>
      <c r="L64" s="1937"/>
      <c r="M64" s="1937"/>
      <c r="N64" s="1932">
        <f t="shared" si="3"/>
        <v>0</v>
      </c>
    </row>
    <row r="65" spans="1:14" ht="24" customHeight="1" x14ac:dyDescent="0.25">
      <c r="A65" s="2450" t="s">
        <v>963</v>
      </c>
      <c r="B65" s="2451"/>
      <c r="C65" s="2451"/>
      <c r="D65" s="1939">
        <v>2369</v>
      </c>
      <c r="E65" s="1942">
        <f>'Expenditures 15-22'!K327</f>
        <v>0</v>
      </c>
      <c r="F65" s="1935"/>
      <c r="G65" s="1938"/>
      <c r="H65" s="1937"/>
      <c r="I65" s="1937"/>
      <c r="J65" s="1937"/>
      <c r="K65" s="1937"/>
      <c r="L65" s="1937"/>
      <c r="M65" s="1937"/>
      <c r="N65" s="1932">
        <f t="shared" si="3"/>
        <v>0</v>
      </c>
    </row>
    <row r="66" spans="1:14" ht="24.75" customHeight="1" x14ac:dyDescent="0.25">
      <c r="A66" s="2450" t="s">
        <v>468</v>
      </c>
      <c r="B66" s="2451"/>
      <c r="C66" s="2451"/>
      <c r="D66" s="1939">
        <v>2371</v>
      </c>
      <c r="E66" s="1942">
        <f>'Expenditures 15-22'!K328</f>
        <v>0</v>
      </c>
      <c r="F66" s="1935"/>
      <c r="G66" s="1938"/>
      <c r="H66" s="1937"/>
      <c r="I66" s="1937"/>
      <c r="J66" s="1937"/>
      <c r="K66" s="1937"/>
      <c r="L66" s="1937"/>
      <c r="M66" s="1937"/>
      <c r="N66" s="1932">
        <f t="shared" si="3"/>
        <v>0</v>
      </c>
    </row>
    <row r="67" spans="1:14" ht="24.75" customHeight="1" x14ac:dyDescent="0.25">
      <c r="A67" s="2452" t="s">
        <v>2030</v>
      </c>
      <c r="B67" s="2453"/>
      <c r="C67" s="2453"/>
      <c r="D67" s="1936">
        <v>2372</v>
      </c>
      <c r="E67" s="1942">
        <f>'Expenditures 15-22'!K329</f>
        <v>0</v>
      </c>
      <c r="F67" s="1935"/>
      <c r="G67" s="1934"/>
      <c r="H67" s="1933"/>
      <c r="I67" s="1933"/>
      <c r="J67" s="1933"/>
      <c r="K67" s="1933"/>
      <c r="L67" s="1933"/>
      <c r="M67" s="1933"/>
      <c r="N67" s="1932">
        <f t="shared" si="3"/>
        <v>0</v>
      </c>
    </row>
    <row r="68" spans="1:14" x14ac:dyDescent="0.25">
      <c r="A68" s="2454" t="s">
        <v>1149</v>
      </c>
      <c r="B68" s="2455"/>
      <c r="C68" s="2455"/>
      <c r="D68" s="1931"/>
      <c r="E68" s="1929">
        <f>SUM(E57:E67)</f>
        <v>0</v>
      </c>
      <c r="F68" s="1930"/>
      <c r="G68" s="1929">
        <f t="shared" ref="G68:N68" si="4">SUM(G57:G67)</f>
        <v>0</v>
      </c>
      <c r="H68" s="1929">
        <f t="shared" si="4"/>
        <v>0</v>
      </c>
      <c r="I68" s="1929">
        <f t="shared" si="4"/>
        <v>0</v>
      </c>
      <c r="J68" s="1929">
        <f t="shared" si="4"/>
        <v>0</v>
      </c>
      <c r="K68" s="1929">
        <f t="shared" si="4"/>
        <v>0</v>
      </c>
      <c r="L68" s="1929">
        <f t="shared" si="4"/>
        <v>0</v>
      </c>
      <c r="M68" s="1929">
        <f t="shared" si="4"/>
        <v>0</v>
      </c>
      <c r="N68" s="1928">
        <f t="shared" si="4"/>
        <v>0</v>
      </c>
    </row>
    <row r="69" spans="1:14" x14ac:dyDescent="0.25">
      <c r="A69" s="1924"/>
      <c r="B69" s="1923"/>
      <c r="C69" s="1923"/>
      <c r="D69" s="1923"/>
      <c r="E69" s="1923"/>
      <c r="F69" s="1923"/>
      <c r="G69" s="1923"/>
      <c r="H69" s="1927" t="s">
        <v>2029</v>
      </c>
      <c r="I69" s="1923"/>
      <c r="J69" s="1923"/>
      <c r="K69" s="1923"/>
      <c r="L69" s="1927" t="s">
        <v>2028</v>
      </c>
      <c r="M69" s="1923"/>
      <c r="N69" s="1926"/>
    </row>
    <row r="70" spans="1:14" ht="46.5" customHeight="1" x14ac:dyDescent="0.25">
      <c r="A70" s="1925" t="s">
        <v>2027</v>
      </c>
      <c r="B70" s="1923"/>
      <c r="C70" s="1923"/>
      <c r="D70" s="1923"/>
      <c r="E70" s="1923"/>
      <c r="F70" s="1923"/>
      <c r="G70" s="1923"/>
      <c r="H70" s="2446" t="s">
        <v>2026</v>
      </c>
      <c r="I70" s="2446"/>
      <c r="J70" s="2446"/>
      <c r="K70" s="1923"/>
      <c r="L70" s="2446" t="s">
        <v>2025</v>
      </c>
      <c r="M70" s="2446"/>
      <c r="N70" s="2447"/>
    </row>
    <row r="71" spans="1:14" ht="42.75" customHeight="1" x14ac:dyDescent="0.25">
      <c r="A71" s="1924"/>
      <c r="B71" s="1923"/>
      <c r="C71" s="1923"/>
      <c r="D71" s="1923"/>
      <c r="E71" s="1923"/>
      <c r="F71" s="1923"/>
      <c r="G71" s="1923"/>
      <c r="H71" s="2446" t="s">
        <v>2024</v>
      </c>
      <c r="I71" s="2446"/>
      <c r="J71" s="2446"/>
      <c r="K71" s="1923"/>
      <c r="L71" s="2448" t="s">
        <v>2023</v>
      </c>
      <c r="M71" s="2448"/>
      <c r="N71" s="2449"/>
    </row>
    <row r="72" spans="1:14" ht="52.5" customHeight="1" thickBot="1" x14ac:dyDescent="0.3">
      <c r="A72" s="1922"/>
      <c r="B72" s="1921"/>
      <c r="C72" s="1921"/>
      <c r="D72" s="1921"/>
      <c r="E72" s="1921"/>
      <c r="F72" s="1921"/>
      <c r="G72" s="1921"/>
      <c r="H72" s="2445" t="s">
        <v>2022</v>
      </c>
      <c r="I72" s="2445"/>
      <c r="J72" s="2445"/>
      <c r="K72" s="1921"/>
      <c r="L72" s="1921"/>
      <c r="M72" s="1921"/>
      <c r="N72" s="1920"/>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C65"/>
  <sheetViews>
    <sheetView workbookViewId="0"/>
  </sheetViews>
  <sheetFormatPr defaultColWidth="9.140625" defaultRowHeight="12.75" x14ac:dyDescent="0.2"/>
  <cols>
    <col min="1" max="1" width="3" style="307" customWidth="1"/>
    <col min="2" max="2" width="61.28515625" style="307" customWidth="1"/>
    <col min="3" max="3" width="73" style="307" customWidth="1"/>
    <col min="4" max="16384" width="9.140625" style="307"/>
  </cols>
  <sheetData>
    <row r="2" spans="1:3" x14ac:dyDescent="0.2">
      <c r="A2" s="366" t="s">
        <v>256</v>
      </c>
    </row>
    <row r="3" spans="1:3" x14ac:dyDescent="0.2">
      <c r="A3" s="307" t="s">
        <v>257</v>
      </c>
    </row>
    <row r="5" spans="1:3" x14ac:dyDescent="0.2">
      <c r="A5" s="840">
        <v>1</v>
      </c>
      <c r="B5" s="307" t="s">
        <v>2073</v>
      </c>
      <c r="C5" s="307" t="s">
        <v>2131</v>
      </c>
    </row>
    <row r="6" spans="1:3" ht="15" x14ac:dyDescent="0.25">
      <c r="A6" s="840">
        <v>2</v>
      </c>
      <c r="B6" s="2042" t="s">
        <v>2074</v>
      </c>
      <c r="C6" s="307" t="s">
        <v>2081</v>
      </c>
    </row>
    <row r="7" spans="1:3" ht="15" x14ac:dyDescent="0.25">
      <c r="A7" s="840">
        <v>3</v>
      </c>
      <c r="B7" s="2043" t="s">
        <v>2075</v>
      </c>
      <c r="C7" s="307" t="s">
        <v>2082</v>
      </c>
    </row>
    <row r="8" spans="1:3" ht="26.25" customHeight="1" x14ac:dyDescent="0.2">
      <c r="A8" s="2061">
        <v>4</v>
      </c>
      <c r="B8" s="2060" t="s">
        <v>2076</v>
      </c>
      <c r="C8" s="2062" t="s">
        <v>2133</v>
      </c>
    </row>
    <row r="9" spans="1:3" ht="15" x14ac:dyDescent="0.25">
      <c r="A9" s="840">
        <v>5</v>
      </c>
      <c r="B9" s="2044" t="s">
        <v>2077</v>
      </c>
      <c r="C9" s="307" t="s">
        <v>2132</v>
      </c>
    </row>
    <row r="10" spans="1:3" ht="15" x14ac:dyDescent="0.25">
      <c r="A10" s="840">
        <v>6</v>
      </c>
      <c r="B10" s="2045" t="s">
        <v>2078</v>
      </c>
      <c r="C10" s="307" t="s">
        <v>2083</v>
      </c>
    </row>
    <row r="11" spans="1:3" ht="15" x14ac:dyDescent="0.25">
      <c r="A11" s="840">
        <v>7</v>
      </c>
      <c r="B11" s="2046" t="s">
        <v>2079</v>
      </c>
      <c r="C11" s="307" t="s">
        <v>2084</v>
      </c>
    </row>
    <row r="12" spans="1:3" ht="15" x14ac:dyDescent="0.25">
      <c r="A12" s="840">
        <v>8</v>
      </c>
      <c r="B12" s="2047" t="s">
        <v>2080</v>
      </c>
      <c r="C12" s="307" t="s">
        <v>2085</v>
      </c>
    </row>
    <row r="13" spans="1:3" ht="26.25" customHeight="1" x14ac:dyDescent="0.2">
      <c r="A13" s="2061">
        <v>9</v>
      </c>
      <c r="B13" s="2062" t="s">
        <v>2136</v>
      </c>
      <c r="C13" s="2062" t="s">
        <v>2137</v>
      </c>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Lincolnshire-Prairieview SD 103</v>
      </c>
    </row>
    <row r="65" spans="2:2" x14ac:dyDescent="0.2">
      <c r="B65" s="842">
        <f>COVER!A13</f>
        <v>34049103002</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topLeftCell="A4" workbookViewId="0">
      <selection activeCell="F16" sqref="F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1472</v>
      </c>
    </row>
    <row r="15" spans="1:6" x14ac:dyDescent="0.2">
      <c r="A15" s="366" t="s">
        <v>850</v>
      </c>
    </row>
    <row r="16" spans="1:6" s="843" customFormat="1" ht="45" customHeight="1" x14ac:dyDescent="0.2">
      <c r="A16" s="845"/>
      <c r="B16" s="845" t="s">
        <v>1969</v>
      </c>
    </row>
    <row r="17" spans="1:2" ht="6" customHeight="1" x14ac:dyDescent="0.2"/>
    <row r="18" spans="1:2" ht="24.75" customHeight="1" x14ac:dyDescent="0.2">
      <c r="A18" s="2498" t="s">
        <v>1661</v>
      </c>
      <c r="B18" s="2498"/>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1476375</xdr:colOff>
                <xdr:row>4</xdr:row>
                <xdr:rowOff>38100</xdr:rowOff>
              </from>
              <to>
                <xdr:col>1</xdr:col>
                <xdr:colOff>2390775</xdr:colOff>
                <xdr:row>8</xdr:row>
                <xdr:rowOff>76200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9" t="s">
        <v>1665</v>
      </c>
      <c r="B1" s="2500"/>
      <c r="C1" s="2500"/>
      <c r="D1" s="2500"/>
      <c r="E1" s="2500"/>
      <c r="F1" s="2501"/>
    </row>
    <row r="2" spans="1:8" ht="45" customHeight="1" x14ac:dyDescent="0.2">
      <c r="A2" s="250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0"/>
      <c r="C2" s="2510"/>
      <c r="D2" s="2510"/>
      <c r="E2" s="2510"/>
      <c r="F2" s="2511"/>
      <c r="G2" s="846"/>
      <c r="H2" s="846"/>
    </row>
    <row r="3" spans="1:8" ht="57" customHeight="1" x14ac:dyDescent="0.2">
      <c r="A3" s="2512" t="s">
        <v>1968</v>
      </c>
      <c r="B3" s="2513"/>
      <c r="C3" s="2513"/>
      <c r="D3" s="2513"/>
      <c r="E3" s="2513"/>
      <c r="F3" s="2514"/>
      <c r="G3" s="846"/>
      <c r="H3" s="846"/>
    </row>
    <row r="4" spans="1:8" ht="14.25" customHeight="1" x14ac:dyDescent="0.2">
      <c r="A4" s="251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9"/>
      <c r="C4" s="2519"/>
      <c r="D4" s="2519"/>
      <c r="E4" s="2519"/>
      <c r="F4" s="2520"/>
      <c r="G4" s="846"/>
      <c r="H4" s="846"/>
    </row>
    <row r="5" spans="1:8" ht="14.25" customHeight="1" x14ac:dyDescent="0.2">
      <c r="A5" s="252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2"/>
      <c r="C5" s="2522"/>
      <c r="D5" s="2522"/>
      <c r="E5" s="2522"/>
      <c r="F5" s="2523"/>
      <c r="G5" s="846"/>
      <c r="H5" s="846"/>
    </row>
    <row r="6" spans="1:8" s="847" customFormat="1" ht="41.25" customHeight="1" x14ac:dyDescent="0.2">
      <c r="A6" s="2515" t="s">
        <v>1666</v>
      </c>
      <c r="B6" s="2516"/>
      <c r="C6" s="2516"/>
      <c r="D6" s="2516"/>
      <c r="E6" s="2516"/>
      <c r="F6" s="2517"/>
    </row>
    <row r="7" spans="1:8" ht="42" customHeight="1" x14ac:dyDescent="0.2">
      <c r="A7" s="848" t="s">
        <v>477</v>
      </c>
      <c r="B7" s="849" t="s">
        <v>1475</v>
      </c>
      <c r="C7" s="849" t="s">
        <v>1476</v>
      </c>
      <c r="D7" s="849" t="s">
        <v>1474</v>
      </c>
      <c r="E7" s="849" t="s">
        <v>1477</v>
      </c>
      <c r="F7" s="849" t="s">
        <v>1348</v>
      </c>
    </row>
    <row r="8" spans="1:8" s="851" customFormat="1" ht="14.25" customHeight="1" x14ac:dyDescent="0.2">
      <c r="A8" s="850" t="s">
        <v>1349</v>
      </c>
      <c r="B8" s="1797">
        <f>'Acct Summary 7-8'!C8</f>
        <v>26857503</v>
      </c>
      <c r="C8" s="1797">
        <f>'Acct Summary 7-8'!D8</f>
        <v>1914660</v>
      </c>
      <c r="D8" s="1797">
        <f>'Acct Summary 7-8'!F8</f>
        <v>2152297</v>
      </c>
      <c r="E8" s="1797">
        <f>'Acct Summary 7-8'!I8</f>
        <v>21110</v>
      </c>
      <c r="F8" s="1797">
        <f>SUM(B8:E8)</f>
        <v>30945570</v>
      </c>
    </row>
    <row r="9" spans="1:8" s="851" customFormat="1" ht="14.25" customHeight="1" thickBot="1" x14ac:dyDescent="0.25">
      <c r="A9" s="850" t="s">
        <v>1350</v>
      </c>
      <c r="B9" s="1798">
        <f>'Acct Summary 7-8'!C17</f>
        <v>26623196</v>
      </c>
      <c r="C9" s="1798">
        <f>'Acct Summary 7-8'!D17</f>
        <v>2212611</v>
      </c>
      <c r="D9" s="1798">
        <f>'Acct Summary 7-8'!F17</f>
        <v>2054463</v>
      </c>
      <c r="E9" s="1797"/>
      <c r="F9" s="1797">
        <f>SUM(B9:E9)</f>
        <v>30890270</v>
      </c>
    </row>
    <row r="10" spans="1:8" s="851" customFormat="1" ht="14.25" thickTop="1" thickBot="1" x14ac:dyDescent="0.25">
      <c r="A10" s="852" t="s">
        <v>1351</v>
      </c>
      <c r="B10" s="1799">
        <f>(B8-B9)</f>
        <v>234307</v>
      </c>
      <c r="C10" s="1799">
        <f>(C8-C9)</f>
        <v>-297951</v>
      </c>
      <c r="D10" s="1799">
        <f>(D8-D9)</f>
        <v>97834</v>
      </c>
      <c r="E10" s="1798">
        <f>(E8-E9)</f>
        <v>21110</v>
      </c>
      <c r="F10" s="1800">
        <f>SUM(F8-F9)</f>
        <v>55300</v>
      </c>
    </row>
    <row r="11" spans="1:8" s="851" customFormat="1" ht="14.25" thickTop="1" thickBot="1" x14ac:dyDescent="0.25">
      <c r="A11" s="853" t="s">
        <v>1899</v>
      </c>
      <c r="B11" s="1801">
        <f>'Acct Summary 7-8'!C81</f>
        <v>19418097</v>
      </c>
      <c r="C11" s="1801">
        <f>'Acct Summary 7-8'!D81</f>
        <v>636342</v>
      </c>
      <c r="D11" s="1801">
        <f>'Acct Summary 7-8'!F81</f>
        <v>1833430</v>
      </c>
      <c r="E11" s="1801">
        <f>'Acct Summary 7-8'!I81</f>
        <v>520334</v>
      </c>
      <c r="F11" s="1802">
        <f>SUM(B11:E11)</f>
        <v>22408203</v>
      </c>
    </row>
    <row r="12" spans="1:8" ht="16.5" customHeight="1" thickTop="1" x14ac:dyDescent="0.2">
      <c r="A12" s="854"/>
      <c r="B12" s="855"/>
      <c r="C12" s="2503" t="str">
        <f>IF(AND(F10&lt;0,F11&gt;=0,ABS(F10*3)&gt;ABS(F11)),A16,IF(AND(F10&lt;0,F11&gt;0,ABS(F10*3)&lt;=ABS(F11)),A17,IF(AND(F10&lt;0,F11&lt;0),A16,IF(F11=0,A19,A18))))</f>
        <v>Balanced - no deficit reduction plan is required.</v>
      </c>
      <c r="D12" s="2504"/>
      <c r="E12" s="2504"/>
      <c r="F12" s="2505"/>
    </row>
    <row r="13" spans="1:8" ht="19.5" customHeight="1" x14ac:dyDescent="0.2">
      <c r="A13" s="856"/>
      <c r="B13" s="857"/>
      <c r="C13" s="2503"/>
      <c r="D13" s="2504"/>
      <c r="E13" s="2504"/>
      <c r="F13" s="2505"/>
      <c r="H13" s="846"/>
    </row>
    <row r="14" spans="1:8" ht="19.5" customHeight="1" x14ac:dyDescent="0.2">
      <c r="A14" s="856"/>
      <c r="B14" s="857"/>
      <c r="C14" s="2503"/>
      <c r="D14" s="2504"/>
      <c r="E14" s="2504"/>
      <c r="F14" s="2505"/>
      <c r="H14" s="846"/>
    </row>
    <row r="15" spans="1:8" ht="17.25" customHeight="1" x14ac:dyDescent="0.2">
      <c r="A15" s="856"/>
      <c r="B15" s="857"/>
      <c r="C15" s="2506"/>
      <c r="D15" s="2507"/>
      <c r="E15" s="2507"/>
      <c r="F15" s="2508"/>
      <c r="H15" s="846"/>
    </row>
    <row r="16" spans="1:8" s="288" customFormat="1" ht="51.75" hidden="1" customHeight="1" x14ac:dyDescent="0.2">
      <c r="A16" s="2502" t="s">
        <v>1662</v>
      </c>
      <c r="B16" s="2502"/>
      <c r="C16" s="2502"/>
      <c r="D16" s="2502"/>
      <c r="E16" s="2502"/>
      <c r="F16" s="288" t="s">
        <v>1352</v>
      </c>
    </row>
    <row r="17" spans="1:6" hidden="1" x14ac:dyDescent="0.2">
      <c r="A17" s="294" t="s">
        <v>1663</v>
      </c>
      <c r="F17" s="858"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topLeftCell="A55" workbookViewId="0"/>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09"/>
      <c r="B2" s="1510"/>
      <c r="C2" s="1511"/>
      <c r="D2" s="1512"/>
    </row>
    <row r="3" spans="1:4" ht="36" customHeight="1" x14ac:dyDescent="0.2">
      <c r="A3" s="2524" t="s">
        <v>659</v>
      </c>
      <c r="B3" s="2525"/>
      <c r="C3" s="2525"/>
      <c r="D3" s="2526"/>
    </row>
    <row r="4" spans="1:4" x14ac:dyDescent="0.2">
      <c r="A4" s="924" t="s">
        <v>1667</v>
      </c>
      <c r="B4" s="925"/>
      <c r="C4" s="926"/>
      <c r="D4" s="927"/>
    </row>
    <row r="5" spans="1:4" ht="21" customHeight="1" x14ac:dyDescent="0.2">
      <c r="A5" s="920"/>
      <c r="B5" s="921">
        <v>1</v>
      </c>
      <c r="C5" s="922" t="s">
        <v>1970</v>
      </c>
      <c r="D5" s="923"/>
    </row>
    <row r="6" spans="1:4" s="542" customFormat="1" ht="14.25" customHeight="1" x14ac:dyDescent="0.2">
      <c r="A6" s="910"/>
      <c r="B6" s="865">
        <f t="shared" ref="B6:B13" si="0">B5+1</f>
        <v>2</v>
      </c>
      <c r="C6" s="866" t="s">
        <v>857</v>
      </c>
      <c r="D6" s="867"/>
    </row>
    <row r="7" spans="1:4" s="542" customFormat="1" ht="12.75" x14ac:dyDescent="0.2">
      <c r="A7" s="910"/>
      <c r="B7" s="865">
        <f t="shared" si="0"/>
        <v>3</v>
      </c>
      <c r="C7" s="2535" t="s">
        <v>1483</v>
      </c>
      <c r="D7" s="2536"/>
    </row>
    <row r="8" spans="1:4" s="542" customFormat="1" ht="12.75" x14ac:dyDescent="0.2">
      <c r="A8" s="910"/>
      <c r="B8" s="865"/>
      <c r="C8" s="868" t="s">
        <v>1482</v>
      </c>
      <c r="D8" s="869"/>
    </row>
    <row r="9" spans="1:4" s="542" customFormat="1" ht="14.25" customHeight="1" x14ac:dyDescent="0.2">
      <c r="A9" s="910"/>
      <c r="B9" s="865">
        <f>B7+1</f>
        <v>4</v>
      </c>
      <c r="C9" s="866" t="s">
        <v>1875</v>
      </c>
      <c r="D9" s="867"/>
    </row>
    <row r="10" spans="1:4" s="542" customFormat="1" ht="14.25" customHeight="1" x14ac:dyDescent="0.2">
      <c r="A10" s="910"/>
      <c r="B10" s="865">
        <f t="shared" si="0"/>
        <v>5</v>
      </c>
      <c r="C10" s="866" t="s">
        <v>633</v>
      </c>
      <c r="D10" s="867"/>
    </row>
    <row r="11" spans="1:4" s="542" customFormat="1" ht="14.25" customHeight="1" x14ac:dyDescent="0.2">
      <c r="A11" s="910"/>
      <c r="B11" s="865">
        <f t="shared" si="0"/>
        <v>6</v>
      </c>
      <c r="C11" s="866" t="s">
        <v>771</v>
      </c>
      <c r="D11" s="867"/>
    </row>
    <row r="12" spans="1:4" s="542" customFormat="1" ht="14.25" customHeight="1" x14ac:dyDescent="0.2">
      <c r="A12" s="910"/>
      <c r="B12" s="865">
        <f t="shared" si="0"/>
        <v>7</v>
      </c>
      <c r="C12" s="866" t="s">
        <v>1051</v>
      </c>
      <c r="D12" s="867"/>
    </row>
    <row r="13" spans="1:4" s="542" customFormat="1" ht="14.25" customHeight="1" x14ac:dyDescent="0.2">
      <c r="A13" s="910"/>
      <c r="B13" s="865">
        <f t="shared" si="0"/>
        <v>8</v>
      </c>
      <c r="C13" s="906" t="s">
        <v>772</v>
      </c>
      <c r="D13" s="867"/>
    </row>
    <row r="14" spans="1:4" s="542" customFormat="1" ht="14.25" customHeight="1" x14ac:dyDescent="0.2">
      <c r="A14" s="910"/>
      <c r="B14" s="907">
        <v>9</v>
      </c>
      <c r="C14" s="908" t="s">
        <v>1484</v>
      </c>
      <c r="D14" s="909"/>
    </row>
    <row r="15" spans="1:4" s="542" customFormat="1" ht="21.75" customHeight="1" x14ac:dyDescent="0.2">
      <c r="A15" s="2527" t="s">
        <v>999</v>
      </c>
      <c r="B15" s="2528"/>
      <c r="C15" s="2528"/>
      <c r="D15" s="2529"/>
    </row>
    <row r="16" spans="1:4" s="542" customFormat="1" ht="24" customHeight="1" x14ac:dyDescent="0.2">
      <c r="A16" s="2530" t="s">
        <v>657</v>
      </c>
      <c r="B16" s="2531"/>
      <c r="C16" s="2531"/>
      <c r="D16" s="2532"/>
    </row>
    <row r="17" spans="1:10" s="542" customFormat="1" ht="12.75" customHeight="1" x14ac:dyDescent="0.2">
      <c r="A17" s="928" t="s">
        <v>1668</v>
      </c>
      <c r="B17" s="929"/>
      <c r="C17" s="930"/>
      <c r="D17" s="931"/>
    </row>
    <row r="18" spans="1:10" s="542" customFormat="1" ht="12.75" customHeight="1" x14ac:dyDescent="0.2">
      <c r="A18" s="932" t="s">
        <v>1971</v>
      </c>
      <c r="B18" s="933"/>
      <c r="C18" s="934"/>
      <c r="D18" s="935"/>
    </row>
    <row r="19" spans="1:10" ht="6.75" customHeight="1" thickBot="1" x14ac:dyDescent="0.25">
      <c r="A19" s="936"/>
      <c r="B19" s="937"/>
      <c r="C19" s="938"/>
      <c r="D19" s="939"/>
    </row>
    <row r="20" spans="1:10" s="943" customFormat="1" ht="12.75" thickTop="1" x14ac:dyDescent="0.2">
      <c r="A20" s="940"/>
      <c r="B20" s="941" t="s">
        <v>1669</v>
      </c>
      <c r="C20" s="942"/>
      <c r="D20" s="945" t="s">
        <v>703</v>
      </c>
    </row>
    <row r="21" spans="1:10" x14ac:dyDescent="0.2">
      <c r="A21" s="870"/>
      <c r="B21" s="871">
        <v>1</v>
      </c>
      <c r="C21" s="2539" t="s">
        <v>310</v>
      </c>
      <c r="D21" s="2540"/>
    </row>
    <row r="22" spans="1:10" ht="12.75" x14ac:dyDescent="0.2">
      <c r="A22" s="911"/>
      <c r="B22" s="912">
        <v>2</v>
      </c>
      <c r="C22" s="2537" t="s">
        <v>1503</v>
      </c>
      <c r="D22" s="2538"/>
    </row>
    <row r="23" spans="1:10" ht="12.2" customHeight="1" x14ac:dyDescent="0.2">
      <c r="A23" s="911"/>
      <c r="B23" s="912"/>
      <c r="C23" s="913" t="s">
        <v>946</v>
      </c>
      <c r="D23" s="914" t="str">
        <f>IF(COVER!O11="X","CASH",IF(COVER!O12="X","ACCRUAL ","PLEASE CHECK AN ACCOUNTING BASIS."))</f>
        <v>CASH</v>
      </c>
    </row>
    <row r="24" spans="1:10" ht="12.2" customHeight="1" x14ac:dyDescent="0.2">
      <c r="A24" s="911"/>
      <c r="B24" s="912"/>
      <c r="C24" s="913" t="s">
        <v>1319</v>
      </c>
      <c r="D24" s="914" t="str">
        <f>IF(COVER!O11="X","OK",IF(AND('Aud Quest 2'!J90=0,'Aud Quest 2'!I77&lt;DATE(2017,12,31)),"ENTER ACCOUNTING INFO",IF(AND('Aud Quest 2'!J90&gt;0,'Aud Quest 2'!I77&lt;DATE(2017,12,31)),"OK")))</f>
        <v>OK</v>
      </c>
    </row>
    <row r="25" spans="1:10" x14ac:dyDescent="0.2">
      <c r="A25" s="872"/>
      <c r="B25" s="873"/>
      <c r="C25" s="874" t="s">
        <v>1505</v>
      </c>
      <c r="D25" s="875" t="str">
        <f>IF(AND(COVER!J29="X",COVER!J30="X",COVER!L30&lt;&gt;"X"),"OK",IF(AND(COVER!J29="X",COVER!J30&lt;&gt;"X",COVER!L30="X"),"OK",IF(AND(COVER!L29="X",COVER!J30&lt;&gt;"X"),"OK","PLEASE CHECK YES or NO.")))</f>
        <v>OK</v>
      </c>
    </row>
    <row r="26" spans="1:10" x14ac:dyDescent="0.2">
      <c r="A26" s="872"/>
      <c r="B26" s="915"/>
      <c r="C26" s="876" t="s">
        <v>1504</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967</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835</v>
      </c>
      <c r="D28" s="879" t="str">
        <f>IF('Aud Quest 2'!B53="X",IF('Aud Quest 2'!F53&gt;"00/00/00 ","Enter Effective Date","ok"))</f>
        <v>ok</v>
      </c>
    </row>
    <row r="29" spans="1:10" x14ac:dyDescent="0.2">
      <c r="A29" s="872"/>
      <c r="B29" s="915"/>
      <c r="C29" s="876" t="s">
        <v>1354</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818</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970</v>
      </c>
      <c r="D32" s="875" t="str">
        <f>IF(OR(COVER!B6="x",'FP Info 3'!B31="X",'FP Info 3'!B32="X"),"OK","ENTRY IS REQUIRED!")</f>
        <v>OK</v>
      </c>
    </row>
    <row r="33" spans="1:12" s="888" customFormat="1" ht="12.75" customHeight="1" x14ac:dyDescent="0.2">
      <c r="A33" s="885"/>
      <c r="B33" s="912">
        <f>B30+1</f>
        <v>4</v>
      </c>
      <c r="C33" s="886" t="s">
        <v>773</v>
      </c>
      <c r="D33" s="887"/>
    </row>
    <row r="34" spans="1:12" s="888" customFormat="1" x14ac:dyDescent="0.2">
      <c r="A34" s="889"/>
      <c r="B34" s="912"/>
      <c r="C34" s="890" t="s">
        <v>819</v>
      </c>
      <c r="D34" s="875" t="str">
        <f>IF('Assets-Liab 5-6'!C4&lt;-0.49, "ERROR!","OK")</f>
        <v>OK</v>
      </c>
    </row>
    <row r="35" spans="1:12" x14ac:dyDescent="0.2">
      <c r="A35" s="889"/>
      <c r="B35" s="912"/>
      <c r="C35" s="890" t="s">
        <v>302</v>
      </c>
      <c r="D35" s="875" t="str">
        <f>IF('Assets-Liab 5-6'!D4&lt;-0.49, "ERROR!","OK")</f>
        <v>OK</v>
      </c>
      <c r="L35" s="944"/>
    </row>
    <row r="36" spans="1:12" x14ac:dyDescent="0.2">
      <c r="A36" s="889"/>
      <c r="B36" s="912"/>
      <c r="C36" s="890" t="s">
        <v>774</v>
      </c>
      <c r="D36" s="875" t="str">
        <f>IF('Assets-Liab 5-6'!E4&lt;-0.49, "ERROR!","OK")</f>
        <v>OK</v>
      </c>
    </row>
    <row r="37" spans="1:12" x14ac:dyDescent="0.2">
      <c r="A37" s="889"/>
      <c r="B37" s="912"/>
      <c r="C37" s="890" t="s">
        <v>303</v>
      </c>
      <c r="D37" s="875" t="str">
        <f>IF('Assets-Liab 5-6'!F4&lt;-0.49, "ERROR!","OK")</f>
        <v>OK</v>
      </c>
    </row>
    <row r="38" spans="1:12" x14ac:dyDescent="0.2">
      <c r="A38" s="889"/>
      <c r="B38" s="912"/>
      <c r="C38" s="890" t="s">
        <v>304</v>
      </c>
      <c r="D38" s="875" t="str">
        <f>IF('Assets-Liab 5-6'!G4&lt;-0.49, "ERROR!","OK")</f>
        <v>OK</v>
      </c>
    </row>
    <row r="39" spans="1:12" x14ac:dyDescent="0.2">
      <c r="A39" s="889"/>
      <c r="B39" s="912"/>
      <c r="C39" s="890" t="s">
        <v>775</v>
      </c>
      <c r="D39" s="875" t="str">
        <f>IF('Assets-Liab 5-6'!H4&lt;-0.49, "ERROR!","OK")</f>
        <v>OK</v>
      </c>
    </row>
    <row r="40" spans="1:12" x14ac:dyDescent="0.2">
      <c r="A40" s="889"/>
      <c r="B40" s="912"/>
      <c r="C40" s="890" t="s">
        <v>305</v>
      </c>
      <c r="D40" s="875" t="str">
        <f>IF('Assets-Liab 5-6'!I4&lt;-0.49, "ERROR!","OK")</f>
        <v>OK</v>
      </c>
    </row>
    <row r="41" spans="1:12" x14ac:dyDescent="0.2">
      <c r="A41" s="889"/>
      <c r="B41" s="912"/>
      <c r="C41" s="890" t="s">
        <v>776</v>
      </c>
      <c r="D41" s="875" t="str">
        <f>IF('Assets-Liab 5-6'!J4&lt;-0.49, "ERROR!","OK")</f>
        <v>OK</v>
      </c>
    </row>
    <row r="42" spans="1:12" x14ac:dyDescent="0.2">
      <c r="A42" s="889"/>
      <c r="B42" s="912"/>
      <c r="C42" s="890" t="s">
        <v>306</v>
      </c>
      <c r="D42" s="875" t="str">
        <f>IF('Assets-Liab 5-6'!K4&lt;-0.49, "ERROR!","OK")</f>
        <v>OK</v>
      </c>
    </row>
    <row r="43" spans="1:12" x14ac:dyDescent="0.2">
      <c r="A43" s="891"/>
      <c r="B43" s="892">
        <f>B33+1</f>
        <v>5</v>
      </c>
      <c r="C43" s="2541" t="s">
        <v>532</v>
      </c>
      <c r="D43" s="2542"/>
    </row>
    <row r="44" spans="1:12" x14ac:dyDescent="0.2">
      <c r="A44" s="891"/>
      <c r="B44" s="893"/>
      <c r="C44" s="894" t="s">
        <v>1322</v>
      </c>
      <c r="D44" s="895" t="str">
        <f>IF(SUM('Assets-Liab 5-6'!C13)&lt;&gt;SUM('Assets-Liab 5-6'!C41),"ERROR!","OK")</f>
        <v>OK</v>
      </c>
    </row>
    <row r="45" spans="1:12" x14ac:dyDescent="0.2">
      <c r="A45" s="891"/>
      <c r="B45" s="893"/>
      <c r="C45" s="894" t="s">
        <v>1323</v>
      </c>
      <c r="D45" s="895" t="str">
        <f>IF(SUM('Assets-Liab 5-6'!D13)&lt;&gt;SUM('Assets-Liab 5-6'!D41),"ERROR!","OK")</f>
        <v>OK</v>
      </c>
    </row>
    <row r="46" spans="1:12" x14ac:dyDescent="0.2">
      <c r="A46" s="891"/>
      <c r="B46" s="893"/>
      <c r="C46" s="894" t="s">
        <v>1324</v>
      </c>
      <c r="D46" s="895" t="str">
        <f>IF(SUM('Assets-Liab 5-6'!E13)&lt;&gt;SUM('Assets-Liab 5-6'!E41),"ERROR!","OK")</f>
        <v>OK</v>
      </c>
    </row>
    <row r="47" spans="1:12" x14ac:dyDescent="0.2">
      <c r="A47" s="891"/>
      <c r="B47" s="893"/>
      <c r="C47" s="894" t="s">
        <v>1325</v>
      </c>
      <c r="D47" s="895" t="str">
        <f>IF(SUM('Assets-Liab 5-6'!F13)&lt;&gt;SUM('Assets-Liab 5-6'!F41),"ERROR!","OK")</f>
        <v>OK</v>
      </c>
    </row>
    <row r="48" spans="1:12" x14ac:dyDescent="0.2">
      <c r="A48" s="891"/>
      <c r="B48" s="893"/>
      <c r="C48" s="894" t="s">
        <v>1326</v>
      </c>
      <c r="D48" s="895" t="str">
        <f>IF(SUM('Assets-Liab 5-6'!G13)&lt;&gt;SUM('Assets-Liab 5-6'!G41),"ERROR!","OK")</f>
        <v>OK</v>
      </c>
    </row>
    <row r="49" spans="1:4" x14ac:dyDescent="0.2">
      <c r="A49" s="891"/>
      <c r="B49" s="893"/>
      <c r="C49" s="894" t="s">
        <v>1327</v>
      </c>
      <c r="D49" s="895" t="str">
        <f>IF(SUM('Assets-Liab 5-6'!H13)&lt;&gt;SUM('Assets-Liab 5-6'!H41),"ERROR!","OK")</f>
        <v>OK</v>
      </c>
    </row>
    <row r="50" spans="1:4" x14ac:dyDescent="0.2">
      <c r="A50" s="891"/>
      <c r="B50" s="893"/>
      <c r="C50" s="894" t="s">
        <v>1328</v>
      </c>
      <c r="D50" s="895" t="str">
        <f>IF(SUM('Assets-Liab 5-6'!I13)&lt;&gt;SUM('Assets-Liab 5-6'!I41),"ERROR!","OK")</f>
        <v>OK</v>
      </c>
    </row>
    <row r="51" spans="1:4" x14ac:dyDescent="0.2">
      <c r="A51" s="891"/>
      <c r="B51" s="893"/>
      <c r="C51" s="894" t="s">
        <v>1329</v>
      </c>
      <c r="D51" s="895" t="str">
        <f>IF(SUM('Assets-Liab 5-6'!J13)&lt;&gt;SUM('Assets-Liab 5-6'!J41),"ERROR!","OK")</f>
        <v>OK</v>
      </c>
    </row>
    <row r="52" spans="1:4" x14ac:dyDescent="0.2">
      <c r="A52" s="891"/>
      <c r="B52" s="893"/>
      <c r="C52" s="894" t="s">
        <v>1330</v>
      </c>
      <c r="D52" s="895" t="str">
        <f>IF(SUM('Assets-Liab 5-6'!K13)&lt;&gt;SUM('Assets-Liab 5-6'!K41),"ERROR!","OK")</f>
        <v>OK</v>
      </c>
    </row>
    <row r="53" spans="1:4" x14ac:dyDescent="0.2">
      <c r="A53" s="891"/>
      <c r="B53" s="893"/>
      <c r="C53" s="894" t="s">
        <v>1331</v>
      </c>
      <c r="D53" s="895" t="str">
        <f>IF(SUM('Assets-Liab 5-6'!L13)&lt;&gt;('Assets-Liab 5-6'!L41),"ERROR!","OK")</f>
        <v>OK</v>
      </c>
    </row>
    <row r="54" spans="1:4" x14ac:dyDescent="0.2">
      <c r="A54" s="891"/>
      <c r="B54" s="893"/>
      <c r="C54" s="894" t="s">
        <v>1332</v>
      </c>
      <c r="D54" s="895" t="str">
        <f>IF(SUM('Assets-Liab 5-6'!M23)&lt;&gt;('Assets-Liab 5-6'!M41),"ERROR!","OK")</f>
        <v>OK</v>
      </c>
    </row>
    <row r="55" spans="1:4" x14ac:dyDescent="0.2">
      <c r="A55" s="891"/>
      <c r="B55" s="893"/>
      <c r="C55" s="894" t="s">
        <v>1333</v>
      </c>
      <c r="D55" s="895" t="str">
        <f>IF(SUM('Assets-Liab 5-6'!N23)&lt;&gt;('Assets-Liab 5-6'!N41),"ERROR!","OK")</f>
        <v>OK</v>
      </c>
    </row>
    <row r="56" spans="1:4" x14ac:dyDescent="0.2">
      <c r="A56" s="872"/>
      <c r="B56" s="892">
        <f>B43+1</f>
        <v>6</v>
      </c>
      <c r="C56" s="2533" t="s">
        <v>777</v>
      </c>
      <c r="D56" s="2534"/>
    </row>
    <row r="57" spans="1:4" s="888" customFormat="1" x14ac:dyDescent="0.2">
      <c r="A57" s="872"/>
      <c r="B57" s="882"/>
      <c r="C57" s="890" t="s">
        <v>1334</v>
      </c>
      <c r="D57" s="896" t="str">
        <f>IF('Assets-Liab 5-6'!C38+'Assets-Liab 5-6'!C39='Acct Summary 7-8'!C81,"OK","ERROR!")</f>
        <v>OK</v>
      </c>
    </row>
    <row r="58" spans="1:4" x14ac:dyDescent="0.2">
      <c r="A58" s="872"/>
      <c r="B58" s="882"/>
      <c r="C58" s="890" t="s">
        <v>1335</v>
      </c>
      <c r="D58" s="896" t="str">
        <f>IF((('Assets-Liab 5-6'!D38+'Assets-Liab 5-6'!D39) ='Acct Summary 7-8'!D81), "OK", "ERROR!" )</f>
        <v>OK</v>
      </c>
    </row>
    <row r="59" spans="1:4" s="888" customFormat="1" x14ac:dyDescent="0.2">
      <c r="A59" s="872"/>
      <c r="B59" s="882"/>
      <c r="C59" s="890" t="s">
        <v>1336</v>
      </c>
      <c r="D59" s="896" t="str">
        <f>IF((('Assets-Liab 5-6'!E38 + 'Assets-Liab 5-6'!E39) ='Acct Summary 7-8'!E81), "OK", "ERROR!" )</f>
        <v>OK</v>
      </c>
    </row>
    <row r="60" spans="1:4" x14ac:dyDescent="0.2">
      <c r="A60" s="872"/>
      <c r="B60" s="882"/>
      <c r="C60" s="890" t="s">
        <v>1337</v>
      </c>
      <c r="D60" s="896" t="str">
        <f>IF((('Assets-Liab 5-6'!F38 + 'Assets-Liab 5-6'!F39) ='Acct Summary 7-8'!F81), "OK", "ERROR!" )</f>
        <v>OK</v>
      </c>
    </row>
    <row r="61" spans="1:4" ht="12.75" customHeight="1" x14ac:dyDescent="0.2">
      <c r="A61" s="872"/>
      <c r="B61" s="882"/>
      <c r="C61" s="890" t="s">
        <v>1345</v>
      </c>
      <c r="D61" s="896" t="str">
        <f>IF((('Assets-Liab 5-6'!G38 + 'Assets-Liab 5-6'!G39) ='Acct Summary 7-8'!G81), "OK", "ERROR!" )</f>
        <v>OK</v>
      </c>
    </row>
    <row r="62" spans="1:4" x14ac:dyDescent="0.2">
      <c r="A62" s="872"/>
      <c r="B62" s="882"/>
      <c r="C62" s="890" t="s">
        <v>1338</v>
      </c>
      <c r="D62" s="896" t="str">
        <f>IF((('Assets-Liab 5-6'!H38 + 'Assets-Liab 5-6'!H39) ='Acct Summary 7-8'!H81), "OK", "ERROR!" )</f>
        <v>OK</v>
      </c>
    </row>
    <row r="63" spans="1:4" ht="12.75" customHeight="1" x14ac:dyDescent="0.2">
      <c r="A63" s="872"/>
      <c r="B63" s="882"/>
      <c r="C63" s="890" t="s">
        <v>1339</v>
      </c>
      <c r="D63" s="896" t="str">
        <f>IF((('Assets-Liab 5-6'!I38 + 'Assets-Liab 5-6'!I39) ='Acct Summary 7-8'!I81), "OK", "ERROR!" )</f>
        <v>OK</v>
      </c>
    </row>
    <row r="64" spans="1:4" x14ac:dyDescent="0.2">
      <c r="A64" s="872"/>
      <c r="B64" s="882"/>
      <c r="C64" s="890" t="s">
        <v>1340</v>
      </c>
      <c r="D64" s="896" t="str">
        <f>IF((('Assets-Liab 5-6'!J38 + 'Assets-Liab 5-6'!J39) ='Acct Summary 7-8'!J81), "OK", "ERROR!" )</f>
        <v>OK</v>
      </c>
    </row>
    <row r="65" spans="1:4" x14ac:dyDescent="0.2">
      <c r="A65" s="889"/>
      <c r="B65" s="882"/>
      <c r="C65" s="890" t="s">
        <v>1346</v>
      </c>
      <c r="D65" s="896" t="str">
        <f>IF((('Assets-Liab 5-6'!K38 + 'Assets-Liab 5-6'!K39) ='Acct Summary 7-8'!K81), "OK", "ERROR!" )</f>
        <v>OK</v>
      </c>
    </row>
    <row r="66" spans="1:4" x14ac:dyDescent="0.2">
      <c r="A66" s="870"/>
      <c r="B66" s="912">
        <f>B56+1+1</f>
        <v>8</v>
      </c>
      <c r="C66" s="918" t="s">
        <v>1876</v>
      </c>
      <c r="D66" s="897"/>
    </row>
    <row r="67" spans="1:4" x14ac:dyDescent="0.2">
      <c r="A67" s="891"/>
      <c r="B67" s="912"/>
      <c r="C67" s="919" t="s">
        <v>1012</v>
      </c>
      <c r="D67" s="897"/>
    </row>
    <row r="68" spans="1:4" x14ac:dyDescent="0.2">
      <c r="A68" s="872"/>
      <c r="B68" s="882"/>
      <c r="C68" s="874" t="s">
        <v>1877</v>
      </c>
      <c r="D68" s="896" t="str">
        <f>IF('Short-Term Long-Term Debt 24'!F49=SUM(,'Acct Summary 7-8'!C33:K33),"OK","ERROR!")</f>
        <v>ERROR!</v>
      </c>
    </row>
    <row r="69" spans="1:4" x14ac:dyDescent="0.2">
      <c r="A69" s="872"/>
      <c r="B69" s="882"/>
      <c r="C69" s="874" t="s">
        <v>1878</v>
      </c>
      <c r="D69" s="896" t="str">
        <f>IF('Expenditures 15-22'!H170&lt;&gt;'Short-Term Long-Term Debt 24'!H49,"ERROR!","OK")</f>
        <v>OK</v>
      </c>
    </row>
    <row r="70" spans="1:4" x14ac:dyDescent="0.2">
      <c r="A70" s="870"/>
      <c r="B70" s="892">
        <f>B66+1</f>
        <v>9</v>
      </c>
      <c r="C70" s="2533" t="s">
        <v>1670</v>
      </c>
      <c r="D70" s="2534"/>
    </row>
    <row r="71" spans="1:4" x14ac:dyDescent="0.2">
      <c r="A71" s="870"/>
      <c r="B71" s="892"/>
      <c r="C71" s="874" t="s">
        <v>1341</v>
      </c>
      <c r="D71" s="898" t="str">
        <f>IF(SUM('Acct Summary 7-8'!C27:K27) =SUM( 'Acct Summary 7-8'!C49:K49),"OK", "ERROR")</f>
        <v>OK</v>
      </c>
    </row>
    <row r="72" spans="1:4" x14ac:dyDescent="0.2">
      <c r="A72" s="872"/>
      <c r="B72" s="882"/>
      <c r="C72" s="890" t="s">
        <v>1342</v>
      </c>
      <c r="D72" s="896" t="str">
        <f>IF(SUM('Acct Summary 7-8'!C28:K28)=SUM('Acct Summary 7-8'!C50:K50),"OK","ERROR!")</f>
        <v>OK</v>
      </c>
    </row>
    <row r="73" spans="1:4" ht="24" x14ac:dyDescent="0.2">
      <c r="A73" s="899"/>
      <c r="B73" s="882"/>
      <c r="C73" s="890" t="s">
        <v>1671</v>
      </c>
      <c r="D73" s="898" t="str">
        <f>IF(SUM('Acct Summary 7-8'!C42:K42)&gt;=SUM( 'Acct Summary 7-8'!C74:K74),"OK", "ERROR")</f>
        <v>OK</v>
      </c>
    </row>
    <row r="74" spans="1:4" x14ac:dyDescent="0.2">
      <c r="A74" s="870"/>
      <c r="B74" s="892">
        <f>B70+1</f>
        <v>10</v>
      </c>
      <c r="C74" s="886" t="s">
        <v>1879</v>
      </c>
      <c r="D74" s="900"/>
    </row>
    <row r="75" spans="1:4" x14ac:dyDescent="0.2">
      <c r="A75" s="872"/>
      <c r="B75" s="882"/>
      <c r="C75" s="890" t="s">
        <v>1357</v>
      </c>
      <c r="D75" s="896" t="str">
        <f>IF(SUM('Assets-Liab 5-6'!C38:H38)&gt;=SUM('Rest Tax Levies-Tort Im 25'!G25:K25),"OK","ERROR")</f>
        <v>OK</v>
      </c>
    </row>
    <row r="76" spans="1:4" x14ac:dyDescent="0.2">
      <c r="A76" s="872"/>
      <c r="B76" s="882"/>
      <c r="C76" s="890" t="s">
        <v>1397</v>
      </c>
      <c r="D76" s="896" t="str">
        <f>IF(SUM('Assets-Liab 5-6'!C39:K39)&gt;0,"OK","ENTRY IS REQUIRED!")</f>
        <v>OK</v>
      </c>
    </row>
    <row r="77" spans="1:4" x14ac:dyDescent="0.2">
      <c r="A77" s="872"/>
      <c r="B77" s="901">
        <f>B74+1</f>
        <v>11</v>
      </c>
      <c r="C77" s="946" t="s">
        <v>1358</v>
      </c>
      <c r="D77" s="896"/>
    </row>
    <row r="78" spans="1:4" x14ac:dyDescent="0.2">
      <c r="A78" s="872"/>
      <c r="B78" s="882"/>
      <c r="C78" s="890" t="s">
        <v>1984</v>
      </c>
      <c r="D78" s="896" t="str">
        <f>IF(ISNUMBER('Acct Summary 7-8'!C9),"OK","ENTRY IS REQUIRED!")</f>
        <v>OK</v>
      </c>
    </row>
    <row r="79" spans="1:4" x14ac:dyDescent="0.2">
      <c r="A79" s="891"/>
      <c r="B79" s="892">
        <f>B74+1+1</f>
        <v>12</v>
      </c>
      <c r="C79" s="902" t="s">
        <v>1867</v>
      </c>
      <c r="D79" s="903" t="str">
        <f>IF(OR(COVER!$B$6="X",'PCTC-OEPP 27-28'!F79&gt;0),"OK","PLEASE ENTER 9 MO ADA.")</f>
        <v>OK</v>
      </c>
    </row>
    <row r="80" spans="1:4" x14ac:dyDescent="0.2">
      <c r="A80" s="870"/>
      <c r="B80" s="892">
        <v>13</v>
      </c>
      <c r="C80" s="902" t="s">
        <v>1972</v>
      </c>
      <c r="D80" s="903" t="str">
        <f>IF(OR(COVER!$B$6="X",ISNUMBER('PCTC-OEPP 27-28'!F172)),"OK","PLEASE ENTER AMOUNT or 0.")</f>
        <v>OK</v>
      </c>
    </row>
    <row r="81" spans="1:4" x14ac:dyDescent="0.2">
      <c r="A81" s="870"/>
      <c r="B81" s="892">
        <v>14</v>
      </c>
      <c r="C81" s="902" t="s">
        <v>1973</v>
      </c>
      <c r="D81" s="903" t="str">
        <f>IF(OR(COVER!$B$6="X",ISNUMBER('PCTC-OEPP 27-28'!F173)),"OK","PLEASE ENTER AMOUNT or 0.")</f>
        <v>OK</v>
      </c>
    </row>
    <row r="82" spans="1:4" x14ac:dyDescent="0.2">
      <c r="A82" s="870"/>
      <c r="B82" s="892">
        <v>15</v>
      </c>
      <c r="C82" s="902" t="s">
        <v>1880</v>
      </c>
      <c r="D82" s="1882" t="str">
        <f>IF('Contracts Paid in CY 29'!$D$138&gt;0,"OK","PLEASE ENTER CONTRACTS PAID IN CURRENT YEAR.  IF NONE, STATE NO CONTRACTS ON PAGE 29.")</f>
        <v>OK</v>
      </c>
    </row>
    <row r="83" spans="1:4" x14ac:dyDescent="0.2">
      <c r="A83" s="870"/>
      <c r="B83" s="892">
        <v>16</v>
      </c>
      <c r="C83" s="902" t="s">
        <v>1403</v>
      </c>
      <c r="D83" s="895" t="str">
        <f>IF('Shared Outsourced Services 31'!B8="X","OK",IF('Shared Outsourced Services 31'!K34&gt;0,"OK","ENTRY REQUIRED!"))</f>
        <v>OK</v>
      </c>
    </row>
    <row r="84" spans="1:4" x14ac:dyDescent="0.2">
      <c r="A84" s="891"/>
      <c r="B84" s="892">
        <v>17</v>
      </c>
      <c r="C84" s="902" t="s">
        <v>1402</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2" t="s">
        <v>1963</v>
      </c>
      <c r="F1" s="1532" t="s">
        <v>1964</v>
      </c>
      <c r="G1" s="1881" t="s">
        <v>1974</v>
      </c>
    </row>
    <row r="2" spans="1:7" ht="15.75" x14ac:dyDescent="0.25">
      <c r="A2" t="s">
        <v>260</v>
      </c>
      <c r="B2" s="135">
        <f>COVER!A13</f>
        <v>34049103002</v>
      </c>
      <c r="E2" s="1531">
        <v>2020</v>
      </c>
      <c r="F2" s="1531">
        <v>1</v>
      </c>
      <c r="G2" s="1880">
        <v>101000300</v>
      </c>
    </row>
    <row r="3" spans="1:7" ht="15" x14ac:dyDescent="0.25">
      <c r="A3" t="s">
        <v>948</v>
      </c>
      <c r="B3" s="135" t="str">
        <f>COVER!A15</f>
        <v>LAKE</v>
      </c>
      <c r="E3" s="1814" t="s">
        <v>1967</v>
      </c>
      <c r="F3" s="1814" t="s">
        <v>1966</v>
      </c>
      <c r="G3" s="1880">
        <v>101000400</v>
      </c>
    </row>
    <row r="4" spans="1:7" ht="15" x14ac:dyDescent="0.25">
      <c r="A4" t="s">
        <v>998</v>
      </c>
      <c r="B4" s="135" t="str">
        <f>COVER!A17</f>
        <v xml:space="preserve">   Lincolnshire-Prairieview SD 103</v>
      </c>
      <c r="E4" s="1812">
        <v>44119</v>
      </c>
      <c r="F4" s="1813">
        <v>44151</v>
      </c>
      <c r="G4" s="1880">
        <v>101000600</v>
      </c>
    </row>
    <row r="5" spans="1:7" ht="15" x14ac:dyDescent="0.25">
      <c r="A5" t="s">
        <v>697</v>
      </c>
      <c r="B5" s="135">
        <f>COVER!A38</f>
        <v>0</v>
      </c>
      <c r="G5" s="1880">
        <v>101000800</v>
      </c>
    </row>
    <row r="6" spans="1:7" ht="15" x14ac:dyDescent="0.25">
      <c r="A6" t="s">
        <v>702</v>
      </c>
      <c r="B6" s="135">
        <f>COVER!P35</f>
        <v>0</v>
      </c>
      <c r="G6" s="1880">
        <v>102100300</v>
      </c>
    </row>
    <row r="7" spans="1:7" ht="15" x14ac:dyDescent="0.25">
      <c r="A7" t="s">
        <v>698</v>
      </c>
      <c r="B7" s="135">
        <f>COVER!I38</f>
        <v>0</v>
      </c>
      <c r="G7" s="1880">
        <v>102100400</v>
      </c>
    </row>
    <row r="8" spans="1:7" ht="15" x14ac:dyDescent="0.25">
      <c r="A8" t="s">
        <v>699</v>
      </c>
      <c r="B8" s="135">
        <f>COVER!T38</f>
        <v>0</v>
      </c>
      <c r="G8" s="1880">
        <v>102100600</v>
      </c>
    </row>
    <row r="9" spans="1:7" ht="15" x14ac:dyDescent="0.25">
      <c r="A9" s="3" t="s">
        <v>949</v>
      </c>
      <c r="B9" s="153" t="str">
        <f>AUDITCHECK!D23</f>
        <v>CASH</v>
      </c>
      <c r="G9" s="1880">
        <v>102100800</v>
      </c>
    </row>
    <row r="10" spans="1:7" ht="15" x14ac:dyDescent="0.25">
      <c r="A10" t="s">
        <v>968</v>
      </c>
      <c r="B10" s="135" t="str">
        <f>COVER!B5</f>
        <v>x</v>
      </c>
      <c r="G10" s="1880">
        <v>202100300</v>
      </c>
    </row>
    <row r="11" spans="1:7" ht="15" x14ac:dyDescent="0.25">
      <c r="A11" t="s">
        <v>969</v>
      </c>
      <c r="B11" s="135">
        <f>COVER!B6</f>
        <v>0</v>
      </c>
      <c r="G11" s="1880">
        <v>202100400</v>
      </c>
    </row>
    <row r="12" spans="1:7" ht="15" x14ac:dyDescent="0.25">
      <c r="A12" s="1" t="s">
        <v>1522</v>
      </c>
      <c r="B12" s="135" t="str">
        <f>IF(COVER!J29="x","Yes",IF(COVER!L29="X","No",0))</f>
        <v>No</v>
      </c>
      <c r="G12" s="1880">
        <v>202100600</v>
      </c>
    </row>
    <row r="13" spans="1:7" ht="15" x14ac:dyDescent="0.25">
      <c r="A13" s="1" t="s">
        <v>1523</v>
      </c>
      <c r="B13" s="135" t="str">
        <f>IF(COVER!J30="x","Yes",IF(COVER!L30="x","No",0))</f>
        <v>No</v>
      </c>
      <c r="G13" s="1880">
        <v>202100800</v>
      </c>
    </row>
    <row r="14" spans="1:7" ht="15" x14ac:dyDescent="0.25">
      <c r="A14" t="s">
        <v>472</v>
      </c>
      <c r="B14" s="135" t="str">
        <f>IF(COVER!J31="x","Yes",IF(COVER!L31="x","No",0))</f>
        <v>No</v>
      </c>
      <c r="G14" s="1880">
        <v>402100300</v>
      </c>
    </row>
    <row r="15" spans="1:7" ht="15" x14ac:dyDescent="0.25">
      <c r="A15" t="s">
        <v>572</v>
      </c>
      <c r="B15" s="135" t="str">
        <f>COVER!T23</f>
        <v>066-005142</v>
      </c>
      <c r="G15" s="1880">
        <v>402100400</v>
      </c>
    </row>
    <row r="16" spans="1:7" ht="15" x14ac:dyDescent="0.25">
      <c r="A16" t="s">
        <v>418</v>
      </c>
      <c r="B16" s="135" t="str">
        <f>COVER!T13</f>
        <v>EDER, CASELLA &amp; CO.</v>
      </c>
      <c r="G16" s="1880">
        <v>402100600</v>
      </c>
    </row>
    <row r="17" spans="1:7" ht="15" x14ac:dyDescent="0.25">
      <c r="A17" t="s">
        <v>876</v>
      </c>
      <c r="B17" s="135" t="str">
        <f>COVER!T15</f>
        <v>KEVIN SMITH</v>
      </c>
      <c r="G17" s="1880">
        <v>402100800</v>
      </c>
    </row>
    <row r="18" spans="1:7" ht="15" x14ac:dyDescent="0.25">
      <c r="A18" t="s">
        <v>1138</v>
      </c>
      <c r="B18" s="135" t="str">
        <f>COVER!T17</f>
        <v>5400 WEST ELM STREET, SUITE 203</v>
      </c>
      <c r="G18" s="1880">
        <v>102200300</v>
      </c>
    </row>
    <row r="19" spans="1:7" ht="15" x14ac:dyDescent="0.25">
      <c r="A19" t="s">
        <v>878</v>
      </c>
      <c r="B19" s="135" t="str">
        <f>COVER!T25</f>
        <v>CPAS@EDERCASELLA.COM</v>
      </c>
      <c r="G19" s="1880">
        <v>102200400</v>
      </c>
    </row>
    <row r="20" spans="1:7" ht="15" x14ac:dyDescent="0.25">
      <c r="A20" t="s">
        <v>879</v>
      </c>
      <c r="B20" s="135" t="str">
        <f>COVER!T19</f>
        <v>MCHENRY</v>
      </c>
      <c r="G20" s="1880">
        <v>102200600</v>
      </c>
    </row>
    <row r="21" spans="1:7" ht="15" x14ac:dyDescent="0.25">
      <c r="A21" t="s">
        <v>475</v>
      </c>
      <c r="B21" s="135" t="str">
        <f>COVER!X19</f>
        <v>IL</v>
      </c>
      <c r="G21" s="1880">
        <v>102200800</v>
      </c>
    </row>
    <row r="22" spans="1:7" ht="15" x14ac:dyDescent="0.25">
      <c r="A22" t="s">
        <v>880</v>
      </c>
      <c r="B22" s="135">
        <f>COVER!Z19</f>
        <v>60050</v>
      </c>
      <c r="G22" s="1880">
        <v>102300300</v>
      </c>
    </row>
    <row r="23" spans="1:7" ht="15" x14ac:dyDescent="0.25">
      <c r="A23" t="s">
        <v>1140</v>
      </c>
      <c r="B23" s="135" t="str">
        <f>COVER!T21</f>
        <v>815-344-1300</v>
      </c>
      <c r="G23" s="1880">
        <v>102300400</v>
      </c>
    </row>
    <row r="24" spans="1:7" ht="15" x14ac:dyDescent="0.25">
      <c r="A24" t="s">
        <v>1139</v>
      </c>
      <c r="B24" s="135">
        <f>COVER!Y21</f>
        <v>0</v>
      </c>
      <c r="G24" s="1880">
        <v>102300600</v>
      </c>
    </row>
    <row r="25" spans="1:7" ht="15" x14ac:dyDescent="0.25">
      <c r="A25" t="s">
        <v>754</v>
      </c>
      <c r="B25" s="135">
        <f>COVER!B34</f>
        <v>0</v>
      </c>
      <c r="G25" s="1880">
        <v>102300800</v>
      </c>
    </row>
    <row r="26" spans="1:7" ht="15" x14ac:dyDescent="0.25">
      <c r="A26" t="s">
        <v>1141</v>
      </c>
      <c r="B26" s="135">
        <f>COVER!L34</f>
        <v>0</v>
      </c>
      <c r="G26" s="1880">
        <v>802300300</v>
      </c>
    </row>
    <row r="27" spans="1:7" ht="15" x14ac:dyDescent="0.25">
      <c r="A27" t="s">
        <v>265</v>
      </c>
      <c r="B27" s="135">
        <f>COVER!U34</f>
        <v>0</v>
      </c>
      <c r="G27" s="1880">
        <v>802300400</v>
      </c>
    </row>
    <row r="28" spans="1:7" ht="15" x14ac:dyDescent="0.25">
      <c r="A28" t="s">
        <v>312</v>
      </c>
      <c r="B28" s="135" t="str">
        <f>IF('Aud Quest 2'!B9="x","Yes",IF('Aud Quest 2'!B9&lt;&gt;"x","0"))</f>
        <v>0</v>
      </c>
      <c r="G28" s="1880">
        <v>802300600</v>
      </c>
    </row>
    <row r="29" spans="1:7" ht="15" x14ac:dyDescent="0.25">
      <c r="A29" t="s">
        <v>313</v>
      </c>
      <c r="B29" s="135" t="str">
        <f>IF('Aud Quest 2'!B11="x","Yes",IF('Aud Quest 2'!B11&lt;&gt;"x","0"))</f>
        <v>0</v>
      </c>
      <c r="G29" s="1880">
        <v>802300800</v>
      </c>
    </row>
    <row r="30" spans="1:7" ht="15" x14ac:dyDescent="0.25">
      <c r="A30" t="s">
        <v>314</v>
      </c>
      <c r="B30" s="135" t="str">
        <f>IF('Aud Quest 2'!B13="x","Yes",IF('Aud Quest 2'!B13&lt;&gt;"x","0"))</f>
        <v>0</v>
      </c>
      <c r="G30" s="1880">
        <v>102400300</v>
      </c>
    </row>
    <row r="31" spans="1:7" ht="15" x14ac:dyDescent="0.25">
      <c r="A31" t="s">
        <v>653</v>
      </c>
      <c r="B31" s="135" t="str">
        <f>IF('Aud Quest 2'!B14="x","Yes",IF('Aud Quest 2'!B14&lt;&gt;"x","0"))</f>
        <v>0</v>
      </c>
      <c r="G31" s="1880">
        <v>102400400</v>
      </c>
    </row>
    <row r="32" spans="1:7" ht="15" x14ac:dyDescent="0.25">
      <c r="A32" t="s">
        <v>652</v>
      </c>
      <c r="B32" s="135" t="str">
        <f>IF('Aud Quest 2'!B15="x","Yes",IF('Aud Quest 2'!B15&lt;&gt;"x","0"))</f>
        <v>0</v>
      </c>
      <c r="G32" s="1880">
        <v>102400600</v>
      </c>
    </row>
    <row r="33" spans="1:7" ht="15" x14ac:dyDescent="0.25">
      <c r="A33" t="s">
        <v>654</v>
      </c>
      <c r="B33" s="135" t="str">
        <f>IF('Aud Quest 2'!B16="x","Yes",IF('Aud Quest 2'!B16&lt;&gt;"x","0"))</f>
        <v>0</v>
      </c>
      <c r="G33" s="1880">
        <v>102400800</v>
      </c>
    </row>
    <row r="34" spans="1:7" ht="15" x14ac:dyDescent="0.25">
      <c r="A34" t="s">
        <v>655</v>
      </c>
      <c r="B34" s="135" t="str">
        <f>IF('Aud Quest 2'!B18="x","Yes",IF('Aud Quest 2'!B18&lt;&gt;"x","0"))</f>
        <v>0</v>
      </c>
      <c r="G34" s="1880">
        <v>102510300</v>
      </c>
    </row>
    <row r="35" spans="1:7" ht="15" x14ac:dyDescent="0.25">
      <c r="A35" t="s">
        <v>656</v>
      </c>
      <c r="B35" s="135" t="str">
        <f>IF('Aud Quest 2'!B20="x","Yes",IF('Aud Quest 2'!B20&lt;&gt;"x","0"))</f>
        <v>0</v>
      </c>
      <c r="G35" s="1880">
        <v>102510400</v>
      </c>
    </row>
    <row r="36" spans="1:7" ht="15" x14ac:dyDescent="0.25">
      <c r="A36" t="s">
        <v>650</v>
      </c>
      <c r="B36" s="135" t="str">
        <f>IF('Aud Quest 2'!B22="x","Yes",IF('Aud Quest 2'!B22&lt;&gt;"x","0"))</f>
        <v>0</v>
      </c>
      <c r="G36" s="1880">
        <v>102510600</v>
      </c>
    </row>
    <row r="37" spans="1:7" ht="15" x14ac:dyDescent="0.25">
      <c r="A37" t="s">
        <v>753</v>
      </c>
      <c r="B37" s="135" t="str">
        <f>IF('Aud Quest 2'!B24="x","Yes",IF('Aud Quest 2'!B24&lt;&gt;"x","0"))</f>
        <v>0</v>
      </c>
      <c r="G37" s="1880">
        <v>102510800</v>
      </c>
    </row>
    <row r="38" spans="1:7" ht="15" x14ac:dyDescent="0.25">
      <c r="A38" t="s">
        <v>323</v>
      </c>
      <c r="B38" s="135" t="str">
        <f>IF('Aud Quest 2'!B25="x","Yes",IF('Aud Quest 2'!B25&lt;&gt;"x","0"))</f>
        <v>0</v>
      </c>
      <c r="G38" s="1880">
        <v>202510300</v>
      </c>
    </row>
    <row r="39" spans="1:7" ht="15" x14ac:dyDescent="0.25">
      <c r="A39" t="s">
        <v>324</v>
      </c>
      <c r="B39" s="135" t="str">
        <f>IF('Aud Quest 2'!B27="x","Yes",IF('Aud Quest 2'!B27&lt;&gt;"x","0"))</f>
        <v>0</v>
      </c>
      <c r="G39" s="1880">
        <v>202510400</v>
      </c>
    </row>
    <row r="40" spans="1:7" ht="15" x14ac:dyDescent="0.25">
      <c r="A40" t="s">
        <v>315</v>
      </c>
      <c r="B40" s="135" t="str">
        <f>IF('Aud Quest 2'!B29="x","Yes",IF('Aud Quest 2'!B29&lt;&gt;"x","0"))</f>
        <v>0</v>
      </c>
      <c r="G40" s="1880">
        <v>202510600</v>
      </c>
    </row>
    <row r="41" spans="1:7" ht="15" x14ac:dyDescent="0.25">
      <c r="A41" t="s">
        <v>316</v>
      </c>
      <c r="B41" s="135" t="str">
        <f>IF('Aud Quest 2'!B31="x","Yes",IF('Aud Quest 2'!B31&lt;&gt;"x","0"))</f>
        <v>0</v>
      </c>
      <c r="G41" s="1880">
        <v>202510800</v>
      </c>
    </row>
    <row r="42" spans="1:7" ht="15" x14ac:dyDescent="0.25">
      <c r="A42" t="s">
        <v>317</v>
      </c>
      <c r="B42" s="135" t="str">
        <f>IF('Aud Quest 2'!B37="x","Yes",IF('Aud Quest 2'!B37&lt;&gt;"x","0"))</f>
        <v>0</v>
      </c>
      <c r="G42" s="1880">
        <v>102520300</v>
      </c>
    </row>
    <row r="43" spans="1:7" ht="15" x14ac:dyDescent="0.25">
      <c r="A43" t="s">
        <v>318</v>
      </c>
      <c r="B43" s="135" t="str">
        <f>IF('Aud Quest 2'!B40="x","Yes",IF('Aud Quest 2'!B40&lt;&gt;"x","0"))</f>
        <v>0</v>
      </c>
      <c r="G43" s="1880">
        <v>102520400</v>
      </c>
    </row>
    <row r="44" spans="1:7" ht="15" x14ac:dyDescent="0.25">
      <c r="A44" s="1" t="s">
        <v>319</v>
      </c>
      <c r="B44" s="135" t="str">
        <f>IF('Aud Quest 2'!B42="x","Yes",IF('Aud Quest 2'!B42&lt;&gt;"x","0"))</f>
        <v>0</v>
      </c>
      <c r="G44" s="1880">
        <v>102520600</v>
      </c>
    </row>
    <row r="45" spans="1:7" ht="15" x14ac:dyDescent="0.25">
      <c r="A45" t="s">
        <v>320</v>
      </c>
      <c r="B45" s="135" t="str">
        <f>IF('Aud Quest 2'!B44="x","Yes",IF('Aud Quest 2'!B44&lt;&gt;"x","0"))</f>
        <v>0</v>
      </c>
      <c r="G45" s="1880">
        <v>102520800</v>
      </c>
    </row>
    <row r="46" spans="1:7" ht="15" x14ac:dyDescent="0.25">
      <c r="A46" t="s">
        <v>321</v>
      </c>
      <c r="B46" s="135" t="str">
        <f>IF('Aud Quest 2'!B49="x","Yes",IF('Aud Quest 2'!B49&lt;&gt;"x","0"))</f>
        <v>0</v>
      </c>
      <c r="G46" s="1880">
        <v>102540300</v>
      </c>
    </row>
    <row r="47" spans="1:7" ht="15" x14ac:dyDescent="0.25">
      <c r="A47" t="s">
        <v>322</v>
      </c>
      <c r="B47" s="135" t="str">
        <f>IF('Aud Quest 2'!B50="x","Yes",IF('Aud Quest 2'!B50&lt;&gt;"x","0"))</f>
        <v>0</v>
      </c>
      <c r="G47" s="1880">
        <v>102540400</v>
      </c>
    </row>
    <row r="48" spans="1:7" ht="15" x14ac:dyDescent="0.25">
      <c r="A48" t="s">
        <v>479</v>
      </c>
      <c r="B48" s="135" t="str">
        <f>IF('Aud Quest 2'!B51="x","Yes",IF('Aud Quest 2'!B51&lt;&gt;"x","0"))</f>
        <v>0</v>
      </c>
      <c r="G48" s="1880">
        <v>102540600</v>
      </c>
    </row>
    <row r="49" spans="1:7" ht="15" x14ac:dyDescent="0.25">
      <c r="A49" s="1" t="s">
        <v>1460</v>
      </c>
      <c r="B49" s="135" t="str">
        <f>IF('Aud Quest 2'!B53="x","Yes",IF('Aud Quest 2'!B53&lt;&gt;"x","0"))</f>
        <v>Yes</v>
      </c>
      <c r="G49" s="1880">
        <v>102540800</v>
      </c>
    </row>
    <row r="50" spans="1:7" ht="15" x14ac:dyDescent="0.25">
      <c r="A50" s="1" t="s">
        <v>1459</v>
      </c>
      <c r="B50" s="146">
        <f>'Aud Quest 2'!H53</f>
        <v>33512</v>
      </c>
      <c r="G50" s="1880">
        <v>202540300</v>
      </c>
    </row>
    <row r="51" spans="1:7" ht="15" x14ac:dyDescent="0.25">
      <c r="A51" s="1" t="s">
        <v>1461</v>
      </c>
      <c r="B51" s="135" t="str">
        <f>IF('Aud Quest 2'!B54="x","Yes",IF('Aud Quest 2'!B54&lt;&gt;"x","0"))</f>
        <v>0</v>
      </c>
      <c r="G51" s="1880">
        <v>202540400</v>
      </c>
    </row>
    <row r="52" spans="1:7" ht="15" x14ac:dyDescent="0.25">
      <c r="A52" t="s">
        <v>325</v>
      </c>
      <c r="B52" s="135">
        <f>('Aud Quest 2'!D56)</f>
        <v>0</v>
      </c>
      <c r="G52" s="1880">
        <v>202540600</v>
      </c>
    </row>
    <row r="53" spans="1:7" ht="15" x14ac:dyDescent="0.25">
      <c r="A53" s="1" t="s">
        <v>326</v>
      </c>
      <c r="B53" s="135">
        <f>IF('FP Info 3'!B44="X","Yes",0)</f>
        <v>0</v>
      </c>
      <c r="G53" s="1880">
        <v>202540800</v>
      </c>
    </row>
    <row r="54" spans="1:7" ht="15" x14ac:dyDescent="0.25">
      <c r="A54" t="s">
        <v>327</v>
      </c>
      <c r="B54" s="135">
        <f>IF('FP Info 3'!B45="X","Yes",0)</f>
        <v>0</v>
      </c>
      <c r="G54" s="1880">
        <v>902540300</v>
      </c>
    </row>
    <row r="55" spans="1:7" ht="15" x14ac:dyDescent="0.25">
      <c r="A55" t="s">
        <v>328</v>
      </c>
      <c r="B55" s="135">
        <f>IF('FP Info 3'!B46="X","Yes",0)</f>
        <v>0</v>
      </c>
      <c r="G55" s="1880">
        <v>902540400</v>
      </c>
    </row>
    <row r="56" spans="1:7" ht="15" x14ac:dyDescent="0.25">
      <c r="A56" t="s">
        <v>329</v>
      </c>
      <c r="B56" s="135">
        <f>IF('FP Info 3'!B47="X","Yes",0)</f>
        <v>0</v>
      </c>
      <c r="G56" s="1880">
        <v>902540600</v>
      </c>
    </row>
    <row r="57" spans="1:7" ht="15" x14ac:dyDescent="0.25">
      <c r="A57" t="s">
        <v>330</v>
      </c>
      <c r="B57" s="135">
        <f>IF('FP Info 3'!B48="X","Yes",0)</f>
        <v>0</v>
      </c>
      <c r="G57" s="1880">
        <v>902540800</v>
      </c>
    </row>
    <row r="58" spans="1:7" ht="15" x14ac:dyDescent="0.25">
      <c r="A58" t="s">
        <v>331</v>
      </c>
      <c r="B58" s="135">
        <f>IF('FP Info 3'!B49="X","Yes",0)</f>
        <v>0</v>
      </c>
      <c r="G58" s="1880">
        <v>102550300</v>
      </c>
    </row>
    <row r="59" spans="1:7" ht="15" x14ac:dyDescent="0.25">
      <c r="A59" t="s">
        <v>332</v>
      </c>
      <c r="B59" s="135">
        <f>IF('FP Info 3'!B50="X","Yes",0)</f>
        <v>0</v>
      </c>
      <c r="G59" s="1880">
        <v>102550400</v>
      </c>
    </row>
    <row r="60" spans="1:7" ht="15" x14ac:dyDescent="0.25">
      <c r="A60" t="s">
        <v>333</v>
      </c>
      <c r="B60" s="135">
        <f>IF('FP Info 3'!B51="X","Yes",0)</f>
        <v>0</v>
      </c>
      <c r="G60" s="1880">
        <v>102550600</v>
      </c>
    </row>
    <row r="61" spans="1:7" ht="15" x14ac:dyDescent="0.25">
      <c r="A61" t="s">
        <v>334</v>
      </c>
      <c r="B61" s="135">
        <f>('FP Info 3'!A53)</f>
        <v>0</v>
      </c>
      <c r="D61" s="2" t="str">
        <f>IF(ISBLANK(B62),"OK",IF(A62-B62=0,"OK","Error?"))</f>
        <v>OK</v>
      </c>
      <c r="G61" s="1880">
        <v>102550800</v>
      </c>
    </row>
    <row r="62" spans="1:7" ht="15" x14ac:dyDescent="0.25">
      <c r="A62" s="10">
        <v>1</v>
      </c>
      <c r="B62" s="1816"/>
      <c r="D62" s="2" t="str">
        <f>IF(ISBLANK(B62),"OK",IF(A62-B62=0,"OK","Error?"))</f>
        <v>OK</v>
      </c>
      <c r="G62" s="1880">
        <v>202550300</v>
      </c>
    </row>
    <row r="63" spans="1:7" ht="15" x14ac:dyDescent="0.25">
      <c r="A63" s="10">
        <v>2</v>
      </c>
      <c r="B63" s="1816"/>
      <c r="D63" s="2" t="str">
        <f t="shared" ref="D63:D126" si="0">IF(ISBLANK(B63),"OK",IF(A63-B63=0,"OK","Error?"))</f>
        <v>OK</v>
      </c>
      <c r="G63" s="1880">
        <v>202550400</v>
      </c>
    </row>
    <row r="64" spans="1:7" ht="15" x14ac:dyDescent="0.25">
      <c r="A64" s="10">
        <v>3</v>
      </c>
      <c r="B64" s="1816"/>
      <c r="D64" s="2" t="str">
        <f t="shared" si="0"/>
        <v>OK</v>
      </c>
      <c r="G64" s="1880">
        <v>202550600</v>
      </c>
    </row>
    <row r="65" spans="1:7" ht="15" x14ac:dyDescent="0.25">
      <c r="A65" s="5">
        <v>4</v>
      </c>
      <c r="B65" s="1816">
        <f>'Assets-Liab 5-6'!C6</f>
        <v>0</v>
      </c>
      <c r="D65" s="2" t="str">
        <f t="shared" si="0"/>
        <v>Error?</v>
      </c>
      <c r="G65" s="1880">
        <v>202550800</v>
      </c>
    </row>
    <row r="66" spans="1:7" ht="15" x14ac:dyDescent="0.25">
      <c r="A66" s="10">
        <v>5</v>
      </c>
      <c r="B66" s="1816"/>
      <c r="D66" s="2" t="str">
        <f t="shared" si="0"/>
        <v>OK</v>
      </c>
      <c r="G66" s="1880">
        <v>402550300</v>
      </c>
    </row>
    <row r="67" spans="1:7" ht="15" x14ac:dyDescent="0.25">
      <c r="A67" s="10">
        <v>6</v>
      </c>
      <c r="B67" s="1816"/>
      <c r="D67" s="2" t="str">
        <f t="shared" si="0"/>
        <v>OK</v>
      </c>
      <c r="G67" s="1880">
        <v>402550400</v>
      </c>
    </row>
    <row r="68" spans="1:7" ht="15" x14ac:dyDescent="0.25">
      <c r="A68" s="10">
        <v>7</v>
      </c>
      <c r="B68" s="1816"/>
      <c r="D68" s="2" t="str">
        <f t="shared" si="0"/>
        <v>OK</v>
      </c>
      <c r="G68" s="1880">
        <v>402550600</v>
      </c>
    </row>
    <row r="69" spans="1:7" ht="15" x14ac:dyDescent="0.25">
      <c r="A69" s="10">
        <v>8</v>
      </c>
      <c r="B69" s="1816"/>
      <c r="D69" s="2" t="str">
        <f t="shared" si="0"/>
        <v>OK</v>
      </c>
      <c r="G69" s="1880">
        <v>402550800</v>
      </c>
    </row>
    <row r="70" spans="1:7" ht="15" x14ac:dyDescent="0.25">
      <c r="A70" s="10">
        <v>9</v>
      </c>
      <c r="B70" s="1816"/>
      <c r="D70" s="2" t="str">
        <f t="shared" si="0"/>
        <v>OK</v>
      </c>
      <c r="G70" s="1880">
        <v>102560300</v>
      </c>
    </row>
    <row r="71" spans="1:7" ht="15" x14ac:dyDescent="0.25">
      <c r="A71" s="10">
        <v>10</v>
      </c>
      <c r="B71" s="1816"/>
      <c r="D71" s="2" t="str">
        <f t="shared" si="0"/>
        <v>OK</v>
      </c>
      <c r="G71" s="1880">
        <v>102560400</v>
      </c>
    </row>
    <row r="72" spans="1:7" ht="15" x14ac:dyDescent="0.25">
      <c r="A72" s="5">
        <v>11</v>
      </c>
      <c r="B72" s="1816">
        <f>'Assets-Liab 5-6'!C10</f>
        <v>0</v>
      </c>
      <c r="D72" s="2" t="str">
        <f t="shared" si="0"/>
        <v>Error?</v>
      </c>
      <c r="G72" s="1880">
        <v>102560600</v>
      </c>
    </row>
    <row r="73" spans="1:7" ht="15" x14ac:dyDescent="0.25">
      <c r="A73" s="5">
        <v>12</v>
      </c>
      <c r="B73" s="1816">
        <f>'Assets-Liab 5-6'!C5</f>
        <v>2698545</v>
      </c>
      <c r="D73" s="2" t="str">
        <f t="shared" si="0"/>
        <v>Error?</v>
      </c>
      <c r="G73" s="1880">
        <v>102560800</v>
      </c>
    </row>
    <row r="74" spans="1:7" ht="15" x14ac:dyDescent="0.25">
      <c r="A74" s="10">
        <v>13</v>
      </c>
      <c r="B74" s="1816"/>
      <c r="D74" s="2" t="str">
        <f t="shared" si="0"/>
        <v>OK</v>
      </c>
      <c r="G74" s="1880">
        <v>102570300</v>
      </c>
    </row>
    <row r="75" spans="1:7" ht="15" x14ac:dyDescent="0.25">
      <c r="A75" s="10">
        <v>14</v>
      </c>
      <c r="B75" s="1816"/>
      <c r="D75" s="2" t="str">
        <f t="shared" si="0"/>
        <v>OK</v>
      </c>
      <c r="G75" s="1880">
        <v>102570400</v>
      </c>
    </row>
    <row r="76" spans="1:7" ht="15" x14ac:dyDescent="0.25">
      <c r="A76" s="5">
        <v>15</v>
      </c>
      <c r="B76" s="1816">
        <f>'Assets-Liab 5-6'!C12</f>
        <v>0</v>
      </c>
      <c r="D76" s="2" t="str">
        <f t="shared" si="0"/>
        <v>Error?</v>
      </c>
      <c r="G76" s="1880">
        <v>102570600</v>
      </c>
    </row>
    <row r="77" spans="1:7" ht="15" x14ac:dyDescent="0.25">
      <c r="A77" s="5">
        <v>16</v>
      </c>
      <c r="B77" s="1816">
        <f>'Assets-Liab 5-6'!C13</f>
        <v>19444008</v>
      </c>
      <c r="C77" s="2" t="s">
        <v>568</v>
      </c>
      <c r="D77" s="2" t="str">
        <f t="shared" si="0"/>
        <v>Error?</v>
      </c>
      <c r="G77" s="1880">
        <v>102570800</v>
      </c>
    </row>
    <row r="78" spans="1:7" ht="15" x14ac:dyDescent="0.25">
      <c r="A78" s="10">
        <v>17</v>
      </c>
      <c r="B78" s="1816"/>
      <c r="D78" s="2" t="str">
        <f t="shared" si="0"/>
        <v>OK</v>
      </c>
      <c r="G78" s="1880">
        <v>102610300</v>
      </c>
    </row>
    <row r="79" spans="1:7" ht="15" x14ac:dyDescent="0.25">
      <c r="A79" s="10">
        <v>18</v>
      </c>
      <c r="B79" s="1816"/>
      <c r="D79" s="2" t="str">
        <f t="shared" si="0"/>
        <v>OK</v>
      </c>
      <c r="G79" s="1880">
        <v>102610400</v>
      </c>
    </row>
    <row r="80" spans="1:7" ht="15" x14ac:dyDescent="0.25">
      <c r="A80" s="10">
        <v>19</v>
      </c>
      <c r="B80" s="1816"/>
      <c r="D80" s="2" t="str">
        <f t="shared" si="0"/>
        <v>OK</v>
      </c>
      <c r="G80" s="1880">
        <v>102610600</v>
      </c>
    </row>
    <row r="81" spans="1:7" ht="15" x14ac:dyDescent="0.25">
      <c r="A81" s="10">
        <v>20</v>
      </c>
      <c r="B81" s="1816"/>
      <c r="D81" s="2" t="str">
        <f t="shared" si="0"/>
        <v>OK</v>
      </c>
      <c r="G81" s="1880">
        <v>102610800</v>
      </c>
    </row>
    <row r="82" spans="1:7" ht="15" x14ac:dyDescent="0.25">
      <c r="A82" s="10">
        <v>21</v>
      </c>
      <c r="B82" s="1816"/>
      <c r="D82" s="2" t="str">
        <f t="shared" si="0"/>
        <v>OK</v>
      </c>
      <c r="G82" s="1880">
        <v>102620300</v>
      </c>
    </row>
    <row r="83" spans="1:7" ht="15" x14ac:dyDescent="0.25">
      <c r="A83" s="10">
        <v>22</v>
      </c>
      <c r="B83" s="1816"/>
      <c r="D83" s="2" t="str">
        <f t="shared" si="0"/>
        <v>OK</v>
      </c>
      <c r="G83" s="1880">
        <v>102620400</v>
      </c>
    </row>
    <row r="84" spans="1:7" ht="15" x14ac:dyDescent="0.25">
      <c r="A84" s="10">
        <v>23</v>
      </c>
      <c r="B84" s="1816"/>
      <c r="D84" s="2" t="str">
        <f t="shared" si="0"/>
        <v>OK</v>
      </c>
      <c r="G84" s="1880">
        <v>102620600</v>
      </c>
    </row>
    <row r="85" spans="1:7" ht="15" x14ac:dyDescent="0.25">
      <c r="A85" s="10">
        <v>24</v>
      </c>
      <c r="B85" s="1816"/>
      <c r="D85" s="2" t="str">
        <f t="shared" si="0"/>
        <v>OK</v>
      </c>
      <c r="G85" s="1880">
        <v>102620800</v>
      </c>
    </row>
    <row r="86" spans="1:7" ht="15" x14ac:dyDescent="0.25">
      <c r="A86" s="12">
        <v>25</v>
      </c>
      <c r="B86" s="1816">
        <f>'Assets-Liab 5-6'!C31</f>
        <v>0</v>
      </c>
      <c r="D86" s="2" t="str">
        <f t="shared" si="0"/>
        <v>Error?</v>
      </c>
      <c r="G86" s="1880">
        <v>102630300</v>
      </c>
    </row>
    <row r="87" spans="1:7" ht="15" x14ac:dyDescent="0.25">
      <c r="A87" s="10">
        <v>26</v>
      </c>
      <c r="B87" s="1816"/>
      <c r="D87" s="2" t="str">
        <f t="shared" si="0"/>
        <v>OK</v>
      </c>
      <c r="G87" s="1880">
        <v>102630400</v>
      </c>
    </row>
    <row r="88" spans="1:7" ht="15" x14ac:dyDescent="0.25">
      <c r="A88" s="5">
        <v>27</v>
      </c>
      <c r="B88" s="1816">
        <f>'Assets-Liab 5-6'!C32</f>
        <v>0</v>
      </c>
      <c r="D88" s="2" t="str">
        <f t="shared" si="0"/>
        <v>Error?</v>
      </c>
      <c r="G88" s="1880">
        <v>102630600</v>
      </c>
    </row>
    <row r="89" spans="1:7" ht="15" x14ac:dyDescent="0.25">
      <c r="A89" s="10">
        <v>28</v>
      </c>
      <c r="B89" s="1816"/>
      <c r="D89" s="2" t="str">
        <f t="shared" si="0"/>
        <v>OK</v>
      </c>
      <c r="G89" s="1880">
        <v>102630800</v>
      </c>
    </row>
    <row r="90" spans="1:7" ht="15" x14ac:dyDescent="0.25">
      <c r="A90" s="10">
        <v>29</v>
      </c>
      <c r="B90" s="1816"/>
      <c r="D90" s="2" t="str">
        <f t="shared" si="0"/>
        <v>OK</v>
      </c>
      <c r="G90" s="1880">
        <v>102640300</v>
      </c>
    </row>
    <row r="91" spans="1:7" ht="15" x14ac:dyDescent="0.25">
      <c r="A91" s="5">
        <v>30</v>
      </c>
      <c r="B91" s="1816">
        <f>'Assets-Liab 5-6'!C34</f>
        <v>25911</v>
      </c>
      <c r="C91" s="2" t="s">
        <v>568</v>
      </c>
      <c r="D91" s="2" t="str">
        <f t="shared" si="0"/>
        <v>Error?</v>
      </c>
      <c r="G91" s="1880">
        <v>102640400</v>
      </c>
    </row>
    <row r="92" spans="1:7" ht="15" x14ac:dyDescent="0.25">
      <c r="A92" s="5">
        <v>31</v>
      </c>
      <c r="B92" s="1816">
        <f>'Assets-Liab 5-6'!C39</f>
        <v>19418097</v>
      </c>
      <c r="D92" s="2" t="str">
        <f t="shared" si="0"/>
        <v>Error?</v>
      </c>
      <c r="G92" s="1880">
        <v>102640600</v>
      </c>
    </row>
    <row r="93" spans="1:7" ht="15" x14ac:dyDescent="0.25">
      <c r="A93" s="5">
        <v>32</v>
      </c>
      <c r="B93" s="1816">
        <f>'Assets-Liab 5-6'!C41</f>
        <v>19444008</v>
      </c>
      <c r="C93" s="2" t="s">
        <v>568</v>
      </c>
      <c r="D93" s="2" t="str">
        <f t="shared" si="0"/>
        <v>Error?</v>
      </c>
      <c r="G93" s="1880">
        <v>102640800</v>
      </c>
    </row>
    <row r="94" spans="1:7" ht="15" x14ac:dyDescent="0.25">
      <c r="A94" s="10">
        <v>33</v>
      </c>
      <c r="B94" s="1816"/>
      <c r="D94" s="2" t="str">
        <f t="shared" si="0"/>
        <v>OK</v>
      </c>
      <c r="G94" s="1880">
        <v>102660300</v>
      </c>
    </row>
    <row r="95" spans="1:7" ht="15" x14ac:dyDescent="0.25">
      <c r="A95" s="10">
        <v>34</v>
      </c>
      <c r="B95" s="1816"/>
      <c r="D95" s="2" t="str">
        <f t="shared" si="0"/>
        <v>OK</v>
      </c>
      <c r="G95" s="1880">
        <v>102660400</v>
      </c>
    </row>
    <row r="96" spans="1:7" ht="15" x14ac:dyDescent="0.25">
      <c r="A96" s="10">
        <v>35</v>
      </c>
      <c r="B96" s="1816"/>
      <c r="D96" s="2" t="str">
        <f t="shared" si="0"/>
        <v>OK</v>
      </c>
      <c r="G96" s="1880">
        <v>102660600</v>
      </c>
    </row>
    <row r="97" spans="1:7" ht="15" x14ac:dyDescent="0.25">
      <c r="A97" s="5">
        <v>36</v>
      </c>
      <c r="B97" s="1816">
        <f>'Assets-Liab 5-6'!D6</f>
        <v>0</v>
      </c>
      <c r="D97" s="2" t="str">
        <f t="shared" si="0"/>
        <v>Error?</v>
      </c>
      <c r="G97" s="1880">
        <v>102660800</v>
      </c>
    </row>
    <row r="98" spans="1:7" ht="15" x14ac:dyDescent="0.25">
      <c r="A98" s="10">
        <v>37</v>
      </c>
      <c r="B98" s="1816"/>
      <c r="D98" s="2" t="str">
        <f t="shared" si="0"/>
        <v>OK</v>
      </c>
      <c r="G98" s="1880">
        <v>102900300</v>
      </c>
    </row>
    <row r="99" spans="1:7" ht="15" x14ac:dyDescent="0.25">
      <c r="A99" s="10">
        <v>38</v>
      </c>
      <c r="B99" s="1816"/>
      <c r="D99" s="2" t="str">
        <f t="shared" si="0"/>
        <v>OK</v>
      </c>
      <c r="G99" s="1880">
        <v>102900400</v>
      </c>
    </row>
    <row r="100" spans="1:7" ht="15" x14ac:dyDescent="0.25">
      <c r="A100" s="10">
        <v>39</v>
      </c>
      <c r="B100" s="1816"/>
      <c r="D100" s="2" t="str">
        <f t="shared" si="0"/>
        <v>OK</v>
      </c>
      <c r="G100" s="1880">
        <v>102900600</v>
      </c>
    </row>
    <row r="101" spans="1:7" ht="15" x14ac:dyDescent="0.25">
      <c r="A101" s="10">
        <v>40</v>
      </c>
      <c r="B101" s="1816"/>
      <c r="D101" s="2" t="str">
        <f t="shared" si="0"/>
        <v>OK</v>
      </c>
      <c r="G101" s="1880">
        <v>102900800</v>
      </c>
    </row>
    <row r="102" spans="1:7" ht="15" x14ac:dyDescent="0.25">
      <c r="A102" s="10">
        <v>41</v>
      </c>
      <c r="B102" s="1816"/>
      <c r="D102" s="2" t="str">
        <f t="shared" si="0"/>
        <v>OK</v>
      </c>
      <c r="G102" s="1880">
        <v>202900300</v>
      </c>
    </row>
    <row r="103" spans="1:7" ht="15" x14ac:dyDescent="0.25">
      <c r="A103" s="10">
        <v>42</v>
      </c>
      <c r="B103" s="1816"/>
      <c r="D103" s="2" t="str">
        <f t="shared" si="0"/>
        <v>OK</v>
      </c>
      <c r="G103" s="1880">
        <v>202900400</v>
      </c>
    </row>
    <row r="104" spans="1:7" ht="15" x14ac:dyDescent="0.25">
      <c r="A104" s="5">
        <v>43</v>
      </c>
      <c r="B104" s="1816">
        <f>'Assets-Liab 5-6'!D10</f>
        <v>0</v>
      </c>
      <c r="D104" s="2" t="str">
        <f t="shared" si="0"/>
        <v>Error?</v>
      </c>
      <c r="G104" s="1880">
        <v>202900600</v>
      </c>
    </row>
    <row r="105" spans="1:7" ht="15" x14ac:dyDescent="0.25">
      <c r="A105" s="5">
        <v>44</v>
      </c>
      <c r="B105" s="1816">
        <f>'Assets-Liab 5-6'!D5</f>
        <v>88310</v>
      </c>
      <c r="D105" s="2" t="str">
        <f t="shared" si="0"/>
        <v>Error?</v>
      </c>
      <c r="G105" s="1880">
        <v>202900800</v>
      </c>
    </row>
    <row r="106" spans="1:7" ht="15" x14ac:dyDescent="0.25">
      <c r="A106" s="10">
        <v>45</v>
      </c>
      <c r="B106" s="1816"/>
      <c r="D106" s="2" t="str">
        <f t="shared" si="0"/>
        <v>OK</v>
      </c>
      <c r="G106" s="1880">
        <v>402900300</v>
      </c>
    </row>
    <row r="107" spans="1:7" ht="15" x14ac:dyDescent="0.25">
      <c r="A107" s="10">
        <v>46</v>
      </c>
      <c r="B107" s="1816"/>
      <c r="D107" s="2" t="str">
        <f t="shared" si="0"/>
        <v>OK</v>
      </c>
      <c r="G107" s="1880">
        <v>402900400</v>
      </c>
    </row>
    <row r="108" spans="1:7" ht="15" x14ac:dyDescent="0.25">
      <c r="A108" s="5">
        <v>47</v>
      </c>
      <c r="B108" s="1816">
        <f>'Assets-Liab 5-6'!D12</f>
        <v>49</v>
      </c>
      <c r="D108" s="2" t="str">
        <f t="shared" si="0"/>
        <v>Error?</v>
      </c>
      <c r="G108" s="1880">
        <v>402900600</v>
      </c>
    </row>
    <row r="109" spans="1:7" ht="15" x14ac:dyDescent="0.25">
      <c r="A109" s="5">
        <v>48</v>
      </c>
      <c r="B109" s="1816">
        <f>'Assets-Liab 5-6'!D13</f>
        <v>636342</v>
      </c>
      <c r="C109" s="2" t="s">
        <v>568</v>
      </c>
      <c r="D109" s="2" t="str">
        <f t="shared" si="0"/>
        <v>Error?</v>
      </c>
      <c r="G109" s="1880">
        <v>402900800</v>
      </c>
    </row>
    <row r="110" spans="1:7" ht="15" x14ac:dyDescent="0.25">
      <c r="A110" s="10">
        <v>49</v>
      </c>
      <c r="B110" s="1816"/>
      <c r="D110" s="2" t="str">
        <f t="shared" si="0"/>
        <v>OK</v>
      </c>
      <c r="G110" s="1880">
        <v>602900300</v>
      </c>
    </row>
    <row r="111" spans="1:7" ht="15" x14ac:dyDescent="0.25">
      <c r="A111" s="10">
        <v>50</v>
      </c>
      <c r="B111" s="1816"/>
      <c r="D111" s="2" t="str">
        <f t="shared" si="0"/>
        <v>OK</v>
      </c>
      <c r="G111" s="1880">
        <v>602900400</v>
      </c>
    </row>
    <row r="112" spans="1:7" ht="15" x14ac:dyDescent="0.25">
      <c r="A112" s="10">
        <v>51</v>
      </c>
      <c r="B112" s="1816"/>
      <c r="D112" s="2" t="str">
        <f t="shared" si="0"/>
        <v>OK</v>
      </c>
      <c r="G112" s="1880">
        <v>602900600</v>
      </c>
    </row>
    <row r="113" spans="1:7" ht="15" x14ac:dyDescent="0.25">
      <c r="A113" s="10">
        <v>52</v>
      </c>
      <c r="B113" s="1816"/>
      <c r="D113" s="2" t="str">
        <f t="shared" si="0"/>
        <v>OK</v>
      </c>
      <c r="G113" s="1880">
        <v>602900800</v>
      </c>
    </row>
    <row r="114" spans="1:7" ht="15" x14ac:dyDescent="0.25">
      <c r="A114" s="10">
        <v>53</v>
      </c>
      <c r="B114" s="1816"/>
      <c r="D114" s="2" t="str">
        <f t="shared" si="0"/>
        <v>OK</v>
      </c>
      <c r="G114" s="1880">
        <v>902900300</v>
      </c>
    </row>
    <row r="115" spans="1:7" ht="15" x14ac:dyDescent="0.25">
      <c r="A115" s="10">
        <v>54</v>
      </c>
      <c r="B115" s="1816"/>
      <c r="D115" s="2" t="str">
        <f t="shared" si="0"/>
        <v>OK</v>
      </c>
      <c r="G115" s="1880">
        <v>902900400</v>
      </c>
    </row>
    <row r="116" spans="1:7" ht="15" x14ac:dyDescent="0.25">
      <c r="A116" s="10">
        <v>55</v>
      </c>
      <c r="B116" s="1816"/>
      <c r="D116" s="2" t="str">
        <f t="shared" si="0"/>
        <v>OK</v>
      </c>
      <c r="G116" s="1880">
        <v>902900600</v>
      </c>
    </row>
    <row r="117" spans="1:7" ht="15" x14ac:dyDescent="0.25">
      <c r="A117" s="5">
        <v>56</v>
      </c>
      <c r="B117" s="1816">
        <f>'Assets-Liab 5-6'!D31</f>
        <v>0</v>
      </c>
      <c r="D117" s="2" t="str">
        <f t="shared" si="0"/>
        <v>Error?</v>
      </c>
      <c r="G117" s="1880">
        <v>902900800</v>
      </c>
    </row>
    <row r="118" spans="1:7" ht="15" x14ac:dyDescent="0.25">
      <c r="A118" s="10">
        <v>57</v>
      </c>
      <c r="B118" s="1816"/>
      <c r="D118" s="2" t="str">
        <f t="shared" si="0"/>
        <v>OK</v>
      </c>
      <c r="G118" s="1880">
        <v>103000300</v>
      </c>
    </row>
    <row r="119" spans="1:7" ht="15" x14ac:dyDescent="0.25">
      <c r="A119" s="5">
        <v>58</v>
      </c>
      <c r="B119" s="1816">
        <f>'Assets-Liab 5-6'!D32</f>
        <v>0</v>
      </c>
      <c r="D119" s="2" t="str">
        <f t="shared" si="0"/>
        <v>Error?</v>
      </c>
      <c r="G119" s="1880">
        <v>103000400</v>
      </c>
    </row>
    <row r="120" spans="1:7" ht="15" x14ac:dyDescent="0.25">
      <c r="A120" s="10">
        <v>59</v>
      </c>
      <c r="B120" s="1816"/>
      <c r="D120" s="2" t="str">
        <f t="shared" si="0"/>
        <v>OK</v>
      </c>
      <c r="G120" s="1880">
        <v>103000600</v>
      </c>
    </row>
    <row r="121" spans="1:7" ht="15" x14ac:dyDescent="0.25">
      <c r="A121" s="10">
        <v>60</v>
      </c>
      <c r="B121" s="1816"/>
      <c r="D121" s="2" t="str">
        <f t="shared" si="0"/>
        <v>OK</v>
      </c>
      <c r="G121" s="1880">
        <v>103000800</v>
      </c>
    </row>
    <row r="122" spans="1:7" ht="15" x14ac:dyDescent="0.25">
      <c r="A122" s="5">
        <v>61</v>
      </c>
      <c r="B122" s="1816">
        <f>'Assets-Liab 5-6'!D34</f>
        <v>0</v>
      </c>
      <c r="C122" s="2" t="s">
        <v>568</v>
      </c>
      <c r="D122" s="2" t="str">
        <f t="shared" si="0"/>
        <v>Error?</v>
      </c>
      <c r="G122" s="1880">
        <v>203000300</v>
      </c>
    </row>
    <row r="123" spans="1:7" ht="15" x14ac:dyDescent="0.25">
      <c r="A123" s="5">
        <v>62</v>
      </c>
      <c r="B123" s="1816">
        <f>'Assets-Liab 5-6'!D39</f>
        <v>636342</v>
      </c>
      <c r="D123" s="2" t="str">
        <f t="shared" si="0"/>
        <v>Error?</v>
      </c>
      <c r="G123" s="1880">
        <v>203000400</v>
      </c>
    </row>
    <row r="124" spans="1:7" ht="15" x14ac:dyDescent="0.25">
      <c r="A124" s="5">
        <v>63</v>
      </c>
      <c r="B124" s="1816">
        <f>'Assets-Liab 5-6'!D41</f>
        <v>636342</v>
      </c>
      <c r="C124" s="2" t="s">
        <v>568</v>
      </c>
      <c r="D124" s="2" t="str">
        <f t="shared" si="0"/>
        <v>Error?</v>
      </c>
      <c r="G124" s="1880">
        <v>203000600</v>
      </c>
    </row>
    <row r="125" spans="1:7" ht="15" x14ac:dyDescent="0.25">
      <c r="A125" s="10">
        <v>64</v>
      </c>
      <c r="B125" s="1816"/>
      <c r="D125" s="2" t="str">
        <f t="shared" si="0"/>
        <v>OK</v>
      </c>
      <c r="G125" s="1880">
        <v>203000800</v>
      </c>
    </row>
    <row r="126" spans="1:7" ht="15" x14ac:dyDescent="0.25">
      <c r="A126" s="5">
        <v>65</v>
      </c>
      <c r="B126" s="1816">
        <f>'Assets-Liab 5-6'!E6</f>
        <v>0</v>
      </c>
      <c r="D126" s="2" t="str">
        <f t="shared" si="0"/>
        <v>Error?</v>
      </c>
      <c r="G126" s="1880">
        <v>403000300</v>
      </c>
    </row>
    <row r="127" spans="1:7" ht="15" x14ac:dyDescent="0.25">
      <c r="A127" s="10">
        <v>66</v>
      </c>
      <c r="B127" s="1816"/>
      <c r="D127" s="2" t="str">
        <f t="shared" ref="D127:D190" si="1">IF(ISBLANK(B127),"OK",IF(A127-B127=0,"OK","Error?"))</f>
        <v>OK</v>
      </c>
      <c r="G127" s="1880">
        <v>403000400</v>
      </c>
    </row>
    <row r="128" spans="1:7" ht="15" x14ac:dyDescent="0.25">
      <c r="A128" s="10">
        <v>67</v>
      </c>
      <c r="B128" s="1816"/>
      <c r="D128" s="2" t="str">
        <f t="shared" si="1"/>
        <v>OK</v>
      </c>
      <c r="G128" s="1880">
        <v>403000600</v>
      </c>
    </row>
    <row r="129" spans="1:7" ht="15" x14ac:dyDescent="0.25">
      <c r="A129" s="5">
        <v>68</v>
      </c>
      <c r="B129" s="1816">
        <f>'Assets-Liab 5-6'!E5</f>
        <v>454</v>
      </c>
      <c r="D129" s="2" t="str">
        <f t="shared" si="1"/>
        <v>Error?</v>
      </c>
      <c r="G129" s="1880">
        <v>403000800</v>
      </c>
    </row>
    <row r="130" spans="1:7" x14ac:dyDescent="0.2">
      <c r="A130" s="5">
        <v>69</v>
      </c>
      <c r="B130" s="1816">
        <f>'Assets-Liab 5-6'!E12</f>
        <v>0</v>
      </c>
      <c r="D130" s="2" t="str">
        <f t="shared" si="1"/>
        <v>Error?</v>
      </c>
    </row>
    <row r="131" spans="1:7" x14ac:dyDescent="0.2">
      <c r="A131" s="5">
        <v>70</v>
      </c>
      <c r="B131" s="1816">
        <f>'Assets-Liab 5-6'!E13</f>
        <v>3273</v>
      </c>
      <c r="C131" s="2" t="s">
        <v>568</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568</v>
      </c>
      <c r="D139" s="2" t="str">
        <f t="shared" si="1"/>
        <v>Error?</v>
      </c>
    </row>
    <row r="140" spans="1:7" x14ac:dyDescent="0.2">
      <c r="A140" s="5">
        <v>79</v>
      </c>
      <c r="B140" s="1816">
        <f>'Assets-Liab 5-6'!E39</f>
        <v>3273</v>
      </c>
      <c r="D140" s="2" t="str">
        <f t="shared" si="1"/>
        <v>Error?</v>
      </c>
    </row>
    <row r="141" spans="1:7" x14ac:dyDescent="0.2">
      <c r="A141" s="5">
        <v>80</v>
      </c>
      <c r="B141" s="1816">
        <f>'Assets-Liab 5-6'!E41</f>
        <v>3273</v>
      </c>
      <c r="C141" s="2" t="s">
        <v>568</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254335</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900</v>
      </c>
      <c r="D156" s="2" t="str">
        <f t="shared" si="1"/>
        <v>Error?</v>
      </c>
    </row>
    <row r="157" spans="1:4" x14ac:dyDescent="0.2">
      <c r="A157" s="5">
        <v>96</v>
      </c>
      <c r="B157" s="1816">
        <f>'Assets-Liab 5-6'!F13</f>
        <v>1833430</v>
      </c>
      <c r="C157" s="2" t="s">
        <v>568</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568</v>
      </c>
      <c r="D169" s="2" t="str">
        <f t="shared" si="1"/>
        <v>Error?</v>
      </c>
    </row>
    <row r="170" spans="1:4" x14ac:dyDescent="0.2">
      <c r="A170" s="5">
        <v>109</v>
      </c>
      <c r="B170" s="1816">
        <f>'Assets-Liab 5-6'!F39</f>
        <v>1833430</v>
      </c>
      <c r="D170" s="2" t="str">
        <f t="shared" si="1"/>
        <v>Error?</v>
      </c>
    </row>
    <row r="171" spans="1:4" x14ac:dyDescent="0.2">
      <c r="A171" s="5">
        <v>110</v>
      </c>
      <c r="B171" s="1816">
        <f>'Assets-Liab 5-6'!F41</f>
        <v>1833430</v>
      </c>
      <c r="C171" s="2" t="s">
        <v>568</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121927</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878507</v>
      </c>
      <c r="C180" s="2" t="s">
        <v>568</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568</v>
      </c>
      <c r="D188" s="2" t="str">
        <f t="shared" si="1"/>
        <v>Error?</v>
      </c>
    </row>
    <row r="189" spans="1:4" x14ac:dyDescent="0.2">
      <c r="A189" s="5">
        <v>128</v>
      </c>
      <c r="B189" s="1816">
        <f>'Assets-Liab 5-6'!G39</f>
        <v>818035</v>
      </c>
      <c r="D189" s="2" t="str">
        <f t="shared" si="1"/>
        <v>Error?</v>
      </c>
    </row>
    <row r="190" spans="1:4" x14ac:dyDescent="0.2">
      <c r="A190" s="5">
        <v>129</v>
      </c>
      <c r="B190" s="1816">
        <f>'Assets-Liab 5-6'!G41</f>
        <v>878507</v>
      </c>
      <c r="C190" s="2" t="s">
        <v>568</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312</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2249</v>
      </c>
      <c r="C203" s="2" t="s">
        <v>568</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568</v>
      </c>
      <c r="D211" s="2" t="str">
        <f t="shared" si="2"/>
        <v>Error?</v>
      </c>
    </row>
    <row r="212" spans="1:4" x14ac:dyDescent="0.2">
      <c r="A212" s="5">
        <v>151</v>
      </c>
      <c r="B212" s="1816">
        <f>'Assets-Liab 5-6'!H39</f>
        <v>2249</v>
      </c>
      <c r="D212" s="2" t="str">
        <f t="shared" si="2"/>
        <v>Error?</v>
      </c>
    </row>
    <row r="213" spans="1:4" x14ac:dyDescent="0.2">
      <c r="A213" s="12">
        <v>152</v>
      </c>
      <c r="B213" s="1816">
        <f>'Assets-Liab 5-6'!H41</f>
        <v>2249</v>
      </c>
      <c r="C213" s="2" t="s">
        <v>568</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568</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568</v>
      </c>
      <c r="D247" s="2" t="str">
        <f t="shared" si="2"/>
        <v>OK</v>
      </c>
    </row>
    <row r="248" spans="1:4" x14ac:dyDescent="0.2">
      <c r="A248" s="10">
        <v>187</v>
      </c>
      <c r="B248" s="1816"/>
      <c r="D248" s="2" t="str">
        <f t="shared" si="2"/>
        <v>OK</v>
      </c>
    </row>
    <row r="249" spans="1:4" x14ac:dyDescent="0.2">
      <c r="A249" s="10">
        <v>188</v>
      </c>
      <c r="B249" s="1816"/>
      <c r="C249" s="2" t="s">
        <v>568</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1853080</v>
      </c>
      <c r="D273" s="2" t="str">
        <f t="shared" si="3"/>
        <v>Error?</v>
      </c>
    </row>
    <row r="274" spans="1:4" x14ac:dyDescent="0.2">
      <c r="A274" s="5">
        <v>213</v>
      </c>
      <c r="B274" s="1816">
        <f>'Assets-Liab 5-6'!M17</f>
        <v>42545334</v>
      </c>
      <c r="D274" s="2" t="str">
        <f t="shared" si="3"/>
        <v>Error?</v>
      </c>
    </row>
    <row r="275" spans="1:4" x14ac:dyDescent="0.2">
      <c r="A275" s="5">
        <v>214</v>
      </c>
      <c r="B275" s="1816">
        <f>'Assets-Liab 5-6'!M18</f>
        <v>3453459</v>
      </c>
      <c r="D275" s="2" t="str">
        <f t="shared" si="3"/>
        <v>Error?</v>
      </c>
    </row>
    <row r="276" spans="1:4" x14ac:dyDescent="0.2">
      <c r="A276" s="5">
        <v>215</v>
      </c>
      <c r="B276" s="1816">
        <f>'Assets-Liab 5-6'!M19</f>
        <v>5207712</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57544575</v>
      </c>
      <c r="C279" s="2" t="s">
        <v>568</v>
      </c>
      <c r="D279" s="2" t="str">
        <f t="shared" si="3"/>
        <v>Error?</v>
      </c>
    </row>
    <row r="280" spans="1:4" x14ac:dyDescent="0.2">
      <c r="A280" s="5">
        <v>219</v>
      </c>
      <c r="B280" s="1816">
        <f>'Assets-Liab 5-6'!M40</f>
        <v>57544575</v>
      </c>
      <c r="D280" s="2" t="str">
        <f t="shared" si="3"/>
        <v>Error?</v>
      </c>
    </row>
    <row r="281" spans="1:4" x14ac:dyDescent="0.2">
      <c r="A281" s="5">
        <v>220</v>
      </c>
      <c r="B281" s="1816">
        <f>'Assets-Liab 5-6'!M41</f>
        <v>57544575</v>
      </c>
      <c r="C281" s="2" t="s">
        <v>568</v>
      </c>
      <c r="D281" s="2" t="str">
        <f t="shared" si="3"/>
        <v>Error?</v>
      </c>
    </row>
    <row r="282" spans="1:4" x14ac:dyDescent="0.2">
      <c r="A282" s="5">
        <v>221</v>
      </c>
      <c r="B282" s="1816">
        <f>'Assets-Liab 5-6'!N21</f>
        <v>3273</v>
      </c>
      <c r="D282" s="2" t="str">
        <f t="shared" si="3"/>
        <v>Error?</v>
      </c>
    </row>
    <row r="283" spans="1:4" x14ac:dyDescent="0.2">
      <c r="A283" s="5">
        <v>222</v>
      </c>
      <c r="B283" s="1816">
        <f>'Assets-Liab 5-6'!N22</f>
        <v>11356415</v>
      </c>
      <c r="D283" s="2" t="str">
        <f t="shared" si="3"/>
        <v>Error?</v>
      </c>
    </row>
    <row r="284" spans="1:4" x14ac:dyDescent="0.2">
      <c r="A284" s="5">
        <v>223</v>
      </c>
      <c r="B284" s="1816">
        <f>'Assets-Liab 5-6'!N23</f>
        <v>11359688</v>
      </c>
      <c r="C284" s="2" t="s">
        <v>568</v>
      </c>
      <c r="D284" s="2" t="str">
        <f t="shared" si="3"/>
        <v>Error?</v>
      </c>
    </row>
    <row r="285" spans="1:4" x14ac:dyDescent="0.2">
      <c r="A285" s="5">
        <v>224</v>
      </c>
      <c r="B285" s="1816">
        <f>'Assets-Liab 5-6'!N36</f>
        <v>11359688</v>
      </c>
      <c r="D285" s="2" t="str">
        <f t="shared" si="3"/>
        <v>Error?</v>
      </c>
    </row>
    <row r="286" spans="1:4" x14ac:dyDescent="0.2">
      <c r="A286" s="10">
        <v>225</v>
      </c>
      <c r="B286" s="1816"/>
      <c r="D286" s="2" t="str">
        <f t="shared" si="3"/>
        <v>OK</v>
      </c>
    </row>
    <row r="287" spans="1:4" x14ac:dyDescent="0.2">
      <c r="A287" s="5">
        <v>226</v>
      </c>
      <c r="B287" s="1816">
        <f>'Assets-Liab 5-6'!N37</f>
        <v>11359688</v>
      </c>
      <c r="C287" s="2" t="s">
        <v>568</v>
      </c>
      <c r="D287" s="2" t="str">
        <f t="shared" si="3"/>
        <v>Error?</v>
      </c>
    </row>
    <row r="288" spans="1:4" x14ac:dyDescent="0.2">
      <c r="A288" s="5">
        <v>227</v>
      </c>
      <c r="B288" s="1816">
        <f>'Assets-Liab 5-6'!N41</f>
        <v>11359688</v>
      </c>
      <c r="C288" s="2" t="s">
        <v>568</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21110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9044682</v>
      </c>
      <c r="D705" s="2" t="str">
        <f t="shared" si="10"/>
        <v>Error?</v>
      </c>
    </row>
    <row r="706" spans="1:4" x14ac:dyDescent="0.2">
      <c r="A706" s="5">
        <v>645</v>
      </c>
      <c r="B706" s="1816">
        <f>'Expenditures 15-22'!C16</f>
        <v>358189</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443044</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0</v>
      </c>
      <c r="D717" s="2" t="str">
        <f t="shared" si="10"/>
        <v>Error?</v>
      </c>
    </row>
    <row r="718" spans="1:4" x14ac:dyDescent="0.2">
      <c r="A718" s="5">
        <v>657</v>
      </c>
      <c r="B718" s="1816">
        <f>'Expenditures 15-22'!C14</f>
        <v>100613</v>
      </c>
      <c r="D718" s="2" t="str">
        <f t="shared" si="10"/>
        <v>Error?</v>
      </c>
    </row>
    <row r="719" spans="1:4" x14ac:dyDescent="0.2">
      <c r="A719" s="5">
        <v>658</v>
      </c>
      <c r="B719" s="1816">
        <f>'Expenditures 15-22'!C15</f>
        <v>26443</v>
      </c>
      <c r="D719" s="2" t="str">
        <f t="shared" si="10"/>
        <v>Error?</v>
      </c>
    </row>
    <row r="720" spans="1:4" x14ac:dyDescent="0.2">
      <c r="A720" s="5">
        <v>659</v>
      </c>
      <c r="B720" s="1816">
        <f>'Expenditures 15-22'!C33</f>
        <v>13189718</v>
      </c>
      <c r="C720" s="2" t="s">
        <v>568</v>
      </c>
      <c r="D720" s="2" t="str">
        <f t="shared" si="10"/>
        <v>Error?</v>
      </c>
    </row>
    <row r="721" spans="1:4" x14ac:dyDescent="0.2">
      <c r="A721" s="5">
        <v>660</v>
      </c>
      <c r="B721" s="1816">
        <f>'Expenditures 15-22'!C36</f>
        <v>282718</v>
      </c>
      <c r="D721" s="2" t="str">
        <f t="shared" si="10"/>
        <v>Error?</v>
      </c>
    </row>
    <row r="722" spans="1:4" x14ac:dyDescent="0.2">
      <c r="A722" s="5">
        <v>661</v>
      </c>
      <c r="B722" s="1816">
        <f>'Expenditures 15-22'!C37</f>
        <v>0</v>
      </c>
      <c r="D722" s="2" t="str">
        <f t="shared" si="10"/>
        <v>Error?</v>
      </c>
    </row>
    <row r="723" spans="1:4" x14ac:dyDescent="0.2">
      <c r="A723" s="5">
        <v>662</v>
      </c>
      <c r="B723" s="1816">
        <f>'Expenditures 15-22'!C38</f>
        <v>460969</v>
      </c>
      <c r="D723" s="2" t="str">
        <f t="shared" si="10"/>
        <v>Error?</v>
      </c>
    </row>
    <row r="724" spans="1:4" x14ac:dyDescent="0.2">
      <c r="A724" s="5">
        <v>663</v>
      </c>
      <c r="B724" s="1816">
        <f>'Expenditures 15-22'!C39</f>
        <v>377352</v>
      </c>
      <c r="D724" s="2" t="str">
        <f t="shared" si="10"/>
        <v>Error?</v>
      </c>
    </row>
    <row r="725" spans="1:4" x14ac:dyDescent="0.2">
      <c r="A725" s="5">
        <v>664</v>
      </c>
      <c r="B725" s="1816">
        <f>'Expenditures 15-22'!C40</f>
        <v>373515</v>
      </c>
      <c r="D725" s="2" t="str">
        <f t="shared" si="10"/>
        <v>Error?</v>
      </c>
    </row>
    <row r="726" spans="1:4" x14ac:dyDescent="0.2">
      <c r="A726" s="5">
        <v>665</v>
      </c>
      <c r="B726" s="1816">
        <f>'Expenditures 15-22'!C41</f>
        <v>41866</v>
      </c>
      <c r="D726" s="2" t="str">
        <f t="shared" si="10"/>
        <v>Error?</v>
      </c>
    </row>
    <row r="727" spans="1:4" x14ac:dyDescent="0.2">
      <c r="A727" s="5">
        <v>666</v>
      </c>
      <c r="B727" s="1816">
        <f>'Expenditures 15-22'!C42</f>
        <v>1536420</v>
      </c>
      <c r="C727" s="2" t="s">
        <v>568</v>
      </c>
      <c r="D727" s="2" t="str">
        <f t="shared" si="10"/>
        <v>Error?</v>
      </c>
    </row>
    <row r="728" spans="1:4" x14ac:dyDescent="0.2">
      <c r="A728" s="5">
        <v>667</v>
      </c>
      <c r="B728" s="1816">
        <f>'Expenditures 15-22'!C44</f>
        <v>616081</v>
      </c>
      <c r="D728" s="2" t="str">
        <f t="shared" si="10"/>
        <v>Error?</v>
      </c>
    </row>
    <row r="729" spans="1:4" x14ac:dyDescent="0.2">
      <c r="A729" s="5">
        <v>668</v>
      </c>
      <c r="B729" s="1816">
        <f>'Expenditures 15-22'!C45</f>
        <v>423045</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1039126</v>
      </c>
      <c r="C731" s="2" t="s">
        <v>568</v>
      </c>
      <c r="D731" s="2" t="str">
        <f t="shared" si="10"/>
        <v>Error?</v>
      </c>
    </row>
    <row r="732" spans="1:4" x14ac:dyDescent="0.2">
      <c r="A732" s="5">
        <v>671</v>
      </c>
      <c r="B732" s="1816">
        <f>'Expenditures 15-22'!C49</f>
        <v>0</v>
      </c>
      <c r="D732" s="2" t="str">
        <f t="shared" si="10"/>
        <v>Error?</v>
      </c>
    </row>
    <row r="733" spans="1:4" x14ac:dyDescent="0.2">
      <c r="A733" s="5">
        <v>672</v>
      </c>
      <c r="B733" s="1816">
        <f>'Expenditures 15-22'!C50</f>
        <v>302031</v>
      </c>
      <c r="D733" s="2" t="str">
        <f t="shared" si="10"/>
        <v>Error?</v>
      </c>
    </row>
    <row r="734" spans="1:4" x14ac:dyDescent="0.2">
      <c r="A734" s="5">
        <v>673</v>
      </c>
      <c r="B734" s="1816">
        <f>'Expenditures 15-22'!C53</f>
        <v>563137</v>
      </c>
      <c r="C734" s="2" t="s">
        <v>568</v>
      </c>
      <c r="D734" s="2" t="str">
        <f t="shared" si="10"/>
        <v>Error?</v>
      </c>
    </row>
    <row r="735" spans="1:4" x14ac:dyDescent="0.2">
      <c r="A735" s="5">
        <v>674</v>
      </c>
      <c r="B735" s="1816">
        <f>'Expenditures 15-22'!C55</f>
        <v>1135204</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1135204</v>
      </c>
      <c r="C737" s="2" t="s">
        <v>568</v>
      </c>
      <c r="D737" s="2" t="str">
        <f t="shared" si="10"/>
        <v>Error?</v>
      </c>
    </row>
    <row r="738" spans="1:4" x14ac:dyDescent="0.2">
      <c r="A738" s="5">
        <v>677</v>
      </c>
      <c r="B738" s="1816">
        <f>'Expenditures 15-22'!C59</f>
        <v>170860</v>
      </c>
      <c r="D738" s="2" t="str">
        <f t="shared" si="10"/>
        <v>Error?</v>
      </c>
    </row>
    <row r="739" spans="1:4" x14ac:dyDescent="0.2">
      <c r="A739" s="5">
        <v>678</v>
      </c>
      <c r="B739" s="1816">
        <f>'Expenditures 15-22'!C60</f>
        <v>299649</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24625</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495134</v>
      </c>
      <c r="C745" s="2" t="s">
        <v>568</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75198</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648828</v>
      </c>
      <c r="D751" s="2" t="str">
        <f t="shared" si="10"/>
        <v>Error?</v>
      </c>
    </row>
    <row r="752" spans="1:4" x14ac:dyDescent="0.2">
      <c r="A752" s="10">
        <v>691</v>
      </c>
      <c r="B752" s="1816"/>
      <c r="D752" s="2" t="str">
        <f t="shared" si="10"/>
        <v>OK</v>
      </c>
    </row>
    <row r="753" spans="1:4" x14ac:dyDescent="0.2">
      <c r="A753" s="5">
        <v>692</v>
      </c>
      <c r="B753" s="1816">
        <f>'Expenditures 15-22'!C72</f>
        <v>724026</v>
      </c>
      <c r="C753" s="2" t="s">
        <v>568</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5493047</v>
      </c>
      <c r="C755" s="2" t="s">
        <v>568</v>
      </c>
      <c r="D755" s="2" t="str">
        <f t="shared" si="10"/>
        <v>Error?</v>
      </c>
    </row>
    <row r="756" spans="1:4" x14ac:dyDescent="0.2">
      <c r="A756" s="5">
        <v>695</v>
      </c>
      <c r="B756" s="1816">
        <f>'Expenditures 15-22'!C75</f>
        <v>244847</v>
      </c>
      <c r="D756" s="2" t="str">
        <f t="shared" si="10"/>
        <v>Error?</v>
      </c>
    </row>
    <row r="757" spans="1:4" x14ac:dyDescent="0.2">
      <c r="A757" s="5">
        <v>696</v>
      </c>
      <c r="B757" s="1816">
        <f>'Expenditures 15-22'!C114</f>
        <v>18927612</v>
      </c>
      <c r="C757" s="2" t="s">
        <v>568</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1673615</v>
      </c>
      <c r="D763" s="2" t="str">
        <f t="shared" si="10"/>
        <v>Error?</v>
      </c>
    </row>
    <row r="764" spans="1:4" x14ac:dyDescent="0.2">
      <c r="A764" s="5">
        <v>703</v>
      </c>
      <c r="B764" s="1816">
        <f>'Expenditures 15-22'!D16</f>
        <v>44886</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78327</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0</v>
      </c>
      <c r="D775" s="2" t="str">
        <f t="shared" si="11"/>
        <v>Error?</v>
      </c>
    </row>
    <row r="776" spans="1:4" x14ac:dyDescent="0.2">
      <c r="A776" s="5">
        <v>715</v>
      </c>
      <c r="B776" s="1816">
        <f>'Expenditures 15-22'!D14</f>
        <v>0</v>
      </c>
      <c r="D776" s="2" t="str">
        <f t="shared" si="11"/>
        <v>Error?</v>
      </c>
    </row>
    <row r="777" spans="1:4" x14ac:dyDescent="0.2">
      <c r="A777" s="5">
        <v>716</v>
      </c>
      <c r="B777" s="1816">
        <f>'Expenditures 15-22'!D15</f>
        <v>24</v>
      </c>
      <c r="D777" s="2" t="str">
        <f t="shared" si="11"/>
        <v>Error?</v>
      </c>
    </row>
    <row r="778" spans="1:4" x14ac:dyDescent="0.2">
      <c r="A778" s="5">
        <v>717</v>
      </c>
      <c r="B778" s="1816">
        <f>'Expenditures 15-22'!D33</f>
        <v>2409032</v>
      </c>
      <c r="C778" s="2" t="s">
        <v>568</v>
      </c>
      <c r="D778" s="2" t="str">
        <f t="shared" si="11"/>
        <v>Error?</v>
      </c>
    </row>
    <row r="779" spans="1:4" x14ac:dyDescent="0.2">
      <c r="A779" s="5">
        <v>718</v>
      </c>
      <c r="B779" s="1816">
        <f>'Expenditures 15-22'!D36</f>
        <v>52677</v>
      </c>
      <c r="D779" s="2" t="str">
        <f t="shared" si="11"/>
        <v>Error?</v>
      </c>
    </row>
    <row r="780" spans="1:4" x14ac:dyDescent="0.2">
      <c r="A780" s="5">
        <v>719</v>
      </c>
      <c r="B780" s="1816">
        <f>'Expenditures 15-22'!D37</f>
        <v>0</v>
      </c>
      <c r="D780" s="2" t="str">
        <f t="shared" si="11"/>
        <v>Error?</v>
      </c>
    </row>
    <row r="781" spans="1:4" x14ac:dyDescent="0.2">
      <c r="A781" s="5">
        <v>720</v>
      </c>
      <c r="B781" s="1816">
        <f>'Expenditures 15-22'!D38</f>
        <v>65283</v>
      </c>
      <c r="D781" s="2" t="str">
        <f t="shared" si="11"/>
        <v>Error?</v>
      </c>
    </row>
    <row r="782" spans="1:4" x14ac:dyDescent="0.2">
      <c r="A782" s="5">
        <v>721</v>
      </c>
      <c r="B782" s="1816">
        <f>'Expenditures 15-22'!D39</f>
        <v>41509</v>
      </c>
      <c r="D782" s="2" t="str">
        <f t="shared" si="11"/>
        <v>Error?</v>
      </c>
    </row>
    <row r="783" spans="1:4" x14ac:dyDescent="0.2">
      <c r="A783" s="5">
        <v>722</v>
      </c>
      <c r="B783" s="1816">
        <f>'Expenditures 15-22'!D40</f>
        <v>28101</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187570</v>
      </c>
      <c r="C785" s="2" t="s">
        <v>568</v>
      </c>
      <c r="D785" s="2" t="str">
        <f t="shared" si="11"/>
        <v>Error?</v>
      </c>
    </row>
    <row r="786" spans="1:4" x14ac:dyDescent="0.2">
      <c r="A786" s="5">
        <v>725</v>
      </c>
      <c r="B786" s="1816">
        <f>'Expenditures 15-22'!D44</f>
        <v>57982</v>
      </c>
      <c r="D786" s="2" t="str">
        <f t="shared" si="11"/>
        <v>Error?</v>
      </c>
    </row>
    <row r="787" spans="1:4" x14ac:dyDescent="0.2">
      <c r="A787" s="5">
        <v>726</v>
      </c>
      <c r="B787" s="1816">
        <f>'Expenditures 15-22'!D45</f>
        <v>90806</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148788</v>
      </c>
      <c r="C789" s="2" t="s">
        <v>568</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80966</v>
      </c>
      <c r="D791" s="2" t="str">
        <f t="shared" si="11"/>
        <v>Error?</v>
      </c>
    </row>
    <row r="792" spans="1:4" x14ac:dyDescent="0.2">
      <c r="A792" s="5">
        <v>731</v>
      </c>
      <c r="B792" s="1816">
        <f>'Expenditures 15-22'!D53</f>
        <v>153490</v>
      </c>
      <c r="C792" s="2" t="s">
        <v>568</v>
      </c>
      <c r="D792" s="2" t="str">
        <f t="shared" si="11"/>
        <v>Error?</v>
      </c>
    </row>
    <row r="793" spans="1:4" x14ac:dyDescent="0.2">
      <c r="A793" s="5">
        <v>732</v>
      </c>
      <c r="B793" s="1816">
        <f>'Expenditures 15-22'!D55</f>
        <v>293957</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293957</v>
      </c>
      <c r="C795" s="2" t="s">
        <v>568</v>
      </c>
      <c r="D795" s="2" t="str">
        <f t="shared" si="11"/>
        <v>Error?</v>
      </c>
    </row>
    <row r="796" spans="1:4" x14ac:dyDescent="0.2">
      <c r="A796" s="5">
        <v>735</v>
      </c>
      <c r="B796" s="1816">
        <f>'Expenditures 15-22'!D59</f>
        <v>42187</v>
      </c>
      <c r="D796" s="2" t="str">
        <f t="shared" si="11"/>
        <v>Error?</v>
      </c>
    </row>
    <row r="797" spans="1:4" x14ac:dyDescent="0.2">
      <c r="A797" s="5">
        <v>736</v>
      </c>
      <c r="B797" s="1816">
        <f>'Expenditures 15-22'!D60</f>
        <v>37969</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4197</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84353</v>
      </c>
      <c r="C803" s="2" t="s">
        <v>568</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10215</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138841</v>
      </c>
      <c r="D809" s="2" t="str">
        <f t="shared" si="11"/>
        <v>Error?</v>
      </c>
    </row>
    <row r="810" spans="1:4" x14ac:dyDescent="0.2">
      <c r="A810" s="10">
        <v>749</v>
      </c>
      <c r="B810" s="1816"/>
      <c r="D810" s="2" t="str">
        <f t="shared" si="11"/>
        <v>OK</v>
      </c>
    </row>
    <row r="811" spans="1:4" x14ac:dyDescent="0.2">
      <c r="A811" s="5">
        <v>750</v>
      </c>
      <c r="B811" s="1816">
        <f>'Expenditures 15-22'!D72</f>
        <v>149056</v>
      </c>
      <c r="C811" s="2" t="s">
        <v>568</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1017214</v>
      </c>
      <c r="C813" s="2" t="s">
        <v>568</v>
      </c>
      <c r="D813" s="2" t="str">
        <f t="shared" si="11"/>
        <v>Error?</v>
      </c>
    </row>
    <row r="814" spans="1:4" x14ac:dyDescent="0.2">
      <c r="A814" s="5">
        <v>753</v>
      </c>
      <c r="B814" s="1816">
        <f>'Expenditures 15-22'!D75</f>
        <v>43981</v>
      </c>
      <c r="D814" s="2" t="str">
        <f t="shared" si="11"/>
        <v>Error?</v>
      </c>
    </row>
    <row r="815" spans="1:4" x14ac:dyDescent="0.2">
      <c r="A815" s="5">
        <v>754</v>
      </c>
      <c r="B815" s="1816">
        <f>'Expenditures 15-22'!D114</f>
        <v>3470227</v>
      </c>
      <c r="C815" s="2" t="s">
        <v>568</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107644</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13736</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17395</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217873</v>
      </c>
      <c r="C836" s="2" t="s">
        <v>568</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1190</v>
      </c>
      <c r="D839" s="2" t="str">
        <f t="shared" si="12"/>
        <v>Error?</v>
      </c>
    </row>
    <row r="840" spans="1:4" x14ac:dyDescent="0.2">
      <c r="A840" s="5">
        <v>779</v>
      </c>
      <c r="B840" s="1816">
        <f>'Expenditures 15-22'!E39</f>
        <v>25546</v>
      </c>
      <c r="D840" s="2" t="str">
        <f t="shared" si="12"/>
        <v>Error?</v>
      </c>
    </row>
    <row r="841" spans="1:4" x14ac:dyDescent="0.2">
      <c r="A841" s="5">
        <v>780</v>
      </c>
      <c r="B841" s="1816">
        <f>'Expenditures 15-22'!E40</f>
        <v>114636</v>
      </c>
      <c r="D841" s="2" t="str">
        <f t="shared" si="12"/>
        <v>Error?</v>
      </c>
    </row>
    <row r="842" spans="1:4" x14ac:dyDescent="0.2">
      <c r="A842" s="5">
        <v>781</v>
      </c>
      <c r="B842" s="1816">
        <f>'Expenditures 15-22'!E41</f>
        <v>28032</v>
      </c>
      <c r="D842" s="2" t="str">
        <f t="shared" si="12"/>
        <v>Error?</v>
      </c>
    </row>
    <row r="843" spans="1:4" x14ac:dyDescent="0.2">
      <c r="A843" s="5">
        <v>782</v>
      </c>
      <c r="B843" s="1816">
        <f>'Expenditures 15-22'!E42</f>
        <v>169404</v>
      </c>
      <c r="C843" s="2" t="s">
        <v>568</v>
      </c>
      <c r="D843" s="2" t="str">
        <f t="shared" si="12"/>
        <v>Error?</v>
      </c>
    </row>
    <row r="844" spans="1:4" x14ac:dyDescent="0.2">
      <c r="A844" s="5">
        <v>783</v>
      </c>
      <c r="B844" s="1816">
        <f>'Expenditures 15-22'!E44</f>
        <v>142398</v>
      </c>
      <c r="D844" s="2" t="str">
        <f t="shared" si="12"/>
        <v>Error?</v>
      </c>
    </row>
    <row r="845" spans="1:4" x14ac:dyDescent="0.2">
      <c r="A845" s="5">
        <v>784</v>
      </c>
      <c r="B845" s="1816">
        <f>'Expenditures 15-22'!E45</f>
        <v>14304</v>
      </c>
      <c r="D845" s="2" t="str">
        <f t="shared" si="12"/>
        <v>Error?</v>
      </c>
    </row>
    <row r="846" spans="1:4" x14ac:dyDescent="0.2">
      <c r="A846" s="5">
        <v>785</v>
      </c>
      <c r="B846" s="1816">
        <f>'Expenditures 15-22'!E46</f>
        <v>39311</v>
      </c>
      <c r="D846" s="2" t="str">
        <f t="shared" si="12"/>
        <v>Error?</v>
      </c>
    </row>
    <row r="847" spans="1:4" x14ac:dyDescent="0.2">
      <c r="A847" s="5">
        <v>786</v>
      </c>
      <c r="B847" s="1816">
        <f>'Expenditures 15-22'!E47</f>
        <v>196013</v>
      </c>
      <c r="C847" s="2" t="s">
        <v>568</v>
      </c>
      <c r="D847" s="2" t="str">
        <f t="shared" si="12"/>
        <v>Error?</v>
      </c>
    </row>
    <row r="848" spans="1:4" x14ac:dyDescent="0.2">
      <c r="A848" s="5">
        <v>787</v>
      </c>
      <c r="B848" s="1816">
        <f>'Expenditures 15-22'!E49</f>
        <v>132618</v>
      </c>
      <c r="D848" s="2" t="str">
        <f t="shared" si="12"/>
        <v>Error?</v>
      </c>
    </row>
    <row r="849" spans="1:4" x14ac:dyDescent="0.2">
      <c r="A849" s="5">
        <v>788</v>
      </c>
      <c r="B849" s="1816">
        <f>'Expenditures 15-22'!E50</f>
        <v>20472</v>
      </c>
      <c r="D849" s="2" t="str">
        <f t="shared" si="12"/>
        <v>Error?</v>
      </c>
    </row>
    <row r="850" spans="1:4" x14ac:dyDescent="0.2">
      <c r="A850" s="5">
        <v>789</v>
      </c>
      <c r="B850" s="1816">
        <f>'Expenditures 15-22'!E53</f>
        <v>414289</v>
      </c>
      <c r="C850" s="2" t="s">
        <v>568</v>
      </c>
      <c r="D850" s="2" t="str">
        <f t="shared" si="12"/>
        <v>Error?</v>
      </c>
    </row>
    <row r="851" spans="1:4" x14ac:dyDescent="0.2">
      <c r="A851" s="5">
        <v>790</v>
      </c>
      <c r="B851" s="1816">
        <f>'Expenditures 15-22'!E55</f>
        <v>3143</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3143</v>
      </c>
      <c r="C853" s="2" t="s">
        <v>568</v>
      </c>
      <c r="D853" s="2" t="str">
        <f t="shared" si="12"/>
        <v>Error?</v>
      </c>
    </row>
    <row r="854" spans="1:4" x14ac:dyDescent="0.2">
      <c r="A854" s="5">
        <v>793</v>
      </c>
      <c r="B854" s="1816">
        <f>'Expenditures 15-22'!E59</f>
        <v>1167</v>
      </c>
      <c r="D854" s="2" t="str">
        <f t="shared" si="12"/>
        <v>Error?</v>
      </c>
    </row>
    <row r="855" spans="1:4" x14ac:dyDescent="0.2">
      <c r="A855" s="5">
        <v>794</v>
      </c>
      <c r="B855" s="1816">
        <f>'Expenditures 15-22'!E60</f>
        <v>112894</v>
      </c>
      <c r="D855" s="2" t="str">
        <f t="shared" si="12"/>
        <v>Error?</v>
      </c>
    </row>
    <row r="856" spans="1:4" x14ac:dyDescent="0.2">
      <c r="A856" s="5">
        <v>795</v>
      </c>
      <c r="B856" s="1816">
        <f>'Expenditures 15-22'!E61</f>
        <v>432896</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0</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546957</v>
      </c>
      <c r="C861" s="2" t="s">
        <v>568</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9716</v>
      </c>
      <c r="D863" s="2" t="str">
        <f t="shared" si="12"/>
        <v>Error?</v>
      </c>
    </row>
    <row r="864" spans="1:4" x14ac:dyDescent="0.2">
      <c r="A864" s="5">
        <v>803</v>
      </c>
      <c r="B864" s="1816">
        <f>'Expenditures 15-22'!E69</f>
        <v>3333</v>
      </c>
      <c r="D864" s="2" t="str">
        <f t="shared" si="12"/>
        <v>Error?</v>
      </c>
    </row>
    <row r="865" spans="1:4" x14ac:dyDescent="0.2">
      <c r="A865" s="5">
        <v>804</v>
      </c>
      <c r="B865" s="1816">
        <f>'Expenditures 15-22'!E70</f>
        <v>15783</v>
      </c>
      <c r="D865" s="2" t="str">
        <f t="shared" si="12"/>
        <v>Error?</v>
      </c>
    </row>
    <row r="866" spans="1:4" x14ac:dyDescent="0.2">
      <c r="A866" s="10">
        <v>805</v>
      </c>
      <c r="B866" s="1816"/>
      <c r="D866" s="2" t="str">
        <f t="shared" si="12"/>
        <v>OK</v>
      </c>
    </row>
    <row r="867" spans="1:4" x14ac:dyDescent="0.2">
      <c r="A867" s="5">
        <v>806</v>
      </c>
      <c r="B867" s="1816">
        <f>'Expenditures 15-22'!E71</f>
        <v>153958</v>
      </c>
      <c r="D867" s="2" t="str">
        <f t="shared" si="12"/>
        <v>Error?</v>
      </c>
    </row>
    <row r="868" spans="1:4" x14ac:dyDescent="0.2">
      <c r="A868" s="10">
        <v>807</v>
      </c>
      <c r="B868" s="1816"/>
      <c r="D868" s="2" t="str">
        <f t="shared" si="12"/>
        <v>OK</v>
      </c>
    </row>
    <row r="869" spans="1:4" x14ac:dyDescent="0.2">
      <c r="A869" s="5">
        <v>808</v>
      </c>
      <c r="B869" s="1816">
        <f>'Expenditures 15-22'!E72</f>
        <v>182790</v>
      </c>
      <c r="C869" s="2" t="s">
        <v>568</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1512596</v>
      </c>
      <c r="C871" s="2" t="s">
        <v>568</v>
      </c>
      <c r="D871" s="2" t="str">
        <f t="shared" si="12"/>
        <v>Error?</v>
      </c>
    </row>
    <row r="872" spans="1:4" x14ac:dyDescent="0.2">
      <c r="A872" s="5">
        <v>811</v>
      </c>
      <c r="B872" s="1816">
        <f>'Expenditures 15-22'!E75</f>
        <v>15307</v>
      </c>
      <c r="D872" s="2" t="str">
        <f t="shared" si="12"/>
        <v>Error?</v>
      </c>
    </row>
    <row r="873" spans="1:4" x14ac:dyDescent="0.2">
      <c r="A873" s="5">
        <v>812</v>
      </c>
      <c r="B873" s="1816">
        <f>'Expenditures 15-22'!E114</f>
        <v>2104426</v>
      </c>
      <c r="C873" s="2" t="s">
        <v>568</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423028</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0</v>
      </c>
      <c r="D891" s="2" t="str">
        <f t="shared" si="12"/>
        <v>Error?</v>
      </c>
    </row>
    <row r="892" spans="1:4" x14ac:dyDescent="0.2">
      <c r="A892" s="5">
        <v>831</v>
      </c>
      <c r="B892" s="1816">
        <f>'Expenditures 15-22'!F14</f>
        <v>17254</v>
      </c>
      <c r="D892" s="2" t="str">
        <f t="shared" si="12"/>
        <v>Error?</v>
      </c>
    </row>
    <row r="893" spans="1:4" x14ac:dyDescent="0.2">
      <c r="A893" s="5">
        <v>832</v>
      </c>
      <c r="B893" s="1816">
        <f>'Expenditures 15-22'!F15</f>
        <v>3620</v>
      </c>
      <c r="D893" s="2" t="str">
        <f t="shared" si="12"/>
        <v>Error?</v>
      </c>
    </row>
    <row r="894" spans="1:4" x14ac:dyDescent="0.2">
      <c r="A894" s="5">
        <v>833</v>
      </c>
      <c r="B894" s="1816">
        <f>'Expenditures 15-22'!F33</f>
        <v>461348</v>
      </c>
      <c r="C894" s="2" t="s">
        <v>568</v>
      </c>
      <c r="D894" s="2" t="str">
        <f t="shared" si="12"/>
        <v>Error?</v>
      </c>
    </row>
    <row r="895" spans="1:4" x14ac:dyDescent="0.2">
      <c r="A895" s="5">
        <v>834</v>
      </c>
      <c r="B895" s="1816">
        <f>'Expenditures 15-22'!F36</f>
        <v>1317</v>
      </c>
      <c r="D895" s="2" t="str">
        <f t="shared" ref="D895:D958" si="13">IF(ISBLANK(B895),"OK",IF(A895-B895=0,"OK","Error?"))</f>
        <v>Error?</v>
      </c>
    </row>
    <row r="896" spans="1:4" x14ac:dyDescent="0.2">
      <c r="A896" s="5">
        <v>835</v>
      </c>
      <c r="B896" s="1816">
        <f>'Expenditures 15-22'!F37</f>
        <v>0</v>
      </c>
      <c r="D896" s="2" t="str">
        <f t="shared" si="13"/>
        <v>Error?</v>
      </c>
    </row>
    <row r="897" spans="1:4" x14ac:dyDescent="0.2">
      <c r="A897" s="5">
        <v>836</v>
      </c>
      <c r="B897" s="1816">
        <f>'Expenditures 15-22'!F38</f>
        <v>4653</v>
      </c>
      <c r="D897" s="2" t="str">
        <f t="shared" si="13"/>
        <v>Error?</v>
      </c>
    </row>
    <row r="898" spans="1:4" x14ac:dyDescent="0.2">
      <c r="A898" s="5">
        <v>837</v>
      </c>
      <c r="B898" s="1816">
        <f>'Expenditures 15-22'!F39</f>
        <v>2496</v>
      </c>
      <c r="D898" s="2" t="str">
        <f t="shared" si="13"/>
        <v>Error?</v>
      </c>
    </row>
    <row r="899" spans="1:4" x14ac:dyDescent="0.2">
      <c r="A899" s="5">
        <v>838</v>
      </c>
      <c r="B899" s="1816">
        <f>'Expenditures 15-22'!F40</f>
        <v>1248</v>
      </c>
      <c r="D899" s="2" t="str">
        <f t="shared" si="13"/>
        <v>Error?</v>
      </c>
    </row>
    <row r="900" spans="1:4" x14ac:dyDescent="0.2">
      <c r="A900" s="5">
        <v>839</v>
      </c>
      <c r="B900" s="1816">
        <f>'Expenditures 15-22'!F41</f>
        <v>4143</v>
      </c>
      <c r="D900" s="2" t="str">
        <f t="shared" si="13"/>
        <v>Error?</v>
      </c>
    </row>
    <row r="901" spans="1:4" x14ac:dyDescent="0.2">
      <c r="A901" s="5">
        <v>840</v>
      </c>
      <c r="B901" s="1816">
        <f>'Expenditures 15-22'!F42</f>
        <v>13857</v>
      </c>
      <c r="C901" s="2" t="s">
        <v>568</v>
      </c>
      <c r="D901" s="2" t="str">
        <f t="shared" si="13"/>
        <v>Error?</v>
      </c>
    </row>
    <row r="902" spans="1:4" x14ac:dyDescent="0.2">
      <c r="A902" s="5">
        <v>841</v>
      </c>
      <c r="B902" s="1816">
        <f>'Expenditures 15-22'!F44</f>
        <v>70641</v>
      </c>
      <c r="D902" s="2" t="str">
        <f t="shared" si="13"/>
        <v>Error?</v>
      </c>
    </row>
    <row r="903" spans="1:4" x14ac:dyDescent="0.2">
      <c r="A903" s="5">
        <v>842</v>
      </c>
      <c r="B903" s="1816">
        <f>'Expenditures 15-22'!F45</f>
        <v>44650</v>
      </c>
      <c r="D903" s="2" t="str">
        <f t="shared" si="13"/>
        <v>Error?</v>
      </c>
    </row>
    <row r="904" spans="1:4" x14ac:dyDescent="0.2">
      <c r="A904" s="5">
        <v>843</v>
      </c>
      <c r="B904" s="1816">
        <f>'Expenditures 15-22'!F46</f>
        <v>9425</v>
      </c>
      <c r="D904" s="2" t="str">
        <f t="shared" si="13"/>
        <v>Error?</v>
      </c>
    </row>
    <row r="905" spans="1:4" x14ac:dyDescent="0.2">
      <c r="A905" s="5">
        <v>844</v>
      </c>
      <c r="B905" s="1816">
        <f>'Expenditures 15-22'!F47</f>
        <v>124716</v>
      </c>
      <c r="C905" s="2" t="s">
        <v>568</v>
      </c>
      <c r="D905" s="2" t="str">
        <f t="shared" si="13"/>
        <v>Error?</v>
      </c>
    </row>
    <row r="906" spans="1:4" x14ac:dyDescent="0.2">
      <c r="A906" s="5">
        <v>845</v>
      </c>
      <c r="B906" s="1816">
        <f>'Expenditures 15-22'!F49</f>
        <v>21838</v>
      </c>
      <c r="D906" s="2" t="str">
        <f t="shared" si="13"/>
        <v>Error?</v>
      </c>
    </row>
    <row r="907" spans="1:4" x14ac:dyDescent="0.2">
      <c r="A907" s="5">
        <v>846</v>
      </c>
      <c r="B907" s="1816">
        <f>'Expenditures 15-22'!F50</f>
        <v>2670</v>
      </c>
      <c r="D907" s="2" t="str">
        <f t="shared" si="13"/>
        <v>Error?</v>
      </c>
    </row>
    <row r="908" spans="1:4" x14ac:dyDescent="0.2">
      <c r="A908" s="5">
        <v>847</v>
      </c>
      <c r="B908" s="1816">
        <f>'Expenditures 15-22'!F53</f>
        <v>25967</v>
      </c>
      <c r="C908" s="2" t="s">
        <v>568</v>
      </c>
      <c r="D908" s="2" t="str">
        <f t="shared" si="13"/>
        <v>Error?</v>
      </c>
    </row>
    <row r="909" spans="1:4" x14ac:dyDescent="0.2">
      <c r="A909" s="5">
        <v>848</v>
      </c>
      <c r="B909" s="1816">
        <f>'Expenditures 15-22'!F55</f>
        <v>18506</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18506</v>
      </c>
      <c r="C911" s="2" t="s">
        <v>568</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27578</v>
      </c>
      <c r="D913" s="2" t="str">
        <f t="shared" si="13"/>
        <v>Error?</v>
      </c>
    </row>
    <row r="914" spans="1:4" x14ac:dyDescent="0.2">
      <c r="A914" s="5">
        <v>853</v>
      </c>
      <c r="B914" s="1816">
        <f>'Expenditures 15-22'!F61</f>
        <v>274656</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200</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302434</v>
      </c>
      <c r="C919" s="2" t="s">
        <v>568</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429</v>
      </c>
      <c r="D922" s="2" t="str">
        <f t="shared" si="13"/>
        <v>Error?</v>
      </c>
    </row>
    <row r="923" spans="1:4" x14ac:dyDescent="0.2">
      <c r="A923" s="5">
        <v>862</v>
      </c>
      <c r="B923" s="1816">
        <f>'Expenditures 15-22'!F70</f>
        <v>940</v>
      </c>
      <c r="D923" s="2" t="str">
        <f t="shared" si="13"/>
        <v>Error?</v>
      </c>
    </row>
    <row r="924" spans="1:4" x14ac:dyDescent="0.2">
      <c r="A924" s="10">
        <v>863</v>
      </c>
      <c r="B924" s="1816"/>
      <c r="D924" s="2" t="str">
        <f t="shared" si="13"/>
        <v>OK</v>
      </c>
    </row>
    <row r="925" spans="1:4" x14ac:dyDescent="0.2">
      <c r="A925" s="5">
        <v>864</v>
      </c>
      <c r="B925" s="1816">
        <f>'Expenditures 15-22'!F71</f>
        <v>100552</v>
      </c>
      <c r="D925" s="2" t="str">
        <f t="shared" si="13"/>
        <v>Error?</v>
      </c>
    </row>
    <row r="926" spans="1:4" x14ac:dyDescent="0.2">
      <c r="A926" s="10">
        <v>865</v>
      </c>
      <c r="B926" s="1816"/>
      <c r="D926" s="2" t="str">
        <f t="shared" si="13"/>
        <v>OK</v>
      </c>
    </row>
    <row r="927" spans="1:4" x14ac:dyDescent="0.2">
      <c r="A927" s="5">
        <v>866</v>
      </c>
      <c r="B927" s="1816">
        <f>'Expenditures 15-22'!F72</f>
        <v>101921</v>
      </c>
      <c r="C927" s="2" t="s">
        <v>568</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587401</v>
      </c>
      <c r="C929" s="2" t="s">
        <v>568</v>
      </c>
      <c r="D929" s="2" t="str">
        <f t="shared" si="13"/>
        <v>Error?</v>
      </c>
    </row>
    <row r="930" spans="1:4" x14ac:dyDescent="0.2">
      <c r="A930" s="5">
        <v>869</v>
      </c>
      <c r="B930" s="1816">
        <f>'Expenditures 15-22'!F75</f>
        <v>23710</v>
      </c>
      <c r="D930" s="2" t="str">
        <f t="shared" si="13"/>
        <v>Error?</v>
      </c>
    </row>
    <row r="931" spans="1:4" x14ac:dyDescent="0.2">
      <c r="A931" s="5">
        <v>870</v>
      </c>
      <c r="B931" s="1816">
        <f>'Expenditures 15-22'!F114</f>
        <v>1072459</v>
      </c>
      <c r="C931" s="2" t="s">
        <v>568</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0</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5981</v>
      </c>
      <c r="C952" s="2" t="s">
        <v>568</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568</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568</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568</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568</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568</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58298</v>
      </c>
      <c r="D983" s="2" t="str">
        <f t="shared" si="14"/>
        <v>Error?</v>
      </c>
    </row>
    <row r="984" spans="1:4" x14ac:dyDescent="0.2">
      <c r="A984" s="10">
        <v>923</v>
      </c>
      <c r="B984" s="1816"/>
      <c r="D984" s="2" t="str">
        <f t="shared" si="14"/>
        <v>OK</v>
      </c>
    </row>
    <row r="985" spans="1:4" x14ac:dyDescent="0.2">
      <c r="A985" s="5">
        <v>924</v>
      </c>
      <c r="B985" s="1816">
        <f>'Expenditures 15-22'!G72</f>
        <v>58298</v>
      </c>
      <c r="C985" s="2" t="s">
        <v>568</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58298</v>
      </c>
      <c r="C987" s="2" t="s">
        <v>568</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64279</v>
      </c>
      <c r="C989" s="2" t="s">
        <v>568</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731</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5964</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486505</v>
      </c>
      <c r="C1010" s="2" t="s">
        <v>568</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220</v>
      </c>
      <c r="D1014" s="2" t="str">
        <f t="shared" si="14"/>
        <v>Error?</v>
      </c>
    </row>
    <row r="1015" spans="1:4" x14ac:dyDescent="0.2">
      <c r="A1015" s="5">
        <v>954</v>
      </c>
      <c r="B1015" s="1816">
        <f>'Expenditures 15-22'!H40</f>
        <v>2005</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2225</v>
      </c>
      <c r="C1017" s="2" t="s">
        <v>568</v>
      </c>
      <c r="D1017" s="2" t="str">
        <f t="shared" si="14"/>
        <v>Error?</v>
      </c>
    </row>
    <row r="1018" spans="1:4" x14ac:dyDescent="0.2">
      <c r="A1018" s="5">
        <v>957</v>
      </c>
      <c r="B1018" s="1816">
        <f>'Expenditures 15-22'!H44</f>
        <v>1957</v>
      </c>
      <c r="D1018" s="2" t="str">
        <f t="shared" si="14"/>
        <v>Error?</v>
      </c>
    </row>
    <row r="1019" spans="1:4" x14ac:dyDescent="0.2">
      <c r="A1019" s="5">
        <v>958</v>
      </c>
      <c r="B1019" s="1816">
        <f>'Expenditures 15-22'!H45</f>
        <v>195</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2152</v>
      </c>
      <c r="C1021" s="2" t="s">
        <v>568</v>
      </c>
      <c r="D1021" s="2" t="str">
        <f t="shared" si="14"/>
        <v>Error?</v>
      </c>
    </row>
    <row r="1022" spans="1:4" x14ac:dyDescent="0.2">
      <c r="A1022" s="5">
        <v>961</v>
      </c>
      <c r="B1022" s="1816">
        <f>'Expenditures 15-22'!H49</f>
        <v>15950</v>
      </c>
      <c r="D1022" s="2" t="str">
        <f t="shared" si="14"/>
        <v>Error?</v>
      </c>
    </row>
    <row r="1023" spans="1:4" x14ac:dyDescent="0.2">
      <c r="A1023" s="5">
        <v>962</v>
      </c>
      <c r="B1023" s="1816">
        <f>'Expenditures 15-22'!H50</f>
        <v>21292</v>
      </c>
      <c r="D1023" s="2" t="str">
        <f t="shared" ref="D1023:D1086" si="15">IF(ISBLANK(B1023),"OK",IF(A1023-B1023=0,"OK","Error?"))</f>
        <v>Error?</v>
      </c>
    </row>
    <row r="1024" spans="1:4" x14ac:dyDescent="0.2">
      <c r="A1024" s="5">
        <v>963</v>
      </c>
      <c r="B1024" s="1816">
        <f>'Expenditures 15-22'!H53</f>
        <v>37692</v>
      </c>
      <c r="C1024" s="2" t="s">
        <v>568</v>
      </c>
      <c r="D1024" s="2" t="str">
        <f t="shared" si="15"/>
        <v>Error?</v>
      </c>
    </row>
    <row r="1025" spans="1:4" x14ac:dyDescent="0.2">
      <c r="A1025" s="5">
        <v>964</v>
      </c>
      <c r="B1025" s="1816">
        <f>'Expenditures 15-22'!H55</f>
        <v>1497</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1497</v>
      </c>
      <c r="C1027" s="2" t="s">
        <v>568</v>
      </c>
      <c r="D1027" s="2" t="str">
        <f t="shared" si="15"/>
        <v>Error?</v>
      </c>
    </row>
    <row r="1028" spans="1:4" x14ac:dyDescent="0.2">
      <c r="A1028" s="5">
        <v>967</v>
      </c>
      <c r="B1028" s="1816">
        <f>'Expenditures 15-22'!H59</f>
        <v>1209</v>
      </c>
      <c r="D1028" s="2" t="str">
        <f t="shared" si="15"/>
        <v>Error?</v>
      </c>
    </row>
    <row r="1029" spans="1:4" x14ac:dyDescent="0.2">
      <c r="A1029" s="5">
        <v>968</v>
      </c>
      <c r="B1029" s="1816">
        <f>'Expenditures 15-22'!H60</f>
        <v>58</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1267</v>
      </c>
      <c r="C1035" s="2" t="s">
        <v>568</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858</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858</v>
      </c>
      <c r="C1043" s="2" t="s">
        <v>568</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45691</v>
      </c>
      <c r="C1045" s="2" t="s">
        <v>568</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300000</v>
      </c>
      <c r="C1047" s="2" t="s">
        <v>568</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568</v>
      </c>
      <c r="D1053" s="2" t="str">
        <f t="shared" si="15"/>
        <v>Error?</v>
      </c>
    </row>
    <row r="1054" spans="1:5" x14ac:dyDescent="0.2">
      <c r="A1054" s="5">
        <v>993</v>
      </c>
      <c r="B1054" s="1816">
        <f>'Expenditures 15-22'!H114</f>
        <v>832196</v>
      </c>
      <c r="C1054" s="2" t="s">
        <v>568</v>
      </c>
      <c r="D1054" s="2" t="str">
        <f t="shared" si="15"/>
        <v>Error?</v>
      </c>
    </row>
    <row r="1055" spans="1:5" x14ac:dyDescent="0.2">
      <c r="A1055" s="10">
        <v>994</v>
      </c>
      <c r="B1055" s="1816"/>
      <c r="D1055" s="2" t="str">
        <f t="shared" si="15"/>
        <v>OK</v>
      </c>
    </row>
    <row r="1056" spans="1:5" x14ac:dyDescent="0.2">
      <c r="A1056" s="10">
        <v>995</v>
      </c>
      <c r="B1056" s="1816"/>
      <c r="C1056" s="2" t="s">
        <v>568</v>
      </c>
      <c r="D1056" s="4" t="s">
        <v>1993</v>
      </c>
      <c r="E1056" s="4" t="s">
        <v>1992</v>
      </c>
    </row>
    <row r="1057" spans="1:4" x14ac:dyDescent="0.2">
      <c r="A1057" s="10">
        <v>996</v>
      </c>
      <c r="B1057" s="1816"/>
      <c r="C1057" s="2" t="s">
        <v>568</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568</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568</v>
      </c>
      <c r="D1086" s="2" t="str">
        <f t="shared" si="15"/>
        <v>OK</v>
      </c>
    </row>
    <row r="1087" spans="1:4" x14ac:dyDescent="0.2">
      <c r="A1087" s="10">
        <v>1026</v>
      </c>
      <c r="B1087" s="1816"/>
      <c r="C1087" s="2" t="s">
        <v>568</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11258767</v>
      </c>
      <c r="C1093" s="2" t="s">
        <v>568</v>
      </c>
      <c r="D1093" s="2" t="str">
        <f t="shared" si="16"/>
        <v>Error?</v>
      </c>
    </row>
    <row r="1094" spans="1:4" x14ac:dyDescent="0.2">
      <c r="A1094" s="5">
        <v>1033</v>
      </c>
      <c r="B1094" s="1816">
        <f>'Expenditures 15-22'!K16</f>
        <v>403075</v>
      </c>
      <c r="C1094" s="2" t="s">
        <v>568</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535107</v>
      </c>
      <c r="C1100" s="2" t="s">
        <v>568</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568</v>
      </c>
      <c r="D1104" s="2" t="str">
        <f t="shared" si="16"/>
        <v>Error?</v>
      </c>
    </row>
    <row r="1105" spans="1:4" x14ac:dyDescent="0.2">
      <c r="A1105" s="5">
        <v>1044</v>
      </c>
      <c r="B1105" s="1816">
        <f>'Expenditures 15-22'!K13</f>
        <v>0</v>
      </c>
      <c r="C1105" s="2" t="s">
        <v>568</v>
      </c>
      <c r="D1105" s="2" t="str">
        <f t="shared" si="16"/>
        <v>Error?</v>
      </c>
    </row>
    <row r="1106" spans="1:4" x14ac:dyDescent="0.2">
      <c r="A1106" s="5">
        <v>1045</v>
      </c>
      <c r="B1106" s="1816">
        <f>'Expenditures 15-22'!K14</f>
        <v>141226</v>
      </c>
      <c r="C1106" s="2" t="s">
        <v>568</v>
      </c>
      <c r="D1106" s="2" t="str">
        <f t="shared" si="16"/>
        <v>Error?</v>
      </c>
    </row>
    <row r="1107" spans="1:4" x14ac:dyDescent="0.2">
      <c r="A1107" s="5">
        <v>1046</v>
      </c>
      <c r="B1107" s="1816">
        <f>'Expenditures 15-22'!K15</f>
        <v>30087</v>
      </c>
      <c r="C1107" s="2" t="s">
        <v>568</v>
      </c>
      <c r="D1107" s="2" t="str">
        <f t="shared" si="16"/>
        <v>Error?</v>
      </c>
    </row>
    <row r="1108" spans="1:4" x14ac:dyDescent="0.2">
      <c r="A1108" s="5">
        <v>1047</v>
      </c>
      <c r="B1108" s="1816">
        <f>'Expenditures 15-22'!K33</f>
        <v>16786768</v>
      </c>
      <c r="C1108" s="2" t="s">
        <v>568</v>
      </c>
      <c r="D1108" s="2" t="str">
        <f t="shared" si="16"/>
        <v>Error?</v>
      </c>
    </row>
    <row r="1109" spans="1:4" x14ac:dyDescent="0.2">
      <c r="A1109" s="5">
        <v>1048</v>
      </c>
      <c r="B1109" s="1816">
        <f>'Expenditures 15-22'!K36</f>
        <v>336712</v>
      </c>
      <c r="C1109" s="2" t="s">
        <v>568</v>
      </c>
      <c r="D1109" s="2" t="str">
        <f t="shared" si="16"/>
        <v>Error?</v>
      </c>
    </row>
    <row r="1110" spans="1:4" x14ac:dyDescent="0.2">
      <c r="A1110" s="5">
        <v>1049</v>
      </c>
      <c r="B1110" s="1816">
        <f>'Expenditures 15-22'!K37</f>
        <v>0</v>
      </c>
      <c r="C1110" s="2" t="s">
        <v>568</v>
      </c>
      <c r="D1110" s="2" t="str">
        <f t="shared" si="16"/>
        <v>Error?</v>
      </c>
    </row>
    <row r="1111" spans="1:4" x14ac:dyDescent="0.2">
      <c r="A1111" s="5">
        <v>1050</v>
      </c>
      <c r="B1111" s="1816">
        <f>'Expenditures 15-22'!K38</f>
        <v>532095</v>
      </c>
      <c r="C1111" s="2" t="s">
        <v>568</v>
      </c>
      <c r="D1111" s="2" t="str">
        <f t="shared" si="16"/>
        <v>Error?</v>
      </c>
    </row>
    <row r="1112" spans="1:4" x14ac:dyDescent="0.2">
      <c r="A1112" s="5">
        <v>1051</v>
      </c>
      <c r="B1112" s="1816">
        <f>'Expenditures 15-22'!K39</f>
        <v>447123</v>
      </c>
      <c r="C1112" s="2" t="s">
        <v>568</v>
      </c>
      <c r="D1112" s="2" t="str">
        <f t="shared" si="16"/>
        <v>Error?</v>
      </c>
    </row>
    <row r="1113" spans="1:4" x14ac:dyDescent="0.2">
      <c r="A1113" s="5">
        <v>1052</v>
      </c>
      <c r="B1113" s="1816">
        <f>'Expenditures 15-22'!K40</f>
        <v>520408</v>
      </c>
      <c r="C1113" s="2" t="s">
        <v>568</v>
      </c>
      <c r="D1113" s="2" t="str">
        <f t="shared" si="16"/>
        <v>Error?</v>
      </c>
    </row>
    <row r="1114" spans="1:4" x14ac:dyDescent="0.2">
      <c r="A1114" s="5">
        <v>1053</v>
      </c>
      <c r="B1114" s="1816">
        <f>'Expenditures 15-22'!K41</f>
        <v>74041</v>
      </c>
      <c r="C1114" s="2" t="s">
        <v>568</v>
      </c>
      <c r="D1114" s="2" t="str">
        <f t="shared" si="16"/>
        <v>Error?</v>
      </c>
    </row>
    <row r="1115" spans="1:4" x14ac:dyDescent="0.2">
      <c r="A1115" s="5">
        <v>1054</v>
      </c>
      <c r="B1115" s="1816">
        <f>'Expenditures 15-22'!K42</f>
        <v>1910379</v>
      </c>
      <c r="C1115" s="2" t="s">
        <v>568</v>
      </c>
      <c r="D1115" s="2" t="str">
        <f t="shared" si="16"/>
        <v>Error?</v>
      </c>
    </row>
    <row r="1116" spans="1:4" x14ac:dyDescent="0.2">
      <c r="A1116" s="5">
        <v>1055</v>
      </c>
      <c r="B1116" s="1816">
        <f>'Expenditures 15-22'!K44</f>
        <v>889059</v>
      </c>
      <c r="C1116" s="2" t="s">
        <v>568</v>
      </c>
      <c r="D1116" s="2" t="str">
        <f t="shared" si="16"/>
        <v>Error?</v>
      </c>
    </row>
    <row r="1117" spans="1:4" x14ac:dyDescent="0.2">
      <c r="A1117" s="5">
        <v>1056</v>
      </c>
      <c r="B1117" s="1816">
        <f>'Expenditures 15-22'!K45</f>
        <v>573000</v>
      </c>
      <c r="C1117" s="2" t="s">
        <v>568</v>
      </c>
      <c r="D1117" s="2" t="str">
        <f t="shared" si="16"/>
        <v>Error?</v>
      </c>
    </row>
    <row r="1118" spans="1:4" x14ac:dyDescent="0.2">
      <c r="A1118" s="5">
        <v>1057</v>
      </c>
      <c r="B1118" s="1816">
        <f>'Expenditures 15-22'!K46</f>
        <v>48736</v>
      </c>
      <c r="C1118" s="2" t="s">
        <v>568</v>
      </c>
      <c r="D1118" s="2" t="str">
        <f t="shared" si="16"/>
        <v>Error?</v>
      </c>
    </row>
    <row r="1119" spans="1:4" x14ac:dyDescent="0.2">
      <c r="A1119" s="5">
        <v>1058</v>
      </c>
      <c r="B1119" s="1816">
        <f>'Expenditures 15-22'!K47</f>
        <v>1510795</v>
      </c>
      <c r="C1119" s="2" t="s">
        <v>568</v>
      </c>
      <c r="D1119" s="2" t="str">
        <f t="shared" si="16"/>
        <v>Error?</v>
      </c>
    </row>
    <row r="1120" spans="1:4" x14ac:dyDescent="0.2">
      <c r="A1120" s="5">
        <v>1059</v>
      </c>
      <c r="B1120" s="1816">
        <f>'Expenditures 15-22'!K49</f>
        <v>170406</v>
      </c>
      <c r="C1120" s="2" t="s">
        <v>568</v>
      </c>
      <c r="D1120" s="2" t="str">
        <f t="shared" si="16"/>
        <v>Error?</v>
      </c>
    </row>
    <row r="1121" spans="1:4" x14ac:dyDescent="0.2">
      <c r="A1121" s="5">
        <v>1060</v>
      </c>
      <c r="B1121" s="1816">
        <f>'Expenditures 15-22'!K50</f>
        <v>427431</v>
      </c>
      <c r="C1121" s="2" t="s">
        <v>568</v>
      </c>
      <c r="D1121" s="2" t="str">
        <f t="shared" si="16"/>
        <v>Error?</v>
      </c>
    </row>
    <row r="1122" spans="1:4" x14ac:dyDescent="0.2">
      <c r="A1122" s="5">
        <v>1061</v>
      </c>
      <c r="B1122" s="1816">
        <f>'Expenditures 15-22'!K53</f>
        <v>1194575</v>
      </c>
      <c r="C1122" s="2" t="s">
        <v>568</v>
      </c>
      <c r="D1122" s="2" t="str">
        <f t="shared" si="16"/>
        <v>Error?</v>
      </c>
    </row>
    <row r="1123" spans="1:4" x14ac:dyDescent="0.2">
      <c r="A1123" s="5">
        <v>1062</v>
      </c>
      <c r="B1123" s="1816">
        <f>'Expenditures 15-22'!K55</f>
        <v>1452307</v>
      </c>
      <c r="C1123" s="2" t="s">
        <v>568</v>
      </c>
      <c r="D1123" s="2" t="str">
        <f t="shared" si="16"/>
        <v>Error?</v>
      </c>
    </row>
    <row r="1124" spans="1:4" x14ac:dyDescent="0.2">
      <c r="A1124" s="5">
        <v>1063</v>
      </c>
      <c r="B1124" s="1816">
        <f>'Expenditures 15-22'!K56</f>
        <v>0</v>
      </c>
      <c r="C1124" s="2" t="s">
        <v>568</v>
      </c>
      <c r="D1124" s="2" t="str">
        <f t="shared" si="16"/>
        <v>Error?</v>
      </c>
    </row>
    <row r="1125" spans="1:4" x14ac:dyDescent="0.2">
      <c r="A1125" s="5">
        <v>1064</v>
      </c>
      <c r="B1125" s="1816">
        <f>'Expenditures 15-22'!K57</f>
        <v>1452307</v>
      </c>
      <c r="C1125" s="2" t="s">
        <v>568</v>
      </c>
      <c r="D1125" s="2" t="str">
        <f t="shared" si="16"/>
        <v>Error?</v>
      </c>
    </row>
    <row r="1126" spans="1:4" x14ac:dyDescent="0.2">
      <c r="A1126" s="5">
        <v>1065</v>
      </c>
      <c r="B1126" s="1816">
        <f>'Expenditures 15-22'!K59</f>
        <v>215423</v>
      </c>
      <c r="C1126" s="2" t="s">
        <v>568</v>
      </c>
      <c r="D1126" s="2" t="str">
        <f t="shared" si="16"/>
        <v>Error?</v>
      </c>
    </row>
    <row r="1127" spans="1:4" x14ac:dyDescent="0.2">
      <c r="A1127" s="5">
        <v>1066</v>
      </c>
      <c r="B1127" s="1816">
        <f>'Expenditures 15-22'!K60</f>
        <v>478148</v>
      </c>
      <c r="C1127" s="2" t="s">
        <v>568</v>
      </c>
      <c r="D1127" s="2" t="str">
        <f t="shared" si="16"/>
        <v>Error?</v>
      </c>
    </row>
    <row r="1128" spans="1:4" x14ac:dyDescent="0.2">
      <c r="A1128" s="5">
        <v>1067</v>
      </c>
      <c r="B1128" s="1816">
        <f>'Expenditures 15-22'!K61</f>
        <v>707552</v>
      </c>
      <c r="C1128" s="2" t="s">
        <v>568</v>
      </c>
      <c r="D1128" s="2" t="str">
        <f t="shared" si="16"/>
        <v>Error?</v>
      </c>
    </row>
    <row r="1129" spans="1:4" x14ac:dyDescent="0.2">
      <c r="A1129" s="5">
        <v>1068</v>
      </c>
      <c r="B1129" s="1816">
        <f>'Expenditures 15-22'!K62</f>
        <v>0</v>
      </c>
      <c r="C1129" s="2" t="s">
        <v>568</v>
      </c>
      <c r="D1129" s="2" t="str">
        <f t="shared" si="16"/>
        <v>Error?</v>
      </c>
    </row>
    <row r="1130" spans="1:4" x14ac:dyDescent="0.2">
      <c r="A1130" s="5">
        <v>1069</v>
      </c>
      <c r="B1130" s="1816">
        <f>'Expenditures 15-22'!K63</f>
        <v>29022</v>
      </c>
      <c r="C1130" s="2" t="s">
        <v>568</v>
      </c>
      <c r="D1130" s="2" t="str">
        <f t="shared" si="16"/>
        <v>Error?</v>
      </c>
    </row>
    <row r="1131" spans="1:4" x14ac:dyDescent="0.2">
      <c r="A1131" s="5">
        <v>1070</v>
      </c>
      <c r="B1131" s="1816">
        <f>'Expenditures 15-22'!K64</f>
        <v>0</v>
      </c>
      <c r="C1131" s="2" t="s">
        <v>568</v>
      </c>
      <c r="D1131" s="2" t="str">
        <f t="shared" si="16"/>
        <v>Error?</v>
      </c>
    </row>
    <row r="1132" spans="1:4" x14ac:dyDescent="0.2">
      <c r="A1132" s="10">
        <v>1071</v>
      </c>
      <c r="B1132" s="1816"/>
      <c r="D1132" s="2" t="str">
        <f t="shared" si="16"/>
        <v>OK</v>
      </c>
    </row>
    <row r="1133" spans="1:4" x14ac:dyDescent="0.2">
      <c r="A1133" s="5">
        <v>1072</v>
      </c>
      <c r="B1133" s="1816">
        <f>'Expenditures 15-22'!K65</f>
        <v>1430145</v>
      </c>
      <c r="C1133" s="2" t="s">
        <v>568</v>
      </c>
      <c r="D1133" s="2" t="str">
        <f t="shared" si="16"/>
        <v>Error?</v>
      </c>
    </row>
    <row r="1134" spans="1:4" x14ac:dyDescent="0.2">
      <c r="A1134" s="5">
        <v>1073</v>
      </c>
      <c r="B1134" s="1816">
        <f>'Expenditures 15-22'!K67</f>
        <v>0</v>
      </c>
      <c r="C1134" s="2" t="s">
        <v>568</v>
      </c>
      <c r="D1134" s="2" t="str">
        <f t="shared" si="16"/>
        <v>Error?</v>
      </c>
    </row>
    <row r="1135" spans="1:4" x14ac:dyDescent="0.2">
      <c r="A1135" s="5">
        <v>1074</v>
      </c>
      <c r="B1135" s="1816">
        <f>'Expenditures 15-22'!K68</f>
        <v>9716</v>
      </c>
      <c r="C1135" s="2" t="s">
        <v>568</v>
      </c>
      <c r="D1135" s="2" t="str">
        <f t="shared" si="16"/>
        <v>Error?</v>
      </c>
    </row>
    <row r="1136" spans="1:4" x14ac:dyDescent="0.2">
      <c r="A1136" s="5">
        <v>1075</v>
      </c>
      <c r="B1136" s="1816">
        <f>'Expenditures 15-22'!K69</f>
        <v>90033</v>
      </c>
      <c r="C1136" s="2" t="s">
        <v>568</v>
      </c>
      <c r="D1136" s="2" t="str">
        <f t="shared" si="16"/>
        <v>Error?</v>
      </c>
    </row>
    <row r="1137" spans="1:4" x14ac:dyDescent="0.2">
      <c r="A1137" s="5">
        <v>1076</v>
      </c>
      <c r="B1137" s="1816">
        <f>'Expenditures 15-22'!K70</f>
        <v>16723</v>
      </c>
      <c r="C1137" s="2" t="s">
        <v>568</v>
      </c>
      <c r="D1137" s="2" t="str">
        <f t="shared" si="16"/>
        <v>Error?</v>
      </c>
    </row>
    <row r="1138" spans="1:4" x14ac:dyDescent="0.2">
      <c r="A1138" s="10">
        <v>1077</v>
      </c>
      <c r="B1138" s="1816"/>
      <c r="D1138" s="2" t="str">
        <f t="shared" si="16"/>
        <v>OK</v>
      </c>
    </row>
    <row r="1139" spans="1:4" x14ac:dyDescent="0.2">
      <c r="A1139" s="5">
        <v>1078</v>
      </c>
      <c r="B1139" s="1816">
        <f>'Expenditures 15-22'!K71</f>
        <v>1235260</v>
      </c>
      <c r="C1139" s="2" t="s">
        <v>568</v>
      </c>
      <c r="D1139" s="2" t="str">
        <f t="shared" si="16"/>
        <v>Error?</v>
      </c>
    </row>
    <row r="1140" spans="1:4" x14ac:dyDescent="0.2">
      <c r="A1140" s="10">
        <v>1079</v>
      </c>
      <c r="B1140" s="1816"/>
      <c r="D1140" s="2" t="str">
        <f t="shared" si="16"/>
        <v>OK</v>
      </c>
    </row>
    <row r="1141" spans="1:4" x14ac:dyDescent="0.2">
      <c r="A1141" s="5">
        <v>1080</v>
      </c>
      <c r="B1141" s="1816">
        <f>'Expenditures 15-22'!K72</f>
        <v>1351732</v>
      </c>
      <c r="C1141" s="2" t="s">
        <v>568</v>
      </c>
      <c r="D1141" s="2" t="str">
        <f t="shared" si="16"/>
        <v>Error?</v>
      </c>
    </row>
    <row r="1142" spans="1:4" x14ac:dyDescent="0.2">
      <c r="A1142" s="5">
        <v>1081</v>
      </c>
      <c r="B1142" s="1816">
        <f>'Expenditures 15-22'!K73</f>
        <v>0</v>
      </c>
      <c r="C1142" s="2" t="s">
        <v>568</v>
      </c>
      <c r="D1142" s="2" t="str">
        <f t="shared" si="16"/>
        <v>Error?</v>
      </c>
    </row>
    <row r="1143" spans="1:4" x14ac:dyDescent="0.2">
      <c r="A1143" s="5">
        <v>1082</v>
      </c>
      <c r="B1143" s="1816">
        <f>'Expenditures 15-22'!K74</f>
        <v>8849933</v>
      </c>
      <c r="C1143" s="2" t="s">
        <v>568</v>
      </c>
      <c r="D1143" s="2" t="str">
        <f t="shared" si="16"/>
        <v>Error?</v>
      </c>
    </row>
    <row r="1144" spans="1:4" x14ac:dyDescent="0.2">
      <c r="A1144" s="5">
        <v>1083</v>
      </c>
      <c r="B1144" s="1816">
        <f>'Expenditures 15-22'!K75</f>
        <v>327845</v>
      </c>
      <c r="C1144" s="2" t="s">
        <v>568</v>
      </c>
      <c r="D1144" s="2" t="str">
        <f t="shared" si="16"/>
        <v>Error?</v>
      </c>
    </row>
    <row r="1145" spans="1:4" x14ac:dyDescent="0.2">
      <c r="A1145" s="5">
        <v>1084</v>
      </c>
      <c r="B1145" s="1816">
        <f>'Expenditures 15-22'!K102</f>
        <v>658650</v>
      </c>
      <c r="C1145" s="2" t="s">
        <v>568</v>
      </c>
      <c r="D1145" s="2" t="str">
        <f t="shared" si="16"/>
        <v>Error?</v>
      </c>
    </row>
    <row r="1146" spans="1:4" x14ac:dyDescent="0.2">
      <c r="A1146" s="5">
        <v>1085</v>
      </c>
      <c r="B1146" s="1816">
        <f>'Expenditures 15-22'!K105</f>
        <v>0</v>
      </c>
      <c r="C1146" s="2" t="s">
        <v>568</v>
      </c>
      <c r="D1146" s="2" t="str">
        <f t="shared" si="16"/>
        <v>Error?</v>
      </c>
    </row>
    <row r="1147" spans="1:4" x14ac:dyDescent="0.2">
      <c r="A1147" s="5">
        <v>1086</v>
      </c>
      <c r="B1147" s="1816">
        <f>'Expenditures 15-22'!K106</f>
        <v>0</v>
      </c>
      <c r="C1147" s="2" t="s">
        <v>568</v>
      </c>
      <c r="D1147" s="2" t="str">
        <f t="shared" si="16"/>
        <v>Error?</v>
      </c>
    </row>
    <row r="1148" spans="1:4" x14ac:dyDescent="0.2">
      <c r="A1148" s="10">
        <v>1087</v>
      </c>
      <c r="B1148" s="1816"/>
      <c r="C1148" s="2" t="s">
        <v>568</v>
      </c>
      <c r="D1148" s="2" t="str">
        <f t="shared" si="16"/>
        <v>OK</v>
      </c>
    </row>
    <row r="1149" spans="1:4" x14ac:dyDescent="0.2">
      <c r="A1149" s="5">
        <v>1088</v>
      </c>
      <c r="B1149" s="1816">
        <f>'Expenditures 15-22'!K109</f>
        <v>0</v>
      </c>
      <c r="C1149" s="2" t="s">
        <v>568</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568</v>
      </c>
      <c r="D1151" s="2" t="str">
        <f t="shared" ref="D1151:D1214" si="17">IF(ISBLANK(B1151),"OK",IF(A1151-B1151=0,"OK","Error?"))</f>
        <v>Error?</v>
      </c>
    </row>
    <row r="1152" spans="1:4" x14ac:dyDescent="0.2">
      <c r="A1152" s="5">
        <v>1091</v>
      </c>
      <c r="B1152" s="1816">
        <f>'Expenditures 15-22'!K114</f>
        <v>26623196</v>
      </c>
      <c r="C1152" s="2" t="s">
        <v>568</v>
      </c>
      <c r="D1152" s="2" t="str">
        <f t="shared" si="17"/>
        <v>Error?</v>
      </c>
    </row>
    <row r="1153" spans="1:4" x14ac:dyDescent="0.2">
      <c r="A1153" s="5">
        <v>1092</v>
      </c>
      <c r="B1153" s="1816">
        <f>'Expenditures 15-22'!K115</f>
        <v>234307</v>
      </c>
      <c r="C1153" s="2" t="s">
        <v>568</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898006</v>
      </c>
      <c r="D1221" s="2" t="str">
        <f t="shared" si="18"/>
        <v>Error?</v>
      </c>
    </row>
    <row r="1222" spans="1:4" x14ac:dyDescent="0.2">
      <c r="A1222" s="10">
        <v>1161</v>
      </c>
      <c r="B1222" s="1816"/>
      <c r="D1222" s="2" t="str">
        <f t="shared" si="18"/>
        <v>OK</v>
      </c>
    </row>
    <row r="1223" spans="1:4" x14ac:dyDescent="0.2">
      <c r="A1223" s="5">
        <v>1162</v>
      </c>
      <c r="B1223" s="1816">
        <f>'Expenditures 15-22'!C127</f>
        <v>898006</v>
      </c>
      <c r="C1223" s="2" t="s">
        <v>568</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898006</v>
      </c>
      <c r="C1225" s="2" t="s">
        <v>568</v>
      </c>
      <c r="D1225" s="2" t="str">
        <f t="shared" si="18"/>
        <v>Error?</v>
      </c>
    </row>
    <row r="1226" spans="1:4" x14ac:dyDescent="0.2">
      <c r="A1226" s="5">
        <v>1165</v>
      </c>
      <c r="B1226" s="1816">
        <f>'Expenditures 15-22'!C151</f>
        <v>898006</v>
      </c>
      <c r="C1226" s="2" t="s">
        <v>568</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152139</v>
      </c>
      <c r="D1229" s="2" t="str">
        <f t="shared" si="18"/>
        <v>Error?</v>
      </c>
    </row>
    <row r="1230" spans="1:4" x14ac:dyDescent="0.2">
      <c r="A1230" s="10">
        <v>1169</v>
      </c>
      <c r="B1230" s="1816"/>
      <c r="D1230" s="2" t="str">
        <f t="shared" si="18"/>
        <v>OK</v>
      </c>
    </row>
    <row r="1231" spans="1:4" x14ac:dyDescent="0.2">
      <c r="A1231" s="5">
        <v>1170</v>
      </c>
      <c r="B1231" s="1816">
        <f>'Expenditures 15-22'!D127</f>
        <v>152139</v>
      </c>
      <c r="C1231" s="2" t="s">
        <v>568</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152139</v>
      </c>
      <c r="C1233" s="2" t="s">
        <v>568</v>
      </c>
      <c r="D1233" s="2" t="str">
        <f t="shared" si="18"/>
        <v>Error?</v>
      </c>
    </row>
    <row r="1234" spans="1:4" x14ac:dyDescent="0.2">
      <c r="A1234" s="5">
        <v>1173</v>
      </c>
      <c r="B1234" s="1816">
        <f>'Expenditures 15-22'!D151</f>
        <v>152139</v>
      </c>
      <c r="C1234" s="2" t="s">
        <v>568</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333892</v>
      </c>
      <c r="D1237" s="2" t="str">
        <f t="shared" si="18"/>
        <v>Error?</v>
      </c>
    </row>
    <row r="1238" spans="1:4" x14ac:dyDescent="0.2">
      <c r="A1238" s="10">
        <v>1177</v>
      </c>
      <c r="B1238" s="1816"/>
      <c r="D1238" s="2" t="str">
        <f t="shared" si="18"/>
        <v>OK</v>
      </c>
    </row>
    <row r="1239" spans="1:4" x14ac:dyDescent="0.2">
      <c r="A1239" s="5">
        <v>1178</v>
      </c>
      <c r="B1239" s="1816">
        <f>'Expenditures 15-22'!E127</f>
        <v>333892</v>
      </c>
      <c r="C1239" s="2" t="s">
        <v>568</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333892</v>
      </c>
      <c r="C1241" s="2" t="s">
        <v>568</v>
      </c>
      <c r="D1241" s="2" t="str">
        <f t="shared" si="18"/>
        <v>Error?</v>
      </c>
    </row>
    <row r="1242" spans="1:4" x14ac:dyDescent="0.2">
      <c r="A1242" s="5">
        <v>1181</v>
      </c>
      <c r="B1242" s="1816">
        <f>'Expenditures 15-22'!E151</f>
        <v>333892</v>
      </c>
      <c r="C1242" s="2" t="s">
        <v>568</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167398</v>
      </c>
      <c r="D1245" s="2" t="str">
        <f t="shared" si="18"/>
        <v>Error?</v>
      </c>
    </row>
    <row r="1246" spans="1:4" x14ac:dyDescent="0.2">
      <c r="A1246" s="10">
        <v>1185</v>
      </c>
      <c r="B1246" s="1816"/>
      <c r="D1246" s="2" t="str">
        <f t="shared" si="18"/>
        <v>OK</v>
      </c>
    </row>
    <row r="1247" spans="1:4" x14ac:dyDescent="0.2">
      <c r="A1247" s="5">
        <v>1186</v>
      </c>
      <c r="B1247" s="1816">
        <f>'Expenditures 15-22'!F127</f>
        <v>167398</v>
      </c>
      <c r="C1247" s="2" t="s">
        <v>568</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167398</v>
      </c>
      <c r="C1249" s="2" t="s">
        <v>568</v>
      </c>
      <c r="D1249" s="2" t="str">
        <f t="shared" si="18"/>
        <v>Error?</v>
      </c>
    </row>
    <row r="1250" spans="1:4" x14ac:dyDescent="0.2">
      <c r="A1250" s="5">
        <v>1189</v>
      </c>
      <c r="B1250" s="1816">
        <f>'Expenditures 15-22'!F151</f>
        <v>167398</v>
      </c>
      <c r="C1250" s="2" t="s">
        <v>568</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624249</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624249</v>
      </c>
      <c r="C1256" s="2" t="s">
        <v>568</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624249</v>
      </c>
      <c r="C1258" s="2" t="s">
        <v>568</v>
      </c>
      <c r="D1258" s="2" t="str">
        <f t="shared" si="18"/>
        <v>Error?</v>
      </c>
    </row>
    <row r="1259" spans="1:4" x14ac:dyDescent="0.2">
      <c r="A1259" s="5">
        <v>1198</v>
      </c>
      <c r="B1259" s="1816">
        <f>'Expenditures 15-22'!G151</f>
        <v>624249</v>
      </c>
      <c r="C1259" s="2" t="s">
        <v>568</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568</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568</v>
      </c>
      <c r="D1266" s="2" t="str">
        <f t="shared" si="18"/>
        <v>Error?</v>
      </c>
    </row>
    <row r="1267" spans="1:4" x14ac:dyDescent="0.2">
      <c r="A1267" s="5">
        <v>1206</v>
      </c>
      <c r="B1267" s="1816">
        <f>'Expenditures 15-22'!H139</f>
        <v>0</v>
      </c>
      <c r="C1267" s="2" t="s">
        <v>568</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568</v>
      </c>
      <c r="D1272" s="2" t="str">
        <f t="shared" si="18"/>
        <v>Error?</v>
      </c>
    </row>
    <row r="1273" spans="1:4" x14ac:dyDescent="0.2">
      <c r="A1273" s="5">
        <v>1212</v>
      </c>
      <c r="B1273" s="1816">
        <f>'Expenditures 15-22'!H151</f>
        <v>0</v>
      </c>
      <c r="C1273" s="2" t="s">
        <v>568</v>
      </c>
      <c r="D1273" s="2" t="str">
        <f t="shared" si="18"/>
        <v>Error?</v>
      </c>
    </row>
    <row r="1274" spans="1:4" x14ac:dyDescent="0.2">
      <c r="A1274" s="5">
        <v>1213</v>
      </c>
      <c r="B1274" s="1816">
        <f>'Expenditures 15-22'!K122</f>
        <v>0</v>
      </c>
      <c r="C1274" s="2" t="s">
        <v>568</v>
      </c>
      <c r="D1274" s="2" t="str">
        <f t="shared" si="18"/>
        <v>Error?</v>
      </c>
    </row>
    <row r="1275" spans="1:4" x14ac:dyDescent="0.2">
      <c r="A1275" s="5">
        <v>1214</v>
      </c>
      <c r="B1275" s="1816">
        <f>'Expenditures 15-22'!K123</f>
        <v>0</v>
      </c>
      <c r="C1275" s="2" t="s">
        <v>568</v>
      </c>
      <c r="D1275" s="2" t="str">
        <f t="shared" si="18"/>
        <v>Error?</v>
      </c>
    </row>
    <row r="1276" spans="1:4" x14ac:dyDescent="0.2">
      <c r="A1276" s="5">
        <v>1215</v>
      </c>
      <c r="B1276" s="1816">
        <f>'Expenditures 15-22'!K124</f>
        <v>2212611</v>
      </c>
      <c r="C1276" s="2" t="s">
        <v>568</v>
      </c>
      <c r="D1276" s="2" t="str">
        <f t="shared" si="18"/>
        <v>Error?</v>
      </c>
    </row>
    <row r="1277" spans="1:4" x14ac:dyDescent="0.2">
      <c r="A1277" s="5">
        <v>1216</v>
      </c>
      <c r="B1277" s="1816">
        <f>'Expenditures 15-22'!K126</f>
        <v>0</v>
      </c>
      <c r="C1277" s="2" t="s">
        <v>568</v>
      </c>
      <c r="D1277" s="2" t="str">
        <f t="shared" si="18"/>
        <v>Error?</v>
      </c>
    </row>
    <row r="1278" spans="1:4" x14ac:dyDescent="0.2">
      <c r="A1278" s="10">
        <v>1217</v>
      </c>
      <c r="B1278" s="1816"/>
      <c r="D1278" s="2" t="str">
        <f t="shared" si="18"/>
        <v>OK</v>
      </c>
    </row>
    <row r="1279" spans="1:4" x14ac:dyDescent="0.2">
      <c r="A1279" s="5">
        <v>1218</v>
      </c>
      <c r="B1279" s="1816">
        <f>'Expenditures 15-22'!K127</f>
        <v>2212611</v>
      </c>
      <c r="C1279" s="2" t="s">
        <v>568</v>
      </c>
      <c r="D1279" s="2" t="str">
        <f t="shared" ref="D1279:D1342" si="19">IF(ISBLANK(B1279),"OK",IF(A1279-B1279=0,"OK","Error?"))</f>
        <v>Error?</v>
      </c>
    </row>
    <row r="1280" spans="1:4" x14ac:dyDescent="0.2">
      <c r="A1280" s="5">
        <v>1219</v>
      </c>
      <c r="B1280" s="1816">
        <f>'Expenditures 15-22'!K128</f>
        <v>0</v>
      </c>
      <c r="C1280" s="2" t="s">
        <v>568</v>
      </c>
      <c r="D1280" s="2" t="str">
        <f t="shared" si="19"/>
        <v>Error?</v>
      </c>
    </row>
    <row r="1281" spans="1:4" x14ac:dyDescent="0.2">
      <c r="A1281" s="5">
        <v>1220</v>
      </c>
      <c r="B1281" s="1816">
        <f>'Expenditures 15-22'!K129</f>
        <v>2212611</v>
      </c>
      <c r="C1281" s="2" t="s">
        <v>568</v>
      </c>
      <c r="D1281" s="2" t="str">
        <f t="shared" si="19"/>
        <v>Error?</v>
      </c>
    </row>
    <row r="1282" spans="1:4" x14ac:dyDescent="0.2">
      <c r="A1282" s="5">
        <v>1221</v>
      </c>
      <c r="B1282" s="1816">
        <f>'Expenditures 15-22'!K139</f>
        <v>0</v>
      </c>
      <c r="C1282" s="2" t="s">
        <v>568</v>
      </c>
      <c r="D1282" s="2" t="str">
        <f t="shared" si="19"/>
        <v>Error?</v>
      </c>
    </row>
    <row r="1283" spans="1:4" x14ac:dyDescent="0.2">
      <c r="A1283" s="5">
        <v>1222</v>
      </c>
      <c r="B1283" s="1816">
        <f>'Expenditures 15-22'!K142</f>
        <v>0</v>
      </c>
      <c r="C1283" s="2" t="s">
        <v>568</v>
      </c>
      <c r="D1283" s="2" t="str">
        <f t="shared" si="19"/>
        <v>Error?</v>
      </c>
    </row>
    <row r="1284" spans="1:4" x14ac:dyDescent="0.2">
      <c r="A1284" s="5">
        <v>1223</v>
      </c>
      <c r="B1284" s="1816">
        <f>'Expenditures 15-22'!K143</f>
        <v>0</v>
      </c>
      <c r="C1284" s="2" t="s">
        <v>568</v>
      </c>
      <c r="D1284" s="2" t="str">
        <f t="shared" si="19"/>
        <v>Error?</v>
      </c>
    </row>
    <row r="1285" spans="1:4" x14ac:dyDescent="0.2">
      <c r="A1285" s="5">
        <v>1224</v>
      </c>
      <c r="B1285" s="1816">
        <f>'Expenditures 15-22'!K146</f>
        <v>0</v>
      </c>
      <c r="C1285" s="2" t="s">
        <v>568</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568</v>
      </c>
      <c r="D1287" s="2" t="str">
        <f t="shared" si="19"/>
        <v>Error?</v>
      </c>
    </row>
    <row r="1288" spans="1:4" x14ac:dyDescent="0.2">
      <c r="A1288" s="5">
        <v>1227</v>
      </c>
      <c r="B1288" s="1816">
        <f>'Expenditures 15-22'!K151</f>
        <v>2212611</v>
      </c>
      <c r="C1288" s="2" t="s">
        <v>568</v>
      </c>
      <c r="D1288" s="2" t="str">
        <f t="shared" si="19"/>
        <v>Error?</v>
      </c>
    </row>
    <row r="1289" spans="1:4" x14ac:dyDescent="0.2">
      <c r="A1289" s="5">
        <v>1228</v>
      </c>
      <c r="B1289" s="1816">
        <f>'Expenditures 15-22'!K152</f>
        <v>-297951</v>
      </c>
      <c r="C1289" s="2" t="s">
        <v>568</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2375</v>
      </c>
      <c r="D1307" s="2" t="str">
        <f t="shared" si="19"/>
        <v>Error?</v>
      </c>
    </row>
    <row r="1308" spans="1:4" x14ac:dyDescent="0.2">
      <c r="A1308" s="5">
        <v>1247</v>
      </c>
      <c r="B1308" s="1816">
        <f>'Expenditures 15-22'!E172</f>
        <v>2375</v>
      </c>
      <c r="C1308" s="2" t="s">
        <v>568</v>
      </c>
      <c r="D1308" s="2" t="str">
        <f t="shared" si="19"/>
        <v>Error?</v>
      </c>
    </row>
    <row r="1309" spans="1:4" x14ac:dyDescent="0.2">
      <c r="A1309" s="5">
        <v>1248</v>
      </c>
      <c r="B1309" s="1816">
        <f>'Expenditures 15-22'!E174</f>
        <v>2375</v>
      </c>
      <c r="C1309" s="2" t="s">
        <v>568</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386493</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568</v>
      </c>
      <c r="D1314" s="2" t="str">
        <f t="shared" si="19"/>
        <v>Error?</v>
      </c>
    </row>
    <row r="1315" spans="1:4" x14ac:dyDescent="0.2">
      <c r="A1315" s="5">
        <v>1254</v>
      </c>
      <c r="B1315" s="1816">
        <f>'Expenditures 15-22'!H170</f>
        <v>766119</v>
      </c>
      <c r="D1315" s="2" t="str">
        <f t="shared" si="19"/>
        <v>Error?</v>
      </c>
    </row>
    <row r="1316" spans="1:4" x14ac:dyDescent="0.2">
      <c r="A1316" s="5">
        <v>1255</v>
      </c>
      <c r="B1316" s="1816">
        <f>'Expenditures 15-22'!H171</f>
        <v>0</v>
      </c>
      <c r="D1316" s="2" t="str">
        <f t="shared" si="19"/>
        <v>Error?</v>
      </c>
    </row>
    <row r="1317" spans="1:4" x14ac:dyDescent="0.2">
      <c r="A1317" s="5">
        <v>1256</v>
      </c>
      <c r="B1317" s="1816">
        <f>'Expenditures 15-22'!H172</f>
        <v>1152612</v>
      </c>
      <c r="C1317" s="2" t="s">
        <v>568</v>
      </c>
      <c r="D1317" s="2" t="str">
        <f t="shared" si="19"/>
        <v>Error?</v>
      </c>
    </row>
    <row r="1318" spans="1:4" x14ac:dyDescent="0.2">
      <c r="A1318" s="5">
        <v>1257</v>
      </c>
      <c r="B1318" s="1816">
        <f>'Expenditures 15-22'!H174</f>
        <v>1152612</v>
      </c>
      <c r="C1318" s="2" t="s">
        <v>568</v>
      </c>
      <c r="D1318" s="2" t="str">
        <f t="shared" si="19"/>
        <v>Error?</v>
      </c>
    </row>
    <row r="1319" spans="1:4" x14ac:dyDescent="0.2">
      <c r="A1319" s="10">
        <v>1258</v>
      </c>
      <c r="B1319" s="1816"/>
      <c r="C1319" s="2" t="s">
        <v>568</v>
      </c>
      <c r="D1319" s="2" t="str">
        <f t="shared" si="19"/>
        <v>OK</v>
      </c>
    </row>
    <row r="1320" spans="1:4" x14ac:dyDescent="0.2">
      <c r="A1320" s="10">
        <v>1259</v>
      </c>
      <c r="B1320" s="1816"/>
      <c r="D1320" s="2" t="str">
        <f t="shared" si="19"/>
        <v>OK</v>
      </c>
    </row>
    <row r="1321" spans="1:4" x14ac:dyDescent="0.2">
      <c r="A1321" s="10">
        <v>1260</v>
      </c>
      <c r="B1321" s="1816"/>
      <c r="C1321" s="2" t="s">
        <v>568</v>
      </c>
      <c r="D1321" s="2" t="str">
        <f t="shared" si="19"/>
        <v>OK</v>
      </c>
    </row>
    <row r="1322" spans="1:4" x14ac:dyDescent="0.2">
      <c r="A1322" s="10">
        <v>1261</v>
      </c>
      <c r="B1322" s="1816"/>
      <c r="C1322" s="2" t="s">
        <v>568</v>
      </c>
      <c r="D1322" s="2" t="str">
        <f t="shared" si="19"/>
        <v>OK</v>
      </c>
    </row>
    <row r="1323" spans="1:4" x14ac:dyDescent="0.2">
      <c r="A1323" s="5">
        <v>1262</v>
      </c>
      <c r="B1323" s="1816">
        <f>'Expenditures 15-22'!K160</f>
        <v>0</v>
      </c>
      <c r="C1323" s="2" t="s">
        <v>568</v>
      </c>
      <c r="D1323" s="2" t="str">
        <f t="shared" si="19"/>
        <v>Error?</v>
      </c>
    </row>
    <row r="1324" spans="1:4" x14ac:dyDescent="0.2">
      <c r="A1324" s="5">
        <v>1263</v>
      </c>
      <c r="B1324" s="1816">
        <f>'Expenditures 15-22'!K163</f>
        <v>0</v>
      </c>
      <c r="C1324" s="2" t="s">
        <v>568</v>
      </c>
      <c r="D1324" s="2" t="str">
        <f t="shared" si="19"/>
        <v>Error?</v>
      </c>
    </row>
    <row r="1325" spans="1:4" x14ac:dyDescent="0.2">
      <c r="A1325" s="5">
        <v>1264</v>
      </c>
      <c r="B1325" s="1816">
        <f>'Expenditures 15-22'!K164</f>
        <v>0</v>
      </c>
      <c r="C1325" s="2" t="s">
        <v>568</v>
      </c>
      <c r="D1325" s="2" t="str">
        <f t="shared" si="19"/>
        <v>Error?</v>
      </c>
    </row>
    <row r="1326" spans="1:4" x14ac:dyDescent="0.2">
      <c r="A1326" s="5">
        <v>1265</v>
      </c>
      <c r="B1326" s="1816">
        <f>'Expenditures 15-22'!K169</f>
        <v>386493</v>
      </c>
      <c r="C1326" s="2" t="s">
        <v>568</v>
      </c>
      <c r="D1326" s="2" t="str">
        <f t="shared" si="19"/>
        <v>Error?</v>
      </c>
    </row>
    <row r="1327" spans="1:4" x14ac:dyDescent="0.2">
      <c r="A1327" s="5">
        <v>1266</v>
      </c>
      <c r="B1327" s="1816">
        <f>'Expenditures 15-22'!K167</f>
        <v>0</v>
      </c>
      <c r="C1327" s="2" t="s">
        <v>568</v>
      </c>
      <c r="D1327" s="2" t="str">
        <f t="shared" si="19"/>
        <v>Error?</v>
      </c>
    </row>
    <row r="1328" spans="1:4" x14ac:dyDescent="0.2">
      <c r="A1328" s="5">
        <v>1267</v>
      </c>
      <c r="B1328" s="1816">
        <f>'Expenditures 15-22'!K168</f>
        <v>0</v>
      </c>
      <c r="C1328" s="2" t="s">
        <v>568</v>
      </c>
      <c r="D1328" s="2" t="str">
        <f t="shared" si="19"/>
        <v>Error?</v>
      </c>
    </row>
    <row r="1329" spans="1:4" x14ac:dyDescent="0.2">
      <c r="A1329" s="5">
        <v>1268</v>
      </c>
      <c r="B1329" s="1816">
        <f>'Expenditures 15-22'!K170</f>
        <v>766119</v>
      </c>
      <c r="C1329" s="2" t="s">
        <v>568</v>
      </c>
      <c r="D1329" s="2" t="str">
        <f t="shared" si="19"/>
        <v>Error?</v>
      </c>
    </row>
    <row r="1330" spans="1:4" x14ac:dyDescent="0.2">
      <c r="A1330" s="5">
        <v>1269</v>
      </c>
      <c r="B1330" s="1816">
        <f>'Expenditures 15-22'!K171</f>
        <v>2375</v>
      </c>
      <c r="C1330" s="2" t="s">
        <v>568</v>
      </c>
      <c r="D1330" s="2" t="str">
        <f t="shared" si="19"/>
        <v>Error?</v>
      </c>
    </row>
    <row r="1331" spans="1:4" x14ac:dyDescent="0.2">
      <c r="A1331" s="5">
        <v>1270</v>
      </c>
      <c r="B1331" s="1816">
        <f>'Expenditures 15-22'!K172</f>
        <v>1154987</v>
      </c>
      <c r="C1331" s="2" t="s">
        <v>568</v>
      </c>
      <c r="D1331" s="2" t="str">
        <f t="shared" si="19"/>
        <v>Error?</v>
      </c>
    </row>
    <row r="1332" spans="1:4" x14ac:dyDescent="0.2">
      <c r="A1332" s="5">
        <v>1271</v>
      </c>
      <c r="B1332" s="1816">
        <f>'Expenditures 15-22'!K174</f>
        <v>1154987</v>
      </c>
      <c r="C1332" s="2" t="s">
        <v>568</v>
      </c>
      <c r="D1332" s="2" t="str">
        <f t="shared" si="19"/>
        <v>Error?</v>
      </c>
    </row>
    <row r="1333" spans="1:4" x14ac:dyDescent="0.2">
      <c r="A1333" s="5">
        <v>1272</v>
      </c>
      <c r="B1333" s="1816">
        <f>'Expenditures 15-22'!K175</f>
        <v>-794768</v>
      </c>
      <c r="C1333" s="2" t="s">
        <v>568</v>
      </c>
      <c r="D1333" s="2" t="str">
        <f t="shared" si="19"/>
        <v>Error?</v>
      </c>
    </row>
    <row r="1334" spans="1:4" x14ac:dyDescent="0.2">
      <c r="A1334" s="10">
        <v>1273</v>
      </c>
      <c r="B1334" s="1816"/>
      <c r="D1334" s="2" t="str">
        <f t="shared" si="19"/>
        <v>OK</v>
      </c>
    </row>
    <row r="1335" spans="1:4" x14ac:dyDescent="0.2">
      <c r="A1335" s="5">
        <v>1274</v>
      </c>
      <c r="B1335" s="1816">
        <f>'Expenditures 15-22'!C182</f>
        <v>1036353</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1036353</v>
      </c>
      <c r="C1339" s="2" t="s">
        <v>568</v>
      </c>
      <c r="D1339" s="2" t="str">
        <f t="shared" si="19"/>
        <v>Error?</v>
      </c>
    </row>
    <row r="1340" spans="1:4" x14ac:dyDescent="0.2">
      <c r="A1340" s="5">
        <v>1279</v>
      </c>
      <c r="B1340" s="1816">
        <f>'Expenditures 15-22'!C210</f>
        <v>1036353</v>
      </c>
      <c r="C1340" s="2" t="s">
        <v>568</v>
      </c>
      <c r="D1340" s="2" t="str">
        <f t="shared" si="19"/>
        <v>Error?</v>
      </c>
    </row>
    <row r="1341" spans="1:4" x14ac:dyDescent="0.2">
      <c r="A1341" s="5">
        <v>1280</v>
      </c>
      <c r="B1341" s="1816">
        <f>'Expenditures 15-22'!D182</f>
        <v>305629</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305629</v>
      </c>
      <c r="C1345" s="2" t="s">
        <v>568</v>
      </c>
      <c r="D1345" s="2" t="str">
        <f t="shared" si="20"/>
        <v>Error?</v>
      </c>
    </row>
    <row r="1346" spans="1:4" x14ac:dyDescent="0.2">
      <c r="A1346" s="5">
        <v>1285</v>
      </c>
      <c r="B1346" s="1816">
        <f>'Expenditures 15-22'!D210</f>
        <v>305629</v>
      </c>
      <c r="C1346" s="2" t="s">
        <v>568</v>
      </c>
      <c r="D1346" s="2" t="str">
        <f t="shared" si="20"/>
        <v>Error?</v>
      </c>
    </row>
    <row r="1347" spans="1:4" x14ac:dyDescent="0.2">
      <c r="A1347" s="5">
        <v>1286</v>
      </c>
      <c r="B1347" s="1816">
        <f>'Expenditures 15-22'!E182</f>
        <v>625164</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625164</v>
      </c>
      <c r="C1351" s="2" t="s">
        <v>568</v>
      </c>
      <c r="D1351" s="2" t="str">
        <f t="shared" si="20"/>
        <v>Error?</v>
      </c>
    </row>
    <row r="1352" spans="1:4" x14ac:dyDescent="0.2">
      <c r="A1352" s="5">
        <v>1291</v>
      </c>
      <c r="B1352" s="1816">
        <f>'Expenditures 15-22'!E196</f>
        <v>0</v>
      </c>
      <c r="C1352" s="2" t="s">
        <v>568</v>
      </c>
      <c r="D1352" s="2" t="str">
        <f t="shared" si="20"/>
        <v>Error?</v>
      </c>
    </row>
    <row r="1353" spans="1:4" x14ac:dyDescent="0.2">
      <c r="A1353" s="5">
        <v>1292</v>
      </c>
      <c r="B1353" s="1816">
        <f>'Expenditures 15-22'!E210</f>
        <v>625164</v>
      </c>
      <c r="C1353" s="2" t="s">
        <v>568</v>
      </c>
      <c r="D1353" s="2" t="str">
        <f t="shared" si="20"/>
        <v>Error?</v>
      </c>
    </row>
    <row r="1354" spans="1:4" x14ac:dyDescent="0.2">
      <c r="A1354" s="5">
        <v>1293</v>
      </c>
      <c r="B1354" s="1816">
        <f>'Expenditures 15-22'!F182</f>
        <v>85060</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85060</v>
      </c>
      <c r="C1358" s="2" t="s">
        <v>568</v>
      </c>
      <c r="D1358" s="2" t="str">
        <f t="shared" si="20"/>
        <v>Error?</v>
      </c>
    </row>
    <row r="1359" spans="1:4" x14ac:dyDescent="0.2">
      <c r="A1359" s="5">
        <v>1298</v>
      </c>
      <c r="B1359" s="1816">
        <f>'Expenditures 15-22'!F210</f>
        <v>85060</v>
      </c>
      <c r="C1359" s="2" t="s">
        <v>568</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568</v>
      </c>
      <c r="D1364" s="2" t="str">
        <f t="shared" si="20"/>
        <v>Error?</v>
      </c>
    </row>
    <row r="1365" spans="1:4" x14ac:dyDescent="0.2">
      <c r="A1365" s="5">
        <v>1304</v>
      </c>
      <c r="B1365" s="1816">
        <f>'Expenditures 15-22'!G210</f>
        <v>0</v>
      </c>
      <c r="C1365" s="2" t="s">
        <v>568</v>
      </c>
      <c r="D1365" s="2" t="str">
        <f t="shared" si="20"/>
        <v>Error?</v>
      </c>
    </row>
    <row r="1366" spans="1:4" x14ac:dyDescent="0.2">
      <c r="A1366" s="5">
        <v>1305</v>
      </c>
      <c r="B1366" s="1816">
        <f>'Expenditures 15-22'!H182</f>
        <v>1774</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1774</v>
      </c>
      <c r="C1370" s="2" t="s">
        <v>568</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568</v>
      </c>
      <c r="D1375" s="2" t="str">
        <f t="shared" si="20"/>
        <v>Error?</v>
      </c>
    </row>
    <row r="1376" spans="1:4" x14ac:dyDescent="0.2">
      <c r="A1376" s="5">
        <v>1315</v>
      </c>
      <c r="B1376" s="1816">
        <f>'Expenditures 15-22'!H210</f>
        <v>1774</v>
      </c>
      <c r="C1376" s="2" t="s">
        <v>568</v>
      </c>
      <c r="D1376" s="2" t="str">
        <f t="shared" si="20"/>
        <v>Error?</v>
      </c>
    </row>
    <row r="1377" spans="1:4" x14ac:dyDescent="0.2">
      <c r="A1377" s="5">
        <v>1316</v>
      </c>
      <c r="B1377" s="1816">
        <f>'Expenditures 15-22'!K182</f>
        <v>2054463</v>
      </c>
      <c r="C1377" s="2" t="s">
        <v>568</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568</v>
      </c>
      <c r="D1380" s="2" t="str">
        <f t="shared" si="20"/>
        <v>Error?</v>
      </c>
    </row>
    <row r="1381" spans="1:4" x14ac:dyDescent="0.2">
      <c r="A1381" s="5">
        <v>1320</v>
      </c>
      <c r="B1381" s="1816">
        <f>'Expenditures 15-22'!K184</f>
        <v>2054463</v>
      </c>
      <c r="C1381" s="2" t="s">
        <v>568</v>
      </c>
      <c r="D1381" s="2" t="str">
        <f t="shared" si="20"/>
        <v>Error?</v>
      </c>
    </row>
    <row r="1382" spans="1:4" x14ac:dyDescent="0.2">
      <c r="A1382" s="5">
        <v>1321</v>
      </c>
      <c r="B1382" s="1816">
        <f>'Expenditures 15-22'!K196</f>
        <v>0</v>
      </c>
      <c r="C1382" s="2" t="s">
        <v>568</v>
      </c>
      <c r="D1382" s="2" t="str">
        <f t="shared" si="20"/>
        <v>Error?</v>
      </c>
    </row>
    <row r="1383" spans="1:4" x14ac:dyDescent="0.2">
      <c r="A1383" s="5">
        <v>1322</v>
      </c>
      <c r="B1383" s="1816">
        <f>'Expenditures 15-22'!K199</f>
        <v>0</v>
      </c>
      <c r="C1383" s="2" t="s">
        <v>568</v>
      </c>
      <c r="D1383" s="2" t="str">
        <f t="shared" si="20"/>
        <v>Error?</v>
      </c>
    </row>
    <row r="1384" spans="1:4" x14ac:dyDescent="0.2">
      <c r="A1384" s="5">
        <v>1323</v>
      </c>
      <c r="B1384" s="1816">
        <f>'Expenditures 15-22'!K200</f>
        <v>0</v>
      </c>
      <c r="C1384" s="2" t="s">
        <v>568</v>
      </c>
      <c r="D1384" s="2" t="str">
        <f t="shared" si="20"/>
        <v>Error?</v>
      </c>
    </row>
    <row r="1385" spans="1:4" x14ac:dyDescent="0.2">
      <c r="A1385" s="5">
        <v>1324</v>
      </c>
      <c r="B1385" s="1816">
        <f>'Expenditures 15-22'!K203</f>
        <v>0</v>
      </c>
      <c r="C1385" s="2" t="s">
        <v>568</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568</v>
      </c>
      <c r="D1387" s="2" t="str">
        <f t="shared" si="20"/>
        <v>Error?</v>
      </c>
    </row>
    <row r="1388" spans="1:4" x14ac:dyDescent="0.2">
      <c r="A1388" s="5">
        <v>1327</v>
      </c>
      <c r="B1388" s="1816">
        <f>'Expenditures 15-22'!K210</f>
        <v>2054463</v>
      </c>
      <c r="C1388" s="2" t="s">
        <v>568</v>
      </c>
      <c r="D1388" s="2" t="str">
        <f t="shared" si="20"/>
        <v>Error?</v>
      </c>
    </row>
    <row r="1389" spans="1:4" x14ac:dyDescent="0.2">
      <c r="A1389" s="5">
        <v>1328</v>
      </c>
      <c r="B1389" s="1816">
        <f>'Expenditures 15-22'!K211</f>
        <v>97834</v>
      </c>
      <c r="C1389" s="2" t="s">
        <v>568</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5144</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10302</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0</v>
      </c>
      <c r="D1407" s="2" t="str">
        <f t="shared" ref="D1407:D1470" si="21">IF(ISBLANK(B1407),"OK",IF(A1407-B1407=0,"OK","Error?"))</f>
        <v>Error?</v>
      </c>
    </row>
    <row r="1408" spans="1:4" x14ac:dyDescent="0.2">
      <c r="A1408" s="5">
        <v>1347</v>
      </c>
      <c r="B1408" s="1816">
        <f>'Expenditures 15-22'!D223</f>
        <v>1656</v>
      </c>
      <c r="D1408" s="2" t="str">
        <f t="shared" si="21"/>
        <v>Error?</v>
      </c>
    </row>
    <row r="1409" spans="1:4" x14ac:dyDescent="0.2">
      <c r="A1409" s="5">
        <v>1348</v>
      </c>
      <c r="B1409" s="1816">
        <f>'Expenditures 15-22'!D224</f>
        <v>971</v>
      </c>
      <c r="D1409" s="2" t="str">
        <f t="shared" si="21"/>
        <v>Error?</v>
      </c>
    </row>
    <row r="1410" spans="1:4" x14ac:dyDescent="0.2">
      <c r="A1410" s="5">
        <v>1349</v>
      </c>
      <c r="B1410" s="1816">
        <f>'Expenditures 15-22'!D229</f>
        <v>364899</v>
      </c>
      <c r="C1410" s="2" t="s">
        <v>568</v>
      </c>
      <c r="D1410" s="2" t="str">
        <f t="shared" si="21"/>
        <v>Error?</v>
      </c>
    </row>
    <row r="1411" spans="1:4" x14ac:dyDescent="0.2">
      <c r="A1411" s="5">
        <v>1350</v>
      </c>
      <c r="B1411" s="1816">
        <f>'Expenditures 15-22'!D232</f>
        <v>3934</v>
      </c>
      <c r="D1411" s="2" t="str">
        <f t="shared" si="21"/>
        <v>Error?</v>
      </c>
    </row>
    <row r="1412" spans="1:4" x14ac:dyDescent="0.2">
      <c r="A1412" s="5">
        <v>1351</v>
      </c>
      <c r="B1412" s="1816">
        <f>'Expenditures 15-22'!D233</f>
        <v>0</v>
      </c>
      <c r="D1412" s="2" t="str">
        <f t="shared" si="21"/>
        <v>Error?</v>
      </c>
    </row>
    <row r="1413" spans="1:4" x14ac:dyDescent="0.2">
      <c r="A1413" s="5">
        <v>1352</v>
      </c>
      <c r="B1413" s="1816">
        <f>'Expenditures 15-22'!D234</f>
        <v>77789</v>
      </c>
      <c r="D1413" s="2" t="str">
        <f t="shared" si="21"/>
        <v>Error?</v>
      </c>
    </row>
    <row r="1414" spans="1:4" x14ac:dyDescent="0.2">
      <c r="A1414" s="5">
        <v>1353</v>
      </c>
      <c r="B1414" s="1816">
        <f>'Expenditures 15-22'!D235</f>
        <v>5365</v>
      </c>
      <c r="D1414" s="2" t="str">
        <f t="shared" si="21"/>
        <v>Error?</v>
      </c>
    </row>
    <row r="1415" spans="1:4" x14ac:dyDescent="0.2">
      <c r="A1415" s="5">
        <v>1354</v>
      </c>
      <c r="B1415" s="1816">
        <f>'Expenditures 15-22'!D236</f>
        <v>5397</v>
      </c>
      <c r="D1415" s="2" t="str">
        <f t="shared" si="21"/>
        <v>Error?</v>
      </c>
    </row>
    <row r="1416" spans="1:4" x14ac:dyDescent="0.2">
      <c r="A1416" s="5">
        <v>1355</v>
      </c>
      <c r="B1416" s="1816">
        <f>'Expenditures 15-22'!D237</f>
        <v>1095</v>
      </c>
      <c r="D1416" s="2" t="str">
        <f t="shared" si="21"/>
        <v>Error?</v>
      </c>
    </row>
    <row r="1417" spans="1:4" x14ac:dyDescent="0.2">
      <c r="A1417" s="5">
        <v>1356</v>
      </c>
      <c r="B1417" s="1816">
        <f>'Expenditures 15-22'!D238</f>
        <v>93580</v>
      </c>
      <c r="C1417" s="2" t="s">
        <v>568</v>
      </c>
      <c r="D1417" s="2" t="str">
        <f t="shared" si="21"/>
        <v>Error?</v>
      </c>
    </row>
    <row r="1418" spans="1:4" x14ac:dyDescent="0.2">
      <c r="A1418" s="5">
        <v>1357</v>
      </c>
      <c r="B1418" s="1816">
        <f>'Expenditures 15-22'!D240</f>
        <v>21788</v>
      </c>
      <c r="D1418" s="2" t="str">
        <f t="shared" si="21"/>
        <v>Error?</v>
      </c>
    </row>
    <row r="1419" spans="1:4" x14ac:dyDescent="0.2">
      <c r="A1419" s="5">
        <v>1358</v>
      </c>
      <c r="B1419" s="1816">
        <f>'Expenditures 15-22'!D241</f>
        <v>16547</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38335</v>
      </c>
      <c r="C1421" s="2" t="s">
        <v>568</v>
      </c>
      <c r="D1421" s="2" t="str">
        <f t="shared" si="21"/>
        <v>Error?</v>
      </c>
    </row>
    <row r="1422" spans="1:4" x14ac:dyDescent="0.2">
      <c r="A1422" s="5">
        <v>1361</v>
      </c>
      <c r="B1422" s="1816">
        <f>'Expenditures 15-22'!D245</f>
        <v>0</v>
      </c>
      <c r="D1422" s="2" t="str">
        <f t="shared" si="21"/>
        <v>Error?</v>
      </c>
    </row>
    <row r="1423" spans="1:4" x14ac:dyDescent="0.2">
      <c r="A1423" s="5">
        <v>1362</v>
      </c>
      <c r="B1423" s="1816">
        <f>'Expenditures 15-22'!D246</f>
        <v>18734</v>
      </c>
      <c r="D1423" s="2" t="str">
        <f t="shared" si="21"/>
        <v>Error?</v>
      </c>
    </row>
    <row r="1424" spans="1:4" x14ac:dyDescent="0.2">
      <c r="A1424" s="5">
        <v>1363</v>
      </c>
      <c r="B1424" s="1816">
        <f>'Expenditures 15-22'!D257</f>
        <v>33734</v>
      </c>
      <c r="C1424" s="2" t="s">
        <v>568</v>
      </c>
      <c r="D1424" s="2" t="str">
        <f t="shared" si="21"/>
        <v>Error?</v>
      </c>
    </row>
    <row r="1425" spans="1:4" x14ac:dyDescent="0.2">
      <c r="A1425" s="5">
        <v>1364</v>
      </c>
      <c r="B1425" s="1816">
        <f>'Expenditures 15-22'!D259</f>
        <v>84461</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84461</v>
      </c>
      <c r="C1427" s="2" t="s">
        <v>568</v>
      </c>
      <c r="D1427" s="2" t="str">
        <f t="shared" si="21"/>
        <v>Error?</v>
      </c>
    </row>
    <row r="1428" spans="1:4" x14ac:dyDescent="0.2">
      <c r="A1428" s="5">
        <v>1367</v>
      </c>
      <c r="B1428" s="1816">
        <f>'Expenditures 15-22'!D263</f>
        <v>2435</v>
      </c>
      <c r="D1428" s="2" t="str">
        <f t="shared" si="21"/>
        <v>Error?</v>
      </c>
    </row>
    <row r="1429" spans="1:4" x14ac:dyDescent="0.2">
      <c r="A1429" s="5">
        <v>1368</v>
      </c>
      <c r="B1429" s="1816">
        <f>'Expenditures 15-22'!D264</f>
        <v>55263</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173260</v>
      </c>
      <c r="D1431" s="2" t="str">
        <f t="shared" si="21"/>
        <v>Error?</v>
      </c>
    </row>
    <row r="1432" spans="1:4" x14ac:dyDescent="0.2">
      <c r="A1432" s="5">
        <v>1371</v>
      </c>
      <c r="B1432" s="1816">
        <f>'Expenditures 15-22'!D267</f>
        <v>178143</v>
      </c>
      <c r="D1432" s="2" t="str">
        <f t="shared" si="21"/>
        <v>Error?</v>
      </c>
    </row>
    <row r="1433" spans="1:4" x14ac:dyDescent="0.2">
      <c r="A1433" s="5">
        <v>1372</v>
      </c>
      <c r="B1433" s="1816">
        <f>'Expenditures 15-22'!D268</f>
        <v>3010</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412111</v>
      </c>
      <c r="C1436" s="2" t="s">
        <v>568</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14128</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57037</v>
      </c>
      <c r="D1442" s="2" t="str">
        <f t="shared" si="21"/>
        <v>Error?</v>
      </c>
    </row>
    <row r="1443" spans="1:4" x14ac:dyDescent="0.2">
      <c r="A1443" s="10">
        <v>1382</v>
      </c>
      <c r="B1443" s="1816"/>
      <c r="D1443" s="2" t="str">
        <f t="shared" si="21"/>
        <v>OK</v>
      </c>
    </row>
    <row r="1444" spans="1:4" x14ac:dyDescent="0.2">
      <c r="A1444" s="5">
        <v>1383</v>
      </c>
      <c r="B1444" s="1816">
        <f>'Expenditures 15-22'!D277</f>
        <v>71165</v>
      </c>
      <c r="C1444" s="2" t="s">
        <v>568</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733386</v>
      </c>
      <c r="C1446" s="2" t="s">
        <v>568</v>
      </c>
      <c r="D1446" s="2" t="str">
        <f t="shared" si="21"/>
        <v>Error?</v>
      </c>
    </row>
    <row r="1447" spans="1:4" x14ac:dyDescent="0.2">
      <c r="A1447" s="5">
        <v>1386</v>
      </c>
      <c r="B1447" s="1816">
        <f>'Expenditures 15-22'!D280</f>
        <v>38430</v>
      </c>
      <c r="D1447" s="2" t="str">
        <f t="shared" si="21"/>
        <v>Error?</v>
      </c>
    </row>
    <row r="1448" spans="1:4" x14ac:dyDescent="0.2">
      <c r="A1448" s="5">
        <v>1387</v>
      </c>
      <c r="B1448" s="1816">
        <f>'Expenditures 15-22'!D295</f>
        <v>1136715</v>
      </c>
      <c r="C1448" s="2" t="s">
        <v>568</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568</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568</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5144</v>
      </c>
      <c r="C1460" s="2" t="s">
        <v>568</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10302</v>
      </c>
      <c r="C1466" s="2" t="s">
        <v>568</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568</v>
      </c>
      <c r="D1470" s="2" t="str">
        <f t="shared" si="21"/>
        <v>Error?</v>
      </c>
    </row>
    <row r="1471" spans="1:4" x14ac:dyDescent="0.2">
      <c r="A1471" s="5">
        <v>1410</v>
      </c>
      <c r="B1471" s="1816">
        <f>'Expenditures 15-22'!K222</f>
        <v>0</v>
      </c>
      <c r="C1471" s="2" t="s">
        <v>568</v>
      </c>
      <c r="D1471" s="2" t="str">
        <f t="shared" ref="D1471:D1534" si="22">IF(ISBLANK(B1471),"OK",IF(A1471-B1471=0,"OK","Error?"))</f>
        <v>Error?</v>
      </c>
    </row>
    <row r="1472" spans="1:4" x14ac:dyDescent="0.2">
      <c r="A1472" s="5">
        <v>1411</v>
      </c>
      <c r="B1472" s="1816">
        <f>'Expenditures 15-22'!K223</f>
        <v>1656</v>
      </c>
      <c r="C1472" s="2" t="s">
        <v>568</v>
      </c>
      <c r="D1472" s="2" t="str">
        <f t="shared" si="22"/>
        <v>Error?</v>
      </c>
    </row>
    <row r="1473" spans="1:4" x14ac:dyDescent="0.2">
      <c r="A1473" s="5">
        <v>1412</v>
      </c>
      <c r="B1473" s="1816">
        <f>'Expenditures 15-22'!K224</f>
        <v>971</v>
      </c>
      <c r="C1473" s="2" t="s">
        <v>568</v>
      </c>
      <c r="D1473" s="2" t="str">
        <f t="shared" si="22"/>
        <v>Error?</v>
      </c>
    </row>
    <row r="1474" spans="1:4" x14ac:dyDescent="0.2">
      <c r="A1474" s="5">
        <v>1413</v>
      </c>
      <c r="B1474" s="1816">
        <f>'Expenditures 15-22'!K229</f>
        <v>364899</v>
      </c>
      <c r="C1474" s="2" t="s">
        <v>568</v>
      </c>
      <c r="D1474" s="2" t="str">
        <f t="shared" si="22"/>
        <v>Error?</v>
      </c>
    </row>
    <row r="1475" spans="1:4" x14ac:dyDescent="0.2">
      <c r="A1475" s="5">
        <v>1414</v>
      </c>
      <c r="B1475" s="1816">
        <f>'Expenditures 15-22'!K232</f>
        <v>3934</v>
      </c>
      <c r="C1475" s="2" t="s">
        <v>568</v>
      </c>
      <c r="D1475" s="2" t="str">
        <f t="shared" si="22"/>
        <v>Error?</v>
      </c>
    </row>
    <row r="1476" spans="1:4" x14ac:dyDescent="0.2">
      <c r="A1476" s="5">
        <v>1415</v>
      </c>
      <c r="B1476" s="1816">
        <f>'Expenditures 15-22'!K233</f>
        <v>0</v>
      </c>
      <c r="C1476" s="2" t="s">
        <v>568</v>
      </c>
      <c r="D1476" s="2" t="str">
        <f t="shared" si="22"/>
        <v>Error?</v>
      </c>
    </row>
    <row r="1477" spans="1:4" x14ac:dyDescent="0.2">
      <c r="A1477" s="5">
        <v>1416</v>
      </c>
      <c r="B1477" s="1816">
        <f>'Expenditures 15-22'!K234</f>
        <v>77789</v>
      </c>
      <c r="C1477" s="2" t="s">
        <v>568</v>
      </c>
      <c r="D1477" s="2" t="str">
        <f t="shared" si="22"/>
        <v>Error?</v>
      </c>
    </row>
    <row r="1478" spans="1:4" x14ac:dyDescent="0.2">
      <c r="A1478" s="5">
        <v>1417</v>
      </c>
      <c r="B1478" s="1816">
        <f>'Expenditures 15-22'!K235</f>
        <v>5365</v>
      </c>
      <c r="C1478" s="2" t="s">
        <v>568</v>
      </c>
      <c r="D1478" s="2" t="str">
        <f t="shared" si="22"/>
        <v>Error?</v>
      </c>
    </row>
    <row r="1479" spans="1:4" x14ac:dyDescent="0.2">
      <c r="A1479" s="5">
        <v>1418</v>
      </c>
      <c r="B1479" s="1816">
        <f>'Expenditures 15-22'!K236</f>
        <v>5397</v>
      </c>
      <c r="C1479" s="2" t="s">
        <v>568</v>
      </c>
      <c r="D1479" s="2" t="str">
        <f t="shared" si="22"/>
        <v>Error?</v>
      </c>
    </row>
    <row r="1480" spans="1:4" x14ac:dyDescent="0.2">
      <c r="A1480" s="5">
        <v>1419</v>
      </c>
      <c r="B1480" s="1816">
        <f>'Expenditures 15-22'!K237</f>
        <v>1095</v>
      </c>
      <c r="C1480" s="2" t="s">
        <v>568</v>
      </c>
      <c r="D1480" s="2" t="str">
        <f t="shared" si="22"/>
        <v>Error?</v>
      </c>
    </row>
    <row r="1481" spans="1:4" x14ac:dyDescent="0.2">
      <c r="A1481" s="5">
        <v>1420</v>
      </c>
      <c r="B1481" s="1816">
        <f>'Expenditures 15-22'!K238</f>
        <v>93580</v>
      </c>
      <c r="C1481" s="2" t="s">
        <v>568</v>
      </c>
      <c r="D1481" s="2" t="str">
        <f t="shared" si="22"/>
        <v>Error?</v>
      </c>
    </row>
    <row r="1482" spans="1:4" x14ac:dyDescent="0.2">
      <c r="A1482" s="5">
        <v>1421</v>
      </c>
      <c r="B1482" s="1816">
        <f>'Expenditures 15-22'!K240</f>
        <v>21788</v>
      </c>
      <c r="C1482" s="2" t="s">
        <v>568</v>
      </c>
      <c r="D1482" s="2" t="str">
        <f t="shared" si="22"/>
        <v>Error?</v>
      </c>
    </row>
    <row r="1483" spans="1:4" x14ac:dyDescent="0.2">
      <c r="A1483" s="5">
        <v>1422</v>
      </c>
      <c r="B1483" s="1816">
        <f>'Expenditures 15-22'!K241</f>
        <v>16547</v>
      </c>
      <c r="C1483" s="2" t="s">
        <v>568</v>
      </c>
      <c r="D1483" s="2" t="str">
        <f t="shared" si="22"/>
        <v>Error?</v>
      </c>
    </row>
    <row r="1484" spans="1:4" x14ac:dyDescent="0.2">
      <c r="A1484" s="5">
        <v>1423</v>
      </c>
      <c r="B1484" s="1816">
        <f>'Expenditures 15-22'!K242</f>
        <v>0</v>
      </c>
      <c r="C1484" s="2" t="s">
        <v>568</v>
      </c>
      <c r="D1484" s="2" t="str">
        <f t="shared" si="22"/>
        <v>Error?</v>
      </c>
    </row>
    <row r="1485" spans="1:4" x14ac:dyDescent="0.2">
      <c r="A1485" s="5">
        <v>1424</v>
      </c>
      <c r="B1485" s="1816">
        <f>'Expenditures 15-22'!K243</f>
        <v>38335</v>
      </c>
      <c r="C1485" s="2" t="s">
        <v>568</v>
      </c>
      <c r="D1485" s="2" t="str">
        <f t="shared" si="22"/>
        <v>Error?</v>
      </c>
    </row>
    <row r="1486" spans="1:4" x14ac:dyDescent="0.2">
      <c r="A1486" s="5">
        <v>1425</v>
      </c>
      <c r="B1486" s="1816">
        <f>'Expenditures 15-22'!K245</f>
        <v>0</v>
      </c>
      <c r="C1486" s="2" t="s">
        <v>568</v>
      </c>
      <c r="D1486" s="2" t="str">
        <f t="shared" si="22"/>
        <v>Error?</v>
      </c>
    </row>
    <row r="1487" spans="1:4" x14ac:dyDescent="0.2">
      <c r="A1487" s="5">
        <v>1426</v>
      </c>
      <c r="B1487" s="1816">
        <f>'Expenditures 15-22'!K246</f>
        <v>18734</v>
      </c>
      <c r="C1487" s="2" t="s">
        <v>568</v>
      </c>
      <c r="D1487" s="2" t="str">
        <f t="shared" si="22"/>
        <v>Error?</v>
      </c>
    </row>
    <row r="1488" spans="1:4" x14ac:dyDescent="0.2">
      <c r="A1488" s="5">
        <v>1427</v>
      </c>
      <c r="B1488" s="1816">
        <f>'Expenditures 15-22'!K257</f>
        <v>33734</v>
      </c>
      <c r="C1488" s="2" t="s">
        <v>568</v>
      </c>
      <c r="D1488" s="2" t="str">
        <f t="shared" si="22"/>
        <v>Error?</v>
      </c>
    </row>
    <row r="1489" spans="1:4" x14ac:dyDescent="0.2">
      <c r="A1489" s="5">
        <v>1428</v>
      </c>
      <c r="B1489" s="1816">
        <f>'Expenditures 15-22'!K259</f>
        <v>84461</v>
      </c>
      <c r="C1489" s="2" t="s">
        <v>568</v>
      </c>
      <c r="D1489" s="2" t="str">
        <f t="shared" si="22"/>
        <v>Error?</v>
      </c>
    </row>
    <row r="1490" spans="1:4" x14ac:dyDescent="0.2">
      <c r="A1490" s="5">
        <v>1429</v>
      </c>
      <c r="B1490" s="1816">
        <f>'Expenditures 15-22'!K260</f>
        <v>0</v>
      </c>
      <c r="C1490" s="2" t="s">
        <v>568</v>
      </c>
      <c r="D1490" s="2" t="str">
        <f t="shared" si="22"/>
        <v>Error?</v>
      </c>
    </row>
    <row r="1491" spans="1:4" x14ac:dyDescent="0.2">
      <c r="A1491" s="5">
        <v>1430</v>
      </c>
      <c r="B1491" s="1816">
        <f>'Expenditures 15-22'!K261</f>
        <v>84461</v>
      </c>
      <c r="C1491" s="2" t="s">
        <v>568</v>
      </c>
      <c r="D1491" s="2" t="str">
        <f t="shared" si="22"/>
        <v>Error?</v>
      </c>
    </row>
    <row r="1492" spans="1:4" x14ac:dyDescent="0.2">
      <c r="A1492" s="5">
        <v>1431</v>
      </c>
      <c r="B1492" s="1816">
        <f>'Expenditures 15-22'!K263</f>
        <v>2435</v>
      </c>
      <c r="C1492" s="2" t="s">
        <v>568</v>
      </c>
      <c r="D1492" s="2" t="str">
        <f t="shared" si="22"/>
        <v>Error?</v>
      </c>
    </row>
    <row r="1493" spans="1:4" x14ac:dyDescent="0.2">
      <c r="A1493" s="5">
        <v>1432</v>
      </c>
      <c r="B1493" s="1816">
        <f>'Expenditures 15-22'!K264</f>
        <v>55263</v>
      </c>
      <c r="C1493" s="2" t="s">
        <v>568</v>
      </c>
      <c r="D1493" s="2" t="str">
        <f t="shared" si="22"/>
        <v>Error?</v>
      </c>
    </row>
    <row r="1494" spans="1:4" x14ac:dyDescent="0.2">
      <c r="A1494" s="5">
        <v>1433</v>
      </c>
      <c r="B1494" s="1816">
        <f>'Expenditures 15-22'!K265</f>
        <v>0</v>
      </c>
      <c r="C1494" s="2" t="s">
        <v>568</v>
      </c>
      <c r="D1494" s="2" t="str">
        <f t="shared" si="22"/>
        <v>Error?</v>
      </c>
    </row>
    <row r="1495" spans="1:4" x14ac:dyDescent="0.2">
      <c r="A1495" s="5">
        <v>1434</v>
      </c>
      <c r="B1495" s="1816">
        <f>'Expenditures 15-22'!K266</f>
        <v>173260</v>
      </c>
      <c r="C1495" s="2" t="s">
        <v>568</v>
      </c>
      <c r="D1495" s="2" t="str">
        <f t="shared" si="22"/>
        <v>Error?</v>
      </c>
    </row>
    <row r="1496" spans="1:4" x14ac:dyDescent="0.2">
      <c r="A1496" s="5">
        <v>1435</v>
      </c>
      <c r="B1496" s="1816">
        <f>'Expenditures 15-22'!K267</f>
        <v>178143</v>
      </c>
      <c r="C1496" s="2" t="s">
        <v>568</v>
      </c>
      <c r="D1496" s="2" t="str">
        <f t="shared" si="22"/>
        <v>Error?</v>
      </c>
    </row>
    <row r="1497" spans="1:4" x14ac:dyDescent="0.2">
      <c r="A1497" s="5">
        <v>1436</v>
      </c>
      <c r="B1497" s="1816">
        <f>'Expenditures 15-22'!K268</f>
        <v>3010</v>
      </c>
      <c r="C1497" s="2" t="s">
        <v>568</v>
      </c>
      <c r="D1497" s="2" t="str">
        <f t="shared" si="22"/>
        <v>Error?</v>
      </c>
    </row>
    <row r="1498" spans="1:4" x14ac:dyDescent="0.2">
      <c r="A1498" s="5">
        <v>1437</v>
      </c>
      <c r="B1498" s="1816">
        <f>'Expenditures 15-22'!K269</f>
        <v>0</v>
      </c>
      <c r="C1498" s="2" t="s">
        <v>568</v>
      </c>
      <c r="D1498" s="2" t="str">
        <f t="shared" si="22"/>
        <v>Error?</v>
      </c>
    </row>
    <row r="1499" spans="1:4" x14ac:dyDescent="0.2">
      <c r="A1499" s="10">
        <v>1438</v>
      </c>
      <c r="B1499" s="1816"/>
      <c r="D1499" s="2" t="str">
        <f t="shared" si="22"/>
        <v>OK</v>
      </c>
    </row>
    <row r="1500" spans="1:4" x14ac:dyDescent="0.2">
      <c r="A1500" s="5">
        <v>1439</v>
      </c>
      <c r="B1500" s="1816">
        <f>'Expenditures 15-22'!K270</f>
        <v>412111</v>
      </c>
      <c r="C1500" s="2" t="s">
        <v>568</v>
      </c>
      <c r="D1500" s="2" t="str">
        <f t="shared" si="22"/>
        <v>Error?</v>
      </c>
    </row>
    <row r="1501" spans="1:4" x14ac:dyDescent="0.2">
      <c r="A1501" s="5">
        <v>1440</v>
      </c>
      <c r="B1501" s="1816">
        <f>'Expenditures 15-22'!K272</f>
        <v>0</v>
      </c>
      <c r="C1501" s="2" t="s">
        <v>568</v>
      </c>
      <c r="D1501" s="2" t="str">
        <f t="shared" si="22"/>
        <v>Error?</v>
      </c>
    </row>
    <row r="1502" spans="1:4" x14ac:dyDescent="0.2">
      <c r="A1502" s="5">
        <v>1441</v>
      </c>
      <c r="B1502" s="1816">
        <f>'Expenditures 15-22'!K273</f>
        <v>0</v>
      </c>
      <c r="C1502" s="2" t="s">
        <v>568</v>
      </c>
      <c r="D1502" s="2" t="str">
        <f t="shared" si="22"/>
        <v>Error?</v>
      </c>
    </row>
    <row r="1503" spans="1:4" x14ac:dyDescent="0.2">
      <c r="A1503" s="5">
        <v>1442</v>
      </c>
      <c r="B1503" s="1816">
        <f>'Expenditures 15-22'!K274</f>
        <v>14128</v>
      </c>
      <c r="C1503" s="2" t="s">
        <v>568</v>
      </c>
      <c r="D1503" s="2" t="str">
        <f t="shared" si="22"/>
        <v>Error?</v>
      </c>
    </row>
    <row r="1504" spans="1:4" x14ac:dyDescent="0.2">
      <c r="A1504" s="5">
        <v>1443</v>
      </c>
      <c r="B1504" s="1816">
        <f>'Expenditures 15-22'!K275</f>
        <v>0</v>
      </c>
      <c r="C1504" s="2" t="s">
        <v>568</v>
      </c>
      <c r="D1504" s="2" t="str">
        <f t="shared" si="22"/>
        <v>Error?</v>
      </c>
    </row>
    <row r="1505" spans="1:4" x14ac:dyDescent="0.2">
      <c r="A1505" s="10">
        <v>1444</v>
      </c>
      <c r="B1505" s="1816"/>
      <c r="D1505" s="2" t="str">
        <f t="shared" si="22"/>
        <v>OK</v>
      </c>
    </row>
    <row r="1506" spans="1:4" x14ac:dyDescent="0.2">
      <c r="A1506" s="5">
        <v>1445</v>
      </c>
      <c r="B1506" s="1816">
        <f>'Expenditures 15-22'!K276</f>
        <v>57037</v>
      </c>
      <c r="C1506" s="2" t="s">
        <v>568</v>
      </c>
      <c r="D1506" s="2" t="str">
        <f t="shared" si="22"/>
        <v>Error?</v>
      </c>
    </row>
    <row r="1507" spans="1:4" x14ac:dyDescent="0.2">
      <c r="A1507" s="10">
        <v>1446</v>
      </c>
      <c r="B1507" s="1816"/>
      <c r="D1507" s="2" t="str">
        <f t="shared" si="22"/>
        <v>OK</v>
      </c>
    </row>
    <row r="1508" spans="1:4" x14ac:dyDescent="0.2">
      <c r="A1508" s="5">
        <v>1447</v>
      </c>
      <c r="B1508" s="1816">
        <f>'Expenditures 15-22'!K277</f>
        <v>71165</v>
      </c>
      <c r="C1508" s="2" t="s">
        <v>568</v>
      </c>
      <c r="D1508" s="2" t="str">
        <f t="shared" si="22"/>
        <v>Error?</v>
      </c>
    </row>
    <row r="1509" spans="1:4" x14ac:dyDescent="0.2">
      <c r="A1509" s="5">
        <v>1448</v>
      </c>
      <c r="B1509" s="1816">
        <f>'Expenditures 15-22'!K278</f>
        <v>0</v>
      </c>
      <c r="C1509" s="2" t="s">
        <v>568</v>
      </c>
      <c r="D1509" s="2" t="str">
        <f t="shared" si="22"/>
        <v>Error?</v>
      </c>
    </row>
    <row r="1510" spans="1:4" x14ac:dyDescent="0.2">
      <c r="A1510" s="5">
        <v>1449</v>
      </c>
      <c r="B1510" s="1816">
        <f>'Expenditures 15-22'!K279</f>
        <v>733386</v>
      </c>
      <c r="C1510" s="2" t="s">
        <v>568</v>
      </c>
      <c r="D1510" s="2" t="str">
        <f t="shared" si="22"/>
        <v>Error?</v>
      </c>
    </row>
    <row r="1511" spans="1:4" x14ac:dyDescent="0.2">
      <c r="A1511" s="5">
        <v>1450</v>
      </c>
      <c r="B1511" s="1816">
        <f>'Expenditures 15-22'!K280</f>
        <v>38430</v>
      </c>
      <c r="C1511" s="2" t="s">
        <v>568</v>
      </c>
      <c r="D1511" s="2" t="str">
        <f t="shared" si="22"/>
        <v>Error?</v>
      </c>
    </row>
    <row r="1512" spans="1:4" x14ac:dyDescent="0.2">
      <c r="A1512" s="5">
        <v>1451</v>
      </c>
      <c r="B1512" s="1816">
        <f>'Expenditures 15-22'!K288</f>
        <v>0</v>
      </c>
      <c r="C1512" s="2" t="s">
        <v>568</v>
      </c>
      <c r="D1512" s="2" t="str">
        <f t="shared" si="22"/>
        <v>Error?</v>
      </c>
    </row>
    <row r="1513" spans="1:4" x14ac:dyDescent="0.2">
      <c r="A1513" s="5">
        <v>1452</v>
      </c>
      <c r="B1513" s="1816">
        <f>'Expenditures 15-22'!K289</f>
        <v>0</v>
      </c>
      <c r="C1513" s="2" t="s">
        <v>568</v>
      </c>
      <c r="D1513" s="2" t="str">
        <f t="shared" si="22"/>
        <v>Error?</v>
      </c>
    </row>
    <row r="1514" spans="1:4" x14ac:dyDescent="0.2">
      <c r="A1514" s="5">
        <v>1453</v>
      </c>
      <c r="B1514" s="1816">
        <f>'Expenditures 15-22'!K292</f>
        <v>0</v>
      </c>
      <c r="C1514" s="2" t="s">
        <v>568</v>
      </c>
      <c r="D1514" s="2" t="str">
        <f t="shared" si="22"/>
        <v>Error?</v>
      </c>
    </row>
    <row r="1515" spans="1:4" x14ac:dyDescent="0.2">
      <c r="A1515" s="5">
        <v>1454</v>
      </c>
      <c r="B1515" s="1816">
        <f>'Expenditures 15-22'!K293</f>
        <v>0</v>
      </c>
      <c r="C1515" s="2" t="s">
        <v>568</v>
      </c>
      <c r="D1515" s="2" t="str">
        <f t="shared" si="22"/>
        <v>Error?</v>
      </c>
    </row>
    <row r="1516" spans="1:4" x14ac:dyDescent="0.2">
      <c r="A1516" s="10">
        <v>1455</v>
      </c>
      <c r="B1516" s="1816"/>
      <c r="D1516" s="2" t="str">
        <f t="shared" si="22"/>
        <v>OK</v>
      </c>
    </row>
    <row r="1517" spans="1:4" x14ac:dyDescent="0.2">
      <c r="A1517" s="5">
        <v>1456</v>
      </c>
      <c r="B1517" s="1816">
        <f>'Expenditures 15-22'!K295</f>
        <v>1136715</v>
      </c>
      <c r="C1517" s="2" t="s">
        <v>568</v>
      </c>
      <c r="D1517" s="2" t="str">
        <f t="shared" si="22"/>
        <v>Error?</v>
      </c>
    </row>
    <row r="1518" spans="1:4" x14ac:dyDescent="0.2">
      <c r="A1518" s="5">
        <v>1457</v>
      </c>
      <c r="B1518" s="1816">
        <f>'Expenditures 15-22'!K296</f>
        <v>69831</v>
      </c>
      <c r="C1518" s="2" t="s">
        <v>568</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568</v>
      </c>
      <c r="D1523" s="2" t="str">
        <f t="shared" si="22"/>
        <v>Error?</v>
      </c>
    </row>
    <row r="1524" spans="1:4" x14ac:dyDescent="0.2">
      <c r="A1524" s="5">
        <v>1463</v>
      </c>
      <c r="B1524" s="1816">
        <f>'Expenditures 15-22'!C312</f>
        <v>0</v>
      </c>
      <c r="C1524" s="2" t="s">
        <v>568</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568</v>
      </c>
      <c r="D1529" s="2" t="str">
        <f t="shared" si="22"/>
        <v>Error?</v>
      </c>
    </row>
    <row r="1530" spans="1:4" x14ac:dyDescent="0.2">
      <c r="A1530" s="5">
        <v>1469</v>
      </c>
      <c r="B1530" s="1816">
        <f>'Expenditures 15-22'!D312</f>
        <v>0</v>
      </c>
      <c r="C1530" s="2" t="s">
        <v>568</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568</v>
      </c>
      <c r="D1535" s="2" t="str">
        <f t="shared" ref="D1535:D1598" si="23">IF(ISBLANK(B1535),"OK",IF(A1535-B1535=0,"OK","Error?"))</f>
        <v>Error?</v>
      </c>
    </row>
    <row r="1536" spans="1:4" x14ac:dyDescent="0.2">
      <c r="A1536" s="5">
        <v>1475</v>
      </c>
      <c r="B1536" s="1816">
        <f>'Expenditures 15-22'!E312</f>
        <v>0</v>
      </c>
      <c r="C1536" s="2" t="s">
        <v>568</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568</v>
      </c>
      <c r="D1541" s="2" t="str">
        <f t="shared" si="23"/>
        <v>Error?</v>
      </c>
    </row>
    <row r="1542" spans="1:4" x14ac:dyDescent="0.2">
      <c r="A1542" s="5">
        <v>1481</v>
      </c>
      <c r="B1542" s="1816">
        <f>'Expenditures 15-22'!F312</f>
        <v>0</v>
      </c>
      <c r="C1542" s="2" t="s">
        <v>568</v>
      </c>
      <c r="D1542" s="2" t="str">
        <f t="shared" si="23"/>
        <v>Error?</v>
      </c>
    </row>
    <row r="1543" spans="1:4" x14ac:dyDescent="0.2">
      <c r="A1543" s="5">
        <v>1482</v>
      </c>
      <c r="B1543" s="1816">
        <f>'Expenditures 15-22'!G301</f>
        <v>3923539</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3923539</v>
      </c>
      <c r="C1547" s="2" t="s">
        <v>568</v>
      </c>
      <c r="D1547" s="2" t="str">
        <f t="shared" si="23"/>
        <v>Error?</v>
      </c>
    </row>
    <row r="1548" spans="1:4" x14ac:dyDescent="0.2">
      <c r="A1548" s="5">
        <v>1487</v>
      </c>
      <c r="B1548" s="1816">
        <f>'Expenditures 15-22'!G312</f>
        <v>3923539</v>
      </c>
      <c r="C1548" s="2" t="s">
        <v>568</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568</v>
      </c>
      <c r="D1553" s="2" t="str">
        <f t="shared" si="23"/>
        <v>Error?</v>
      </c>
    </row>
    <row r="1554" spans="1:4" x14ac:dyDescent="0.2">
      <c r="A1554" s="5">
        <v>1493</v>
      </c>
      <c r="B1554" s="1816">
        <f>'Expenditures 15-22'!H312</f>
        <v>0</v>
      </c>
      <c r="C1554" s="2" t="s">
        <v>568</v>
      </c>
      <c r="D1554" s="2" t="str">
        <f t="shared" si="23"/>
        <v>Error?</v>
      </c>
    </row>
    <row r="1555" spans="1:4" x14ac:dyDescent="0.2">
      <c r="A1555" s="5">
        <v>1494</v>
      </c>
      <c r="B1555" s="1816">
        <f>'Expenditures 15-22'!K301</f>
        <v>3923539</v>
      </c>
      <c r="C1555" s="2" t="s">
        <v>568</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568</v>
      </c>
      <c r="D1558" s="2" t="str">
        <f t="shared" si="23"/>
        <v>Error?</v>
      </c>
    </row>
    <row r="1559" spans="1:4" x14ac:dyDescent="0.2">
      <c r="A1559" s="5">
        <v>1498</v>
      </c>
      <c r="B1559" s="1816">
        <f>'Expenditures 15-22'!K303</f>
        <v>3923539</v>
      </c>
      <c r="C1559" s="2" t="s">
        <v>568</v>
      </c>
      <c r="D1559" s="2" t="str">
        <f t="shared" si="23"/>
        <v>Error?</v>
      </c>
    </row>
    <row r="1560" spans="1:4" x14ac:dyDescent="0.2">
      <c r="A1560" s="5">
        <v>1499</v>
      </c>
      <c r="B1560" s="1816">
        <f>'Expenditures 15-22'!K312</f>
        <v>3923539</v>
      </c>
      <c r="C1560" s="2" t="s">
        <v>568</v>
      </c>
      <c r="D1560" s="2" t="str">
        <f t="shared" si="23"/>
        <v>Error?</v>
      </c>
    </row>
    <row r="1561" spans="1:4" x14ac:dyDescent="0.2">
      <c r="A1561" s="5">
        <v>1500</v>
      </c>
      <c r="B1561" s="1816">
        <f>'Expenditures 15-22'!K313</f>
        <v>-3923539</v>
      </c>
      <c r="C1561" s="2" t="s">
        <v>568</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568</v>
      </c>
      <c r="D1569" s="2" t="str">
        <f t="shared" si="23"/>
        <v>OK</v>
      </c>
    </row>
    <row r="1570" spans="1:4" x14ac:dyDescent="0.2">
      <c r="A1570" s="10">
        <v>1509</v>
      </c>
      <c r="B1570" s="1816"/>
      <c r="C1570" s="2" t="s">
        <v>568</v>
      </c>
      <c r="D1570" s="2" t="str">
        <f t="shared" si="23"/>
        <v>OK</v>
      </c>
    </row>
    <row r="1571" spans="1:4" x14ac:dyDescent="0.2">
      <c r="A1571" s="10">
        <v>1510</v>
      </c>
      <c r="B1571" s="1816"/>
      <c r="D1571" s="2" t="str">
        <f t="shared" si="23"/>
        <v>OK</v>
      </c>
    </row>
    <row r="1572" spans="1:4" x14ac:dyDescent="0.2">
      <c r="A1572" s="10">
        <v>1511</v>
      </c>
      <c r="B1572" s="1816"/>
      <c r="C1572" s="2" t="s">
        <v>568</v>
      </c>
      <c r="D1572" s="2" t="str">
        <f t="shared" si="23"/>
        <v>OK</v>
      </c>
    </row>
    <row r="1573" spans="1:4" x14ac:dyDescent="0.2">
      <c r="A1573" s="10">
        <v>1512</v>
      </c>
      <c r="B1573" s="1816"/>
      <c r="C1573" s="2" t="s">
        <v>568</v>
      </c>
      <c r="D1573" s="2" t="str">
        <f t="shared" si="23"/>
        <v>OK</v>
      </c>
    </row>
    <row r="1574" spans="1:4" x14ac:dyDescent="0.2">
      <c r="A1574" s="10">
        <v>1513</v>
      </c>
      <c r="B1574" s="1816"/>
      <c r="C1574" s="2" t="s">
        <v>568</v>
      </c>
      <c r="D1574" s="2" t="str">
        <f t="shared" si="23"/>
        <v>OK</v>
      </c>
    </row>
    <row r="1575" spans="1:4" x14ac:dyDescent="0.2">
      <c r="A1575" s="10">
        <v>1514</v>
      </c>
      <c r="B1575" s="1816"/>
      <c r="C1575" s="2" t="s">
        <v>568</v>
      </c>
      <c r="D1575" s="2" t="str">
        <f t="shared" si="23"/>
        <v>OK</v>
      </c>
    </row>
    <row r="1576" spans="1:4" x14ac:dyDescent="0.2">
      <c r="A1576" s="10">
        <v>1515</v>
      </c>
      <c r="B1576" s="1816"/>
      <c r="C1576" s="2" t="s">
        <v>568</v>
      </c>
      <c r="D1576" s="2" t="str">
        <f t="shared" si="23"/>
        <v>OK</v>
      </c>
    </row>
    <row r="1577" spans="1:4" x14ac:dyDescent="0.2">
      <c r="A1577" s="10">
        <v>1516</v>
      </c>
      <c r="B1577" s="1816"/>
      <c r="C1577" s="2" t="s">
        <v>568</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23821455</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19418097</v>
      </c>
      <c r="C1630" s="2" t="s">
        <v>568</v>
      </c>
      <c r="D1630" s="2" t="str">
        <f t="shared" si="24"/>
        <v>Error?</v>
      </c>
    </row>
    <row r="1631" spans="1:4" x14ac:dyDescent="0.2">
      <c r="A1631" s="5">
        <v>1570</v>
      </c>
      <c r="B1631" s="1816">
        <f>'Acct Summary 7-8'!D79</f>
        <v>912042</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636342</v>
      </c>
      <c r="C1644" s="2" t="s">
        <v>568</v>
      </c>
      <c r="D1644" s="2" t="str">
        <f t="shared" si="24"/>
        <v>Error?</v>
      </c>
    </row>
    <row r="1645" spans="1:4" x14ac:dyDescent="0.2">
      <c r="A1645" s="5">
        <v>1584</v>
      </c>
      <c r="B1645" s="1816">
        <f>'Acct Summary 7-8'!E79</f>
        <v>86517</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3273</v>
      </c>
      <c r="C1658" s="2" t="s">
        <v>568</v>
      </c>
      <c r="D1658" s="2" t="str">
        <f t="shared" si="24"/>
        <v>Error?</v>
      </c>
    </row>
    <row r="1659" spans="1:4" x14ac:dyDescent="0.2">
      <c r="A1659" s="5">
        <v>1598</v>
      </c>
      <c r="B1659" s="1816">
        <f>'Acct Summary 7-8'!F79</f>
        <v>1735596</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1833430</v>
      </c>
      <c r="C1672" s="2" t="s">
        <v>568</v>
      </c>
      <c r="D1672" s="2" t="str">
        <f t="shared" si="25"/>
        <v>Error?</v>
      </c>
    </row>
    <row r="1673" spans="1:4" x14ac:dyDescent="0.2">
      <c r="A1673" s="5">
        <v>1612</v>
      </c>
      <c r="B1673" s="1816">
        <f>'Acct Summary 7-8'!G79</f>
        <v>808676</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878507</v>
      </c>
      <c r="C1686" s="2" t="s">
        <v>568</v>
      </c>
      <c r="D1686" s="2" t="str">
        <f t="shared" si="25"/>
        <v>Error?</v>
      </c>
    </row>
    <row r="1687" spans="1:4" x14ac:dyDescent="0.2">
      <c r="A1687" s="5">
        <v>1626</v>
      </c>
      <c r="B1687" s="1816">
        <f>'Acct Summary 7-8'!H79</f>
        <v>788</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2249</v>
      </c>
      <c r="C1700" s="2" t="s">
        <v>568</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568</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22979324</v>
      </c>
      <c r="C1744" s="2" t="s">
        <v>568</v>
      </c>
      <c r="D1744" s="2" t="str">
        <f t="shared" si="26"/>
        <v>Error?</v>
      </c>
    </row>
    <row r="1745" spans="1:5" x14ac:dyDescent="0.2">
      <c r="A1745" s="5">
        <v>1684</v>
      </c>
      <c r="B1745" s="1816">
        <f>'Tax Sched 23'!B5</f>
        <v>1699378</v>
      </c>
      <c r="C1745" s="2" t="s">
        <v>568</v>
      </c>
      <c r="D1745" s="2" t="str">
        <f t="shared" si="26"/>
        <v>Error?</v>
      </c>
    </row>
    <row r="1746" spans="1:5" x14ac:dyDescent="0.2">
      <c r="A1746" s="5">
        <v>1685</v>
      </c>
      <c r="B1746" s="1816">
        <f>'Tax Sched 23'!B6</f>
        <v>359078</v>
      </c>
      <c r="C1746" s="2" t="s">
        <v>568</v>
      </c>
      <c r="D1746" s="2" t="str">
        <f t="shared" si="26"/>
        <v>Error?</v>
      </c>
    </row>
    <row r="1747" spans="1:5" x14ac:dyDescent="0.2">
      <c r="A1747" s="5">
        <v>1686</v>
      </c>
      <c r="B1747" s="1816">
        <f>'Tax Sched 23'!B7</f>
        <v>1307666</v>
      </c>
      <c r="C1747" s="2" t="s">
        <v>568</v>
      </c>
      <c r="D1747" s="2" t="str">
        <f t="shared" si="26"/>
        <v>Error?</v>
      </c>
    </row>
    <row r="1748" spans="1:5" x14ac:dyDescent="0.2">
      <c r="A1748" s="5">
        <v>1687</v>
      </c>
      <c r="B1748" s="1816">
        <f>'Tax Sched 23'!B8</f>
        <v>506119</v>
      </c>
      <c r="C1748" s="2" t="s">
        <v>568</v>
      </c>
      <c r="D1748" s="2" t="str">
        <f t="shared" si="26"/>
        <v>Error?</v>
      </c>
    </row>
    <row r="1749" spans="1:5" x14ac:dyDescent="0.2">
      <c r="A1749" s="5">
        <v>1688</v>
      </c>
      <c r="B1749" s="1816">
        <f>'Tax Sched 23'!B10</f>
        <v>0</v>
      </c>
      <c r="C1749" s="2" t="s">
        <v>568</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568</v>
      </c>
      <c r="D1751" s="2" t="str">
        <f t="shared" si="26"/>
        <v>Error?</v>
      </c>
    </row>
    <row r="1752" spans="1:5" x14ac:dyDescent="0.2">
      <c r="A1752" s="5">
        <v>1691</v>
      </c>
      <c r="B1752" s="1816">
        <f>'Tax Sched 23'!B11</f>
        <v>0</v>
      </c>
      <c r="C1752" s="2" t="s">
        <v>568</v>
      </c>
      <c r="D1752" s="2" t="str">
        <f t="shared" si="26"/>
        <v>Error?</v>
      </c>
    </row>
    <row r="1753" spans="1:5" x14ac:dyDescent="0.2">
      <c r="A1753" s="5">
        <v>1692</v>
      </c>
      <c r="B1753" s="1816">
        <f>'Tax Sched 23'!B12</f>
        <v>0</v>
      </c>
      <c r="C1753" s="2" t="s">
        <v>568</v>
      </c>
      <c r="D1753" s="2" t="str">
        <f t="shared" si="26"/>
        <v>Error?</v>
      </c>
    </row>
    <row r="1754" spans="1:5" x14ac:dyDescent="0.2">
      <c r="A1754" s="5">
        <v>1693</v>
      </c>
      <c r="B1754" s="1816">
        <f>'Tax Sched 23'!B14</f>
        <v>0</v>
      </c>
      <c r="C1754" s="2" t="s">
        <v>568</v>
      </c>
      <c r="D1754" s="2" t="str">
        <f t="shared" si="26"/>
        <v>Error?</v>
      </c>
    </row>
    <row r="1755" spans="1:5" x14ac:dyDescent="0.2">
      <c r="A1755" s="10">
        <v>1694</v>
      </c>
      <c r="B1755" s="1816"/>
      <c r="D1755" s="2" t="str">
        <f t="shared" si="26"/>
        <v>OK</v>
      </c>
    </row>
    <row r="1756" spans="1:5" x14ac:dyDescent="0.2">
      <c r="A1756" s="5">
        <v>1695</v>
      </c>
      <c r="B1756" s="1816">
        <f>'Tax Sched 23'!B15</f>
        <v>0</v>
      </c>
      <c r="C1756" s="2" t="s">
        <v>568</v>
      </c>
      <c r="D1756" s="2" t="str">
        <f t="shared" si="26"/>
        <v>Error?</v>
      </c>
    </row>
    <row r="1757" spans="1:5" x14ac:dyDescent="0.2">
      <c r="A1757" s="10">
        <v>1696</v>
      </c>
      <c r="B1757" s="1816"/>
      <c r="C1757" s="2" t="s">
        <v>568</v>
      </c>
      <c r="D1757" s="2" t="str">
        <f t="shared" si="26"/>
        <v>OK</v>
      </c>
    </row>
    <row r="1758" spans="1:5" x14ac:dyDescent="0.2">
      <c r="A1758" s="10">
        <v>1697</v>
      </c>
      <c r="B1758" s="1816"/>
      <c r="C1758" s="2" t="s">
        <v>568</v>
      </c>
      <c r="D1758" s="2" t="str">
        <f t="shared" si="26"/>
        <v>OK</v>
      </c>
    </row>
    <row r="1759" spans="1:5" x14ac:dyDescent="0.2">
      <c r="A1759" s="5">
        <v>1698</v>
      </c>
      <c r="B1759" s="1816">
        <f>'Tax Sched 23'!B19</f>
        <v>27506455</v>
      </c>
      <c r="C1759" s="2" t="s">
        <v>568</v>
      </c>
      <c r="D1759" s="2" t="str">
        <f t="shared" si="26"/>
        <v>Error?</v>
      </c>
    </row>
    <row r="1760" spans="1:5" x14ac:dyDescent="0.2">
      <c r="A1760" s="5">
        <v>1699</v>
      </c>
      <c r="B1760" s="1816">
        <f>'Tax Sched 23'!D4</f>
        <v>12536156</v>
      </c>
      <c r="C1760" s="2" t="s">
        <v>568</v>
      </c>
      <c r="D1760" s="2" t="str">
        <f t="shared" si="26"/>
        <v>Error?</v>
      </c>
    </row>
    <row r="1761" spans="1:7" x14ac:dyDescent="0.2">
      <c r="A1761" s="5">
        <v>1700</v>
      </c>
      <c r="B1761" s="1816">
        <f>'Tax Sched 23'!D5</f>
        <v>848831</v>
      </c>
      <c r="C1761" s="2" t="s">
        <v>568</v>
      </c>
      <c r="D1761" s="2" t="str">
        <f t="shared" si="26"/>
        <v>Error?</v>
      </c>
    </row>
    <row r="1762" spans="1:7" s="8" customFormat="1" x14ac:dyDescent="0.2">
      <c r="A1762" s="5">
        <v>1701</v>
      </c>
      <c r="B1762" s="1816">
        <f>'Tax Sched 23'!D6</f>
        <v>196144</v>
      </c>
      <c r="C1762" s="2" t="s">
        <v>568</v>
      </c>
      <c r="D1762" s="2" t="str">
        <f t="shared" si="26"/>
        <v>Error?</v>
      </c>
      <c r="E1762" s="9"/>
      <c r="G1762"/>
    </row>
    <row r="1763" spans="1:7" x14ac:dyDescent="0.2">
      <c r="A1763" s="5">
        <v>1702</v>
      </c>
      <c r="B1763" s="1816">
        <f>'Tax Sched 23'!D7</f>
        <v>724356</v>
      </c>
      <c r="C1763" s="2" t="s">
        <v>568</v>
      </c>
      <c r="D1763" s="2" t="str">
        <f t="shared" si="26"/>
        <v>Error?</v>
      </c>
    </row>
    <row r="1764" spans="1:7" x14ac:dyDescent="0.2">
      <c r="A1764" s="5">
        <v>1703</v>
      </c>
      <c r="B1764" s="1816">
        <f>'Tax Sched 23'!D8</f>
        <v>274419</v>
      </c>
      <c r="C1764" s="2" t="s">
        <v>568</v>
      </c>
      <c r="D1764" s="2" t="str">
        <f t="shared" si="26"/>
        <v>Error?</v>
      </c>
    </row>
    <row r="1765" spans="1:7" x14ac:dyDescent="0.2">
      <c r="A1765" s="5">
        <v>1704</v>
      </c>
      <c r="B1765" s="1816">
        <f>'Tax Sched 23'!D10</f>
        <v>0</v>
      </c>
      <c r="C1765" s="2" t="s">
        <v>568</v>
      </c>
      <c r="D1765" s="2" t="str">
        <f t="shared" si="26"/>
        <v>Error?</v>
      </c>
    </row>
    <row r="1766" spans="1:7" x14ac:dyDescent="0.2">
      <c r="A1766" s="10">
        <v>1705</v>
      </c>
      <c r="B1766" s="1816"/>
      <c r="C1766" s="2" t="s">
        <v>568</v>
      </c>
      <c r="D1766" s="2" t="str">
        <f t="shared" si="26"/>
        <v>OK</v>
      </c>
    </row>
    <row r="1767" spans="1:7" x14ac:dyDescent="0.2">
      <c r="A1767" s="5">
        <v>1706</v>
      </c>
      <c r="B1767" s="1816">
        <f>'Tax Sched 23'!D9</f>
        <v>0</v>
      </c>
      <c r="C1767" s="2" t="s">
        <v>568</v>
      </c>
      <c r="D1767" s="2" t="str">
        <f t="shared" si="26"/>
        <v>Error?</v>
      </c>
    </row>
    <row r="1768" spans="1:7" x14ac:dyDescent="0.2">
      <c r="A1768" s="5">
        <v>1707</v>
      </c>
      <c r="B1768" s="1816">
        <f>'Tax Sched 23'!D11</f>
        <v>0</v>
      </c>
      <c r="C1768" s="2" t="s">
        <v>568</v>
      </c>
      <c r="D1768" s="2" t="str">
        <f t="shared" si="26"/>
        <v>Error?</v>
      </c>
    </row>
    <row r="1769" spans="1:7" x14ac:dyDescent="0.2">
      <c r="A1769" s="5">
        <v>1708</v>
      </c>
      <c r="B1769" s="1816">
        <f>'Tax Sched 23'!D12</f>
        <v>0</v>
      </c>
      <c r="C1769" s="2" t="s">
        <v>568</v>
      </c>
      <c r="D1769" s="2" t="str">
        <f t="shared" si="26"/>
        <v>Error?</v>
      </c>
    </row>
    <row r="1770" spans="1:7" x14ac:dyDescent="0.2">
      <c r="A1770" s="5">
        <v>1709</v>
      </c>
      <c r="B1770" s="1816">
        <f>'Tax Sched 23'!D14</f>
        <v>0</v>
      </c>
      <c r="C1770" s="2" t="s">
        <v>568</v>
      </c>
      <c r="D1770" s="2" t="str">
        <f t="shared" si="26"/>
        <v>Error?</v>
      </c>
    </row>
    <row r="1771" spans="1:7" x14ac:dyDescent="0.2">
      <c r="A1771" s="10">
        <v>1710</v>
      </c>
      <c r="B1771" s="1816"/>
      <c r="D1771" s="2" t="str">
        <f t="shared" si="26"/>
        <v>OK</v>
      </c>
    </row>
    <row r="1772" spans="1:7" x14ac:dyDescent="0.2">
      <c r="A1772" s="5">
        <v>1711</v>
      </c>
      <c r="B1772" s="1816">
        <f>'Tax Sched 23'!D15</f>
        <v>0</v>
      </c>
      <c r="C1772" s="2" t="s">
        <v>568</v>
      </c>
      <c r="D1772" s="2" t="str">
        <f t="shared" si="26"/>
        <v>Error?</v>
      </c>
    </row>
    <row r="1773" spans="1:7" x14ac:dyDescent="0.2">
      <c r="A1773" s="10">
        <v>1712</v>
      </c>
      <c r="B1773" s="1816"/>
      <c r="C1773" s="2" t="s">
        <v>568</v>
      </c>
      <c r="D1773" s="2" t="str">
        <f t="shared" si="26"/>
        <v>OK</v>
      </c>
    </row>
    <row r="1774" spans="1:7" x14ac:dyDescent="0.2">
      <c r="A1774" s="10">
        <v>1713</v>
      </c>
      <c r="B1774" s="1816"/>
      <c r="C1774" s="2" t="s">
        <v>568</v>
      </c>
      <c r="D1774" s="2" t="str">
        <f t="shared" si="26"/>
        <v>OK</v>
      </c>
      <c r="G1774" s="8"/>
    </row>
    <row r="1775" spans="1:7" x14ac:dyDescent="0.2">
      <c r="A1775" s="5">
        <v>1714</v>
      </c>
      <c r="B1775" s="1816">
        <f>'Tax Sched 23'!D19</f>
        <v>14936606</v>
      </c>
      <c r="C1775" s="2" t="s">
        <v>568</v>
      </c>
      <c r="D1775" s="2" t="str">
        <f t="shared" si="26"/>
        <v>Error?</v>
      </c>
    </row>
    <row r="1776" spans="1:7" x14ac:dyDescent="0.2">
      <c r="A1776" s="5">
        <v>1715</v>
      </c>
      <c r="B1776" s="1816">
        <f>'Tax Sched 23'!C4</f>
        <v>10443168</v>
      </c>
      <c r="D1776" s="2" t="str">
        <f t="shared" si="26"/>
        <v>Error?</v>
      </c>
    </row>
    <row r="1777" spans="1:4" x14ac:dyDescent="0.2">
      <c r="A1777" s="5">
        <v>1716</v>
      </c>
      <c r="B1777" s="1816">
        <f>'Tax Sched 23'!C5</f>
        <v>850547</v>
      </c>
      <c r="D1777" s="2" t="str">
        <f t="shared" si="26"/>
        <v>Error?</v>
      </c>
    </row>
    <row r="1778" spans="1:4" x14ac:dyDescent="0.2">
      <c r="A1778" s="5">
        <v>1717</v>
      </c>
      <c r="B1778" s="1816">
        <f>'Tax Sched 23'!C6</f>
        <v>162934</v>
      </c>
      <c r="D1778" s="2" t="str">
        <f t="shared" si="26"/>
        <v>Error?</v>
      </c>
    </row>
    <row r="1779" spans="1:4" x14ac:dyDescent="0.2">
      <c r="A1779" s="5">
        <v>1718</v>
      </c>
      <c r="B1779" s="1816">
        <f>'Tax Sched 23'!C7</f>
        <v>583310</v>
      </c>
      <c r="D1779" s="2" t="str">
        <f t="shared" si="26"/>
        <v>Error?</v>
      </c>
    </row>
    <row r="1780" spans="1:4" x14ac:dyDescent="0.2">
      <c r="A1780" s="5">
        <v>1719</v>
      </c>
      <c r="B1780" s="1816">
        <f>'Tax Sched 23'!C8</f>
        <v>231700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12569849</v>
      </c>
      <c r="C1791" s="2" t="s">
        <v>568</v>
      </c>
      <c r="D1791" s="2" t="str">
        <f t="shared" ref="D1791:D1854" si="27">IF(ISBLANK(B1791),"OK",IF(A1791-B1791=0,"OK","Error?"))</f>
        <v>Error?</v>
      </c>
    </row>
    <row r="1792" spans="1:4" x14ac:dyDescent="0.2">
      <c r="A1792" s="5">
        <v>1731</v>
      </c>
      <c r="B1792" s="1816">
        <f>'Tax Sched 23'!F4</f>
        <v>15185911</v>
      </c>
      <c r="C1792" s="2" t="s">
        <v>568</v>
      </c>
      <c r="D1792" s="2" t="str">
        <f t="shared" si="27"/>
        <v>Error?</v>
      </c>
    </row>
    <row r="1793" spans="1:4" x14ac:dyDescent="0.2">
      <c r="A1793" s="5">
        <v>1732</v>
      </c>
      <c r="B1793" s="1816">
        <f>'Tax Sched 23'!F5</f>
        <v>1236821</v>
      </c>
      <c r="C1793" s="2" t="s">
        <v>568</v>
      </c>
      <c r="D1793" s="2" t="str">
        <f t="shared" si="27"/>
        <v>Error?</v>
      </c>
    </row>
    <row r="1794" spans="1:4" x14ac:dyDescent="0.2">
      <c r="A1794" s="5">
        <v>1733</v>
      </c>
      <c r="B1794" s="1816">
        <f>'Tax Sched 23'!F6</f>
        <v>236930</v>
      </c>
      <c r="C1794" s="2" t="s">
        <v>568</v>
      </c>
      <c r="D1794" s="2" t="str">
        <f t="shared" si="27"/>
        <v>Error?</v>
      </c>
    </row>
    <row r="1795" spans="1:4" x14ac:dyDescent="0.2">
      <c r="A1795" s="5">
        <v>1734</v>
      </c>
      <c r="B1795" s="1816">
        <f>'Tax Sched 23'!F7</f>
        <v>848218</v>
      </c>
      <c r="C1795" s="2" t="s">
        <v>568</v>
      </c>
      <c r="D1795" s="2" t="str">
        <f t="shared" si="27"/>
        <v>Error?</v>
      </c>
    </row>
    <row r="1796" spans="1:4" x14ac:dyDescent="0.2">
      <c r="A1796" s="5">
        <v>1735</v>
      </c>
      <c r="B1796" s="1816">
        <f>'Tax Sched 23'!F8</f>
        <v>336925</v>
      </c>
      <c r="C1796" s="2" t="s">
        <v>568</v>
      </c>
      <c r="D1796" s="2" t="str">
        <f t="shared" si="27"/>
        <v>Error?</v>
      </c>
    </row>
    <row r="1797" spans="1:4" x14ac:dyDescent="0.2">
      <c r="A1797" s="5">
        <v>1736</v>
      </c>
      <c r="B1797" s="1816">
        <f>'Tax Sched 23'!F10</f>
        <v>0</v>
      </c>
      <c r="C1797" s="2" t="s">
        <v>568</v>
      </c>
      <c r="D1797" s="2" t="str">
        <f t="shared" si="27"/>
        <v>Error?</v>
      </c>
    </row>
    <row r="1798" spans="1:4" x14ac:dyDescent="0.2">
      <c r="A1798" s="10">
        <v>1737</v>
      </c>
      <c r="B1798" s="1816"/>
      <c r="C1798" s="2" t="s">
        <v>568</v>
      </c>
      <c r="D1798" s="2" t="str">
        <f t="shared" si="27"/>
        <v>OK</v>
      </c>
    </row>
    <row r="1799" spans="1:4" x14ac:dyDescent="0.2">
      <c r="A1799" s="5">
        <v>1738</v>
      </c>
      <c r="B1799" s="1816">
        <f>'Tax Sched 23'!F9</f>
        <v>0</v>
      </c>
      <c r="C1799" s="2" t="s">
        <v>568</v>
      </c>
      <c r="D1799" s="2" t="str">
        <f t="shared" si="27"/>
        <v>Error?</v>
      </c>
    </row>
    <row r="1800" spans="1:4" x14ac:dyDescent="0.2">
      <c r="A1800" s="5">
        <v>1739</v>
      </c>
      <c r="B1800" s="1816">
        <f>'Tax Sched 23'!F11</f>
        <v>0</v>
      </c>
      <c r="C1800" s="2" t="s">
        <v>568</v>
      </c>
      <c r="D1800" s="2" t="str">
        <f t="shared" si="27"/>
        <v>Error?</v>
      </c>
    </row>
    <row r="1801" spans="1:4" x14ac:dyDescent="0.2">
      <c r="A1801" s="5">
        <v>1740</v>
      </c>
      <c r="B1801" s="1816">
        <f>'Tax Sched 23'!F12</f>
        <v>0</v>
      </c>
      <c r="C1801" s="2" t="s">
        <v>568</v>
      </c>
      <c r="D1801" s="2" t="str">
        <f t="shared" si="27"/>
        <v>Error?</v>
      </c>
    </row>
    <row r="1802" spans="1:4" x14ac:dyDescent="0.2">
      <c r="A1802" s="5">
        <v>1741</v>
      </c>
      <c r="B1802" s="1816">
        <f>'Tax Sched 23'!F14</f>
        <v>0</v>
      </c>
      <c r="C1802" s="2" t="s">
        <v>568</v>
      </c>
      <c r="D1802" s="2" t="str">
        <f t="shared" si="27"/>
        <v>Error?</v>
      </c>
    </row>
    <row r="1803" spans="1:4" x14ac:dyDescent="0.2">
      <c r="A1803" s="10">
        <v>1742</v>
      </c>
      <c r="B1803" s="1816"/>
      <c r="D1803" s="2" t="str">
        <f t="shared" si="27"/>
        <v>OK</v>
      </c>
    </row>
    <row r="1804" spans="1:4" x14ac:dyDescent="0.2">
      <c r="A1804" s="5">
        <v>1743</v>
      </c>
      <c r="B1804" s="1816">
        <f>'Tax Sched 23'!F15</f>
        <v>0</v>
      </c>
      <c r="C1804" s="2" t="s">
        <v>568</v>
      </c>
      <c r="D1804" s="2" t="str">
        <f t="shared" si="27"/>
        <v>Error?</v>
      </c>
    </row>
    <row r="1805" spans="1:4" x14ac:dyDescent="0.2">
      <c r="A1805" s="10">
        <v>1744</v>
      </c>
      <c r="B1805" s="1816"/>
      <c r="C1805" s="2" t="s">
        <v>568</v>
      </c>
      <c r="D1805" s="2" t="str">
        <f t="shared" si="27"/>
        <v>OK</v>
      </c>
    </row>
    <row r="1806" spans="1:4" x14ac:dyDescent="0.2">
      <c r="A1806" s="10">
        <v>1745</v>
      </c>
      <c r="B1806" s="1816"/>
      <c r="C1806" s="2" t="s">
        <v>568</v>
      </c>
      <c r="D1806" s="2" t="str">
        <f t="shared" si="27"/>
        <v>OK</v>
      </c>
    </row>
    <row r="1807" spans="1:4" x14ac:dyDescent="0.2">
      <c r="A1807" s="12">
        <v>1746</v>
      </c>
      <c r="B1807" s="1816">
        <f>'Tax Sched 23'!F19</f>
        <v>18278418</v>
      </c>
      <c r="C1807" s="2" t="s">
        <v>568</v>
      </c>
      <c r="D1807" s="2" t="str">
        <f t="shared" si="27"/>
        <v>Error?</v>
      </c>
    </row>
    <row r="1808" spans="1:4" x14ac:dyDescent="0.2">
      <c r="A1808" s="5">
        <v>1747</v>
      </c>
      <c r="B1808" s="1816">
        <f>'Tax Sched 23'!E4</f>
        <v>25629079</v>
      </c>
      <c r="D1808" s="2" t="str">
        <f t="shared" si="27"/>
        <v>Error?</v>
      </c>
    </row>
    <row r="1809" spans="1:4" x14ac:dyDescent="0.2">
      <c r="A1809" s="5">
        <v>1748</v>
      </c>
      <c r="B1809" s="1816">
        <f>'Tax Sched 23'!E5</f>
        <v>2087368</v>
      </c>
      <c r="D1809" s="2" t="str">
        <f t="shared" si="27"/>
        <v>Error?</v>
      </c>
    </row>
    <row r="1810" spans="1:4" x14ac:dyDescent="0.2">
      <c r="A1810" s="5">
        <v>1749</v>
      </c>
      <c r="B1810" s="1816">
        <f>'Tax Sched 23'!E6</f>
        <v>399864</v>
      </c>
      <c r="D1810" s="2" t="str">
        <f t="shared" si="27"/>
        <v>Error?</v>
      </c>
    </row>
    <row r="1811" spans="1:4" x14ac:dyDescent="0.2">
      <c r="A1811" s="5">
        <v>1750</v>
      </c>
      <c r="B1811" s="1816">
        <f>'Tax Sched 23'!E7</f>
        <v>1431528</v>
      </c>
      <c r="D1811" s="2" t="str">
        <f t="shared" si="27"/>
        <v>Error?</v>
      </c>
    </row>
    <row r="1812" spans="1:4" x14ac:dyDescent="0.2">
      <c r="A1812" s="5">
        <v>1751</v>
      </c>
      <c r="B1812" s="1816">
        <f>'Tax Sched 23'!E8</f>
        <v>568625</v>
      </c>
      <c r="D1812" s="2" t="str">
        <f t="shared" si="27"/>
        <v>Error?</v>
      </c>
    </row>
    <row r="1813" spans="1:4" x14ac:dyDescent="0.2">
      <c r="A1813" s="5">
        <v>1752</v>
      </c>
      <c r="B1813" s="1816">
        <f>'Tax Sched 23'!E10</f>
        <v>0</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0</v>
      </c>
      <c r="D1816" s="2" t="str">
        <f t="shared" si="27"/>
        <v>Error?</v>
      </c>
    </row>
    <row r="1817" spans="1:4" x14ac:dyDescent="0.2">
      <c r="A1817" s="5">
        <v>1756</v>
      </c>
      <c r="B1817" s="1816">
        <f>'Tax Sched 23'!E12</f>
        <v>0</v>
      </c>
      <c r="D1817" s="2" t="str">
        <f t="shared" si="27"/>
        <v>Error?</v>
      </c>
    </row>
    <row r="1818" spans="1:4" x14ac:dyDescent="0.2">
      <c r="A1818" s="5">
        <v>1757</v>
      </c>
      <c r="B1818" s="1816">
        <f>'Tax Sched 23'!E14</f>
        <v>0</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30848267</v>
      </c>
      <c r="C1823" s="2" t="s">
        <v>568</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568</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568</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568</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568</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568</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568</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568</v>
      </c>
      <c r="D1867" s="2" t="str">
        <f t="shared" si="28"/>
        <v>Error?</v>
      </c>
    </row>
    <row r="1868" spans="1:4" x14ac:dyDescent="0.2">
      <c r="A1868" s="5">
        <v>1807</v>
      </c>
      <c r="B1868" s="1816">
        <f>'Short-Term Long-Term Debt 24'!F7</f>
        <v>0</v>
      </c>
      <c r="C1868" s="2" t="s">
        <v>568</v>
      </c>
      <c r="D1868" s="2" t="str">
        <f t="shared" si="28"/>
        <v>Error?</v>
      </c>
    </row>
    <row r="1869" spans="1:4" x14ac:dyDescent="0.2">
      <c r="A1869" s="5">
        <v>1808</v>
      </c>
      <c r="B1869" s="1816">
        <f>'Short-Term Long-Term Debt 24'!F12</f>
        <v>0</v>
      </c>
      <c r="C1869" s="2" t="s">
        <v>568</v>
      </c>
      <c r="D1869" s="2" t="str">
        <f t="shared" si="28"/>
        <v>Error?</v>
      </c>
    </row>
    <row r="1870" spans="1:4" x14ac:dyDescent="0.2">
      <c r="A1870" s="5">
        <v>1809</v>
      </c>
      <c r="B1870" s="1816">
        <f>'Short-Term Long-Term Debt 24'!F11</f>
        <v>0</v>
      </c>
      <c r="C1870" s="2" t="s">
        <v>568</v>
      </c>
      <c r="D1870" s="2" t="str">
        <f t="shared" si="28"/>
        <v>Error?</v>
      </c>
    </row>
    <row r="1871" spans="1:4" x14ac:dyDescent="0.2">
      <c r="A1871" s="5">
        <v>1810</v>
      </c>
      <c r="B1871" s="1816">
        <f>'Short-Term Long-Term Debt 24'!F8</f>
        <v>0</v>
      </c>
      <c r="C1871" s="2" t="s">
        <v>568</v>
      </c>
      <c r="D1871" s="2" t="str">
        <f t="shared" si="28"/>
        <v>Error?</v>
      </c>
    </row>
    <row r="1872" spans="1:4" x14ac:dyDescent="0.2">
      <c r="A1872" s="5">
        <v>1811</v>
      </c>
      <c r="B1872" s="1816">
        <f>'Short-Term Long-Term Debt 24'!F9</f>
        <v>0</v>
      </c>
      <c r="C1872" s="2" t="s">
        <v>568</v>
      </c>
      <c r="D1872" s="2" t="str">
        <f t="shared" si="28"/>
        <v>Error?</v>
      </c>
    </row>
    <row r="1873" spans="1:4" x14ac:dyDescent="0.2">
      <c r="A1873" s="5">
        <v>1812</v>
      </c>
      <c r="B1873" s="1816">
        <f>'Short-Term Long-Term Debt 24'!F10</f>
        <v>0</v>
      </c>
      <c r="C1873" s="2" t="s">
        <v>568</v>
      </c>
      <c r="D1873" s="2" t="str">
        <f t="shared" si="28"/>
        <v>Error?</v>
      </c>
    </row>
    <row r="1874" spans="1:4" x14ac:dyDescent="0.2">
      <c r="A1874" s="5">
        <v>1813</v>
      </c>
      <c r="B1874" s="1816">
        <f>'Short-Term Long-Term Debt 24'!F14</f>
        <v>0</v>
      </c>
      <c r="C1874" s="2" t="s">
        <v>568</v>
      </c>
      <c r="D1874" s="2" t="str">
        <f t="shared" si="28"/>
        <v>Error?</v>
      </c>
    </row>
    <row r="1875" spans="1:4" x14ac:dyDescent="0.2">
      <c r="A1875" s="5">
        <v>1814</v>
      </c>
      <c r="B1875" s="1816">
        <f>'Short-Term Long-Term Debt 24'!F15</f>
        <v>0</v>
      </c>
      <c r="C1875" s="2" t="s">
        <v>568</v>
      </c>
      <c r="D1875" s="2" t="str">
        <f t="shared" si="28"/>
        <v>Error?</v>
      </c>
    </row>
    <row r="1876" spans="1:4" x14ac:dyDescent="0.2">
      <c r="A1876" s="5">
        <v>1815</v>
      </c>
      <c r="B1876" s="1816">
        <f>'Short-Term Long-Term Debt 24'!F17</f>
        <v>0</v>
      </c>
      <c r="C1876" s="2" t="s">
        <v>568</v>
      </c>
      <c r="D1876" s="2" t="str">
        <f t="shared" si="28"/>
        <v>Error?</v>
      </c>
    </row>
    <row r="1877" spans="1:4" x14ac:dyDescent="0.2">
      <c r="A1877" s="5">
        <v>1816</v>
      </c>
      <c r="B1877" s="1816">
        <f>'Short-Term Long-Term Debt 24'!F18</f>
        <v>0</v>
      </c>
      <c r="C1877" s="2" t="s">
        <v>568</v>
      </c>
      <c r="D1877" s="2" t="str">
        <f t="shared" si="28"/>
        <v>Error?</v>
      </c>
    </row>
    <row r="1878" spans="1:4" x14ac:dyDescent="0.2">
      <c r="A1878" s="5">
        <v>1817</v>
      </c>
      <c r="B1878" s="1816">
        <f>'Short-Term Long-Term Debt 24'!F20</f>
        <v>0</v>
      </c>
      <c r="C1878" s="2" t="s">
        <v>568</v>
      </c>
      <c r="D1878" s="2" t="str">
        <f t="shared" si="28"/>
        <v>Error?</v>
      </c>
    </row>
    <row r="1879" spans="1:4" x14ac:dyDescent="0.2">
      <c r="A1879" s="5">
        <v>1818</v>
      </c>
      <c r="B1879" s="1816">
        <f>'Short-Term Long-Term Debt 24'!F21</f>
        <v>0</v>
      </c>
      <c r="C1879" s="2" t="s">
        <v>568</v>
      </c>
      <c r="D1879" s="2" t="str">
        <f t="shared" si="28"/>
        <v>Error?</v>
      </c>
    </row>
    <row r="1880" spans="1:4" x14ac:dyDescent="0.2">
      <c r="A1880" s="5">
        <v>1819</v>
      </c>
      <c r="B1880" s="1816">
        <f>'Short-Term Long-Term Debt 24'!F23</f>
        <v>0</v>
      </c>
      <c r="C1880" s="2" t="s">
        <v>568</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11880325</v>
      </c>
      <c r="C1939" s="2" t="s">
        <v>568</v>
      </c>
      <c r="D1939" s="2" t="str">
        <f t="shared" si="29"/>
        <v>Error?</v>
      </c>
    </row>
    <row r="1940" spans="1:5" x14ac:dyDescent="0.2">
      <c r="A1940" s="5">
        <v>1879</v>
      </c>
      <c r="B1940" s="1816">
        <f>'Short-Term Long-Term Debt 24'!F49</f>
        <v>245482</v>
      </c>
      <c r="C1940" s="2" t="s">
        <v>568</v>
      </c>
      <c r="D1940" s="2" t="str">
        <f t="shared" si="29"/>
        <v>Error?</v>
      </c>
    </row>
    <row r="1941" spans="1:5" x14ac:dyDescent="0.2">
      <c r="A1941" s="10">
        <v>1880</v>
      </c>
      <c r="B1941" s="1816"/>
      <c r="C1941" s="2" t="s">
        <v>568</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568</v>
      </c>
      <c r="D1953" s="2" t="str">
        <f t="shared" si="29"/>
        <v>Error?</v>
      </c>
    </row>
    <row r="1954" spans="1:5" x14ac:dyDescent="0.2">
      <c r="A1954" s="10">
        <v>1893</v>
      </c>
      <c r="B1954" s="1816"/>
      <c r="C1954" s="2" t="s">
        <v>568</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568</v>
      </c>
      <c r="D1957" s="2" t="str">
        <f t="shared" si="29"/>
        <v>Error?</v>
      </c>
    </row>
    <row r="1958" spans="1:5" x14ac:dyDescent="0.2">
      <c r="A1958" s="5">
        <v>1897</v>
      </c>
      <c r="B1958" s="1816">
        <f>'Rest Tax Levies-Tort Im 25'!G24</f>
        <v>0</v>
      </c>
      <c r="C1958" s="2" t="s">
        <v>568</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0</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0</v>
      </c>
      <c r="C1977" s="2" t="s">
        <v>568</v>
      </c>
      <c r="D1977" s="2" t="str">
        <f t="shared" si="29"/>
        <v>Error?</v>
      </c>
    </row>
    <row r="1978" spans="1:5" x14ac:dyDescent="0.2">
      <c r="A1978" s="10">
        <v>1917</v>
      </c>
      <c r="B1978" s="1816"/>
      <c r="C1978" s="2" t="s">
        <v>568</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0</v>
      </c>
      <c r="C1982" s="2" t="s">
        <v>568</v>
      </c>
      <c r="D1982" s="2" t="str">
        <f t="shared" si="29"/>
        <v>Error?</v>
      </c>
    </row>
    <row r="1983" spans="1:5" x14ac:dyDescent="0.2">
      <c r="A1983" s="5">
        <v>1922</v>
      </c>
      <c r="B1983" s="1816">
        <f>'Rest Tax Levies-Tort Im 25'!H24</f>
        <v>0</v>
      </c>
      <c r="C1983" s="2" t="s">
        <v>568</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568</v>
      </c>
      <c r="D1990" s="2" t="str">
        <f t="shared" si="30"/>
        <v>Error?</v>
      </c>
    </row>
    <row r="1991" spans="1:5" x14ac:dyDescent="0.2">
      <c r="A1991" s="10">
        <v>1930</v>
      </c>
      <c r="B1991" s="1816"/>
      <c r="C1991" s="2" t="s">
        <v>568</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568</v>
      </c>
      <c r="D1995" s="2" t="str">
        <f t="shared" si="30"/>
        <v>Error?</v>
      </c>
    </row>
    <row r="1996" spans="1:5" x14ac:dyDescent="0.2">
      <c r="A1996" s="5">
        <v>1935</v>
      </c>
      <c r="B1996" s="1816">
        <f>'Rest Tax Levies-Tort Im 25'!I24</f>
        <v>0</v>
      </c>
      <c r="C1996" s="2" t="s">
        <v>568</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1853080</v>
      </c>
      <c r="D2008" s="2" t="str">
        <f t="shared" si="30"/>
        <v>Error?</v>
      </c>
    </row>
    <row r="2009" spans="1:4" x14ac:dyDescent="0.2">
      <c r="A2009" s="5">
        <v>1948</v>
      </c>
      <c r="B2009" s="1816">
        <f>'Cap Outlay Deprec 26'!C8</f>
        <v>42423812</v>
      </c>
      <c r="D2009" s="2" t="str">
        <f t="shared" si="30"/>
        <v>Error?</v>
      </c>
    </row>
    <row r="2010" spans="1:4" x14ac:dyDescent="0.2">
      <c r="A2010" s="5">
        <v>1949</v>
      </c>
      <c r="B2010" s="1816">
        <f>'Cap Outlay Deprec 26'!C10</f>
        <v>3419854</v>
      </c>
      <c r="D2010" s="2" t="str">
        <f t="shared" si="30"/>
        <v>Error?</v>
      </c>
    </row>
    <row r="2011" spans="1:4" x14ac:dyDescent="0.2">
      <c r="A2011" s="5">
        <v>1950</v>
      </c>
      <c r="B2011" s="1816">
        <f>'Cap Outlay Deprec 26'!C12</f>
        <v>5174606</v>
      </c>
      <c r="D2011" s="2" t="str">
        <f t="shared" si="30"/>
        <v>Error?</v>
      </c>
    </row>
    <row r="2012" spans="1:4" x14ac:dyDescent="0.2">
      <c r="A2012" s="5">
        <v>1951</v>
      </c>
      <c r="B2012" s="1816">
        <f>'Cap Outlay Deprec 26'!C13</f>
        <v>0</v>
      </c>
      <c r="D2012" s="2" t="str">
        <f t="shared" si="30"/>
        <v>Error?</v>
      </c>
    </row>
    <row r="2013" spans="1:4" x14ac:dyDescent="0.2">
      <c r="A2013" s="5">
        <v>1952</v>
      </c>
      <c r="B2013" s="1816">
        <f>'Cap Outlay Deprec 26'!C16</f>
        <v>53201974</v>
      </c>
      <c r="C2013" s="2" t="s">
        <v>568</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173001</v>
      </c>
      <c r="D2015" s="2" t="str">
        <f t="shared" si="30"/>
        <v>Error?</v>
      </c>
    </row>
    <row r="2016" spans="1:4" x14ac:dyDescent="0.2">
      <c r="A2016" s="5">
        <v>1955</v>
      </c>
      <c r="B2016" s="1816">
        <f>'Cap Outlay Deprec 26'!D10</f>
        <v>33605</v>
      </c>
      <c r="D2016" s="2" t="str">
        <f t="shared" si="30"/>
        <v>Error?</v>
      </c>
    </row>
    <row r="2017" spans="1:4" x14ac:dyDescent="0.2">
      <c r="A2017" s="5">
        <v>1956</v>
      </c>
      <c r="B2017" s="1816">
        <f>'Cap Outlay Deprec 26'!D12</f>
        <v>251093</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4612067</v>
      </c>
      <c r="C2019" s="2" t="s">
        <v>568</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51479</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217987</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269466</v>
      </c>
      <c r="C2025" s="2" t="s">
        <v>568</v>
      </c>
      <c r="D2025" s="2" t="str">
        <f t="shared" si="30"/>
        <v>Error?</v>
      </c>
    </row>
    <row r="2026" spans="1:4" x14ac:dyDescent="0.2">
      <c r="A2026" s="5">
        <v>1965</v>
      </c>
      <c r="B2026" s="1816">
        <f>'Cap Outlay Deprec 26'!F5</f>
        <v>1853080</v>
      </c>
      <c r="C2026" s="2" t="s">
        <v>568</v>
      </c>
      <c r="D2026" s="2" t="str">
        <f t="shared" si="30"/>
        <v>Error?</v>
      </c>
    </row>
    <row r="2027" spans="1:4" x14ac:dyDescent="0.2">
      <c r="A2027" s="5">
        <v>1966</v>
      </c>
      <c r="B2027" s="1816">
        <f>'Cap Outlay Deprec 26'!F8</f>
        <v>42545334</v>
      </c>
      <c r="C2027" s="2" t="s">
        <v>568</v>
      </c>
      <c r="D2027" s="2" t="str">
        <f t="shared" si="30"/>
        <v>Error?</v>
      </c>
    </row>
    <row r="2028" spans="1:4" x14ac:dyDescent="0.2">
      <c r="A2028" s="5">
        <v>1967</v>
      </c>
      <c r="B2028" s="1816">
        <f>'Cap Outlay Deprec 26'!F10</f>
        <v>3453459</v>
      </c>
      <c r="C2028" s="2" t="s">
        <v>568</v>
      </c>
      <c r="D2028" s="2" t="str">
        <f t="shared" si="30"/>
        <v>Error?</v>
      </c>
    </row>
    <row r="2029" spans="1:4" x14ac:dyDescent="0.2">
      <c r="A2029" s="5">
        <v>1968</v>
      </c>
      <c r="B2029" s="1816">
        <f>'Cap Outlay Deprec 26'!F12</f>
        <v>5207712</v>
      </c>
      <c r="C2029" s="2" t="s">
        <v>568</v>
      </c>
      <c r="D2029" s="2" t="str">
        <f t="shared" si="30"/>
        <v>Error?</v>
      </c>
    </row>
    <row r="2030" spans="1:4" x14ac:dyDescent="0.2">
      <c r="A2030" s="5">
        <v>1969</v>
      </c>
      <c r="B2030" s="1816">
        <f>'Cap Outlay Deprec 26'!F13</f>
        <v>0</v>
      </c>
      <c r="C2030" s="2" t="s">
        <v>568</v>
      </c>
      <c r="D2030" s="2" t="str">
        <f t="shared" si="30"/>
        <v>Error?</v>
      </c>
    </row>
    <row r="2031" spans="1:4" x14ac:dyDescent="0.2">
      <c r="A2031" s="5">
        <v>1970</v>
      </c>
      <c r="B2031" s="1816">
        <f>'Cap Outlay Deprec 26'!F16</f>
        <v>57544575</v>
      </c>
      <c r="C2031" s="2" t="s">
        <v>568</v>
      </c>
      <c r="D2031" s="2" t="str">
        <f t="shared" si="30"/>
        <v>Error?</v>
      </c>
    </row>
    <row r="2032" spans="1:4" x14ac:dyDescent="0.2">
      <c r="A2032" s="10">
        <v>1971</v>
      </c>
      <c r="B2032" s="1816"/>
      <c r="D2032" s="2" t="str">
        <f t="shared" si="30"/>
        <v>OK</v>
      </c>
    </row>
    <row r="2033" spans="1:4" x14ac:dyDescent="0.2">
      <c r="A2033" s="5">
        <v>1972</v>
      </c>
      <c r="B2033" s="1816">
        <f>'Cap Outlay Deprec 26'!H8</f>
        <v>14193906</v>
      </c>
      <c r="D2033" s="2" t="str">
        <f t="shared" si="30"/>
        <v>Error?</v>
      </c>
    </row>
    <row r="2034" spans="1:4" x14ac:dyDescent="0.2">
      <c r="A2034" s="5">
        <v>1973</v>
      </c>
      <c r="B2034" s="1816">
        <f>'Cap Outlay Deprec 26'!H10</f>
        <v>1965751</v>
      </c>
      <c r="D2034" s="2" t="str">
        <f t="shared" si="30"/>
        <v>Error?</v>
      </c>
    </row>
    <row r="2035" spans="1:4" x14ac:dyDescent="0.2">
      <c r="A2035" s="5">
        <v>1974</v>
      </c>
      <c r="B2035" s="1816">
        <f>'Cap Outlay Deprec 26'!H12</f>
        <v>3812259</v>
      </c>
      <c r="D2035" s="2" t="str">
        <f t="shared" si="30"/>
        <v>Error?</v>
      </c>
    </row>
    <row r="2036" spans="1:4" x14ac:dyDescent="0.2">
      <c r="A2036" s="5">
        <v>1975</v>
      </c>
      <c r="B2036" s="1816">
        <f>'Cap Outlay Deprec 26'!H13</f>
        <v>0</v>
      </c>
      <c r="D2036" s="2" t="str">
        <f t="shared" si="30"/>
        <v>Error?</v>
      </c>
    </row>
    <row r="2037" spans="1:4" x14ac:dyDescent="0.2">
      <c r="A2037" s="5">
        <v>1976</v>
      </c>
      <c r="B2037" s="1816">
        <f>'Cap Outlay Deprec 26'!H16</f>
        <v>19971916</v>
      </c>
      <c r="C2037" s="2" t="s">
        <v>568</v>
      </c>
      <c r="D2037" s="2" t="str">
        <f t="shared" si="30"/>
        <v>Error?</v>
      </c>
    </row>
    <row r="2038" spans="1:4" x14ac:dyDescent="0.2">
      <c r="A2038" s="10">
        <v>1977</v>
      </c>
      <c r="B2038" s="1816"/>
      <c r="D2038" s="2" t="str">
        <f t="shared" si="30"/>
        <v>OK</v>
      </c>
    </row>
    <row r="2039" spans="1:4" x14ac:dyDescent="0.2">
      <c r="A2039" s="5">
        <v>1978</v>
      </c>
      <c r="B2039" s="1816">
        <f>'Cap Outlay Deprec 26'!I8</f>
        <v>1219445</v>
      </c>
      <c r="D2039" s="2" t="str">
        <f t="shared" si="30"/>
        <v>Error?</v>
      </c>
    </row>
    <row r="2040" spans="1:4" x14ac:dyDescent="0.2">
      <c r="A2040" s="5">
        <v>1979</v>
      </c>
      <c r="B2040" s="1816">
        <f>'Cap Outlay Deprec 26'!I10</f>
        <v>153372</v>
      </c>
      <c r="D2040" s="2" t="str">
        <f t="shared" si="30"/>
        <v>Error?</v>
      </c>
    </row>
    <row r="2041" spans="1:4" x14ac:dyDescent="0.2">
      <c r="A2041" s="5">
        <v>1980</v>
      </c>
      <c r="B2041" s="1816">
        <f>'Cap Outlay Deprec 26'!I12</f>
        <v>306235</v>
      </c>
      <c r="D2041" s="2" t="str">
        <f t="shared" si="30"/>
        <v>Error?</v>
      </c>
    </row>
    <row r="2042" spans="1:4" x14ac:dyDescent="0.2">
      <c r="A2042" s="5">
        <v>1981</v>
      </c>
      <c r="B2042" s="1816">
        <f>'Cap Outlay Deprec 26'!I13</f>
        <v>0</v>
      </c>
      <c r="D2042" s="2" t="str">
        <f t="shared" si="30"/>
        <v>Error?</v>
      </c>
    </row>
    <row r="2043" spans="1:4" x14ac:dyDescent="0.2">
      <c r="A2043" s="5">
        <v>1982</v>
      </c>
      <c r="B2043" s="1816">
        <f>'Cap Outlay Deprec 26'!I16</f>
        <v>1679052</v>
      </c>
      <c r="C2043" s="2" t="s">
        <v>568</v>
      </c>
      <c r="D2043" s="2" t="str">
        <f t="shared" si="30"/>
        <v>Error?</v>
      </c>
    </row>
    <row r="2044" spans="1:4" x14ac:dyDescent="0.2">
      <c r="A2044" s="10">
        <v>1983</v>
      </c>
      <c r="B2044" s="1816"/>
      <c r="D2044" s="2" t="str">
        <f t="shared" si="30"/>
        <v>OK</v>
      </c>
    </row>
    <row r="2045" spans="1:4" x14ac:dyDescent="0.2">
      <c r="A2045" s="5">
        <v>1984</v>
      </c>
      <c r="B2045" s="1816">
        <f>'Cap Outlay Deprec 26'!J8</f>
        <v>20806</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217987</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238793</v>
      </c>
      <c r="C2049" s="2" t="s">
        <v>568</v>
      </c>
      <c r="D2049" s="2" t="str">
        <f t="shared" si="31"/>
        <v>Error?</v>
      </c>
    </row>
    <row r="2050" spans="1:4" x14ac:dyDescent="0.2">
      <c r="A2050" s="10">
        <v>1989</v>
      </c>
      <c r="B2050" s="1816"/>
      <c r="D2050" s="2" t="str">
        <f t="shared" si="31"/>
        <v>OK</v>
      </c>
    </row>
    <row r="2051" spans="1:4" x14ac:dyDescent="0.2">
      <c r="A2051" s="5">
        <v>1990</v>
      </c>
      <c r="B2051" s="1816">
        <f>'Cap Outlay Deprec 26'!K8</f>
        <v>15392545</v>
      </c>
      <c r="C2051" s="2" t="s">
        <v>568</v>
      </c>
      <c r="D2051" s="2" t="str">
        <f t="shared" si="31"/>
        <v>Error?</v>
      </c>
    </row>
    <row r="2052" spans="1:4" x14ac:dyDescent="0.2">
      <c r="A2052" s="5">
        <v>1991</v>
      </c>
      <c r="B2052" s="1816">
        <f>'Cap Outlay Deprec 26'!K10</f>
        <v>2119123</v>
      </c>
      <c r="C2052" s="2" t="s">
        <v>568</v>
      </c>
      <c r="D2052" s="2" t="str">
        <f t="shared" si="31"/>
        <v>Error?</v>
      </c>
    </row>
    <row r="2053" spans="1:4" x14ac:dyDescent="0.2">
      <c r="A2053" s="5">
        <v>1992</v>
      </c>
      <c r="B2053" s="1816">
        <f>'Cap Outlay Deprec 26'!K12</f>
        <v>3900507</v>
      </c>
      <c r="C2053" s="2" t="s">
        <v>568</v>
      </c>
      <c r="D2053" s="2" t="str">
        <f t="shared" si="31"/>
        <v>Error?</v>
      </c>
    </row>
    <row r="2054" spans="1:4" x14ac:dyDescent="0.2">
      <c r="A2054" s="5">
        <v>1993</v>
      </c>
      <c r="B2054" s="1816">
        <f>'Cap Outlay Deprec 26'!K13</f>
        <v>0</v>
      </c>
      <c r="C2054" s="2" t="s">
        <v>568</v>
      </c>
      <c r="D2054" s="2" t="str">
        <f t="shared" si="31"/>
        <v>Error?</v>
      </c>
    </row>
    <row r="2055" spans="1:4" x14ac:dyDescent="0.2">
      <c r="A2055" s="5">
        <v>1994</v>
      </c>
      <c r="B2055" s="1816">
        <f>'Cap Outlay Deprec 26'!K16</f>
        <v>21412175</v>
      </c>
      <c r="C2055" s="2" t="s">
        <v>568</v>
      </c>
      <c r="D2055" s="2" t="str">
        <f t="shared" si="31"/>
        <v>Error?</v>
      </c>
    </row>
    <row r="2056" spans="1:4" x14ac:dyDescent="0.2">
      <c r="A2056" s="5">
        <v>1995</v>
      </c>
      <c r="B2056" s="1816">
        <f>'Cap Outlay Deprec 26'!L5</f>
        <v>1853080</v>
      </c>
      <c r="C2056" s="2" t="s">
        <v>568</v>
      </c>
      <c r="D2056" s="2" t="str">
        <f t="shared" si="31"/>
        <v>Error?</v>
      </c>
    </row>
    <row r="2057" spans="1:4" x14ac:dyDescent="0.2">
      <c r="A2057" s="5">
        <v>1996</v>
      </c>
      <c r="B2057" s="1816">
        <f>'Cap Outlay Deprec 26'!L8</f>
        <v>27152789</v>
      </c>
      <c r="C2057" s="2" t="s">
        <v>568</v>
      </c>
      <c r="D2057" s="2" t="str">
        <f t="shared" si="31"/>
        <v>Error?</v>
      </c>
    </row>
    <row r="2058" spans="1:4" x14ac:dyDescent="0.2">
      <c r="A2058" s="5">
        <v>1997</v>
      </c>
      <c r="B2058" s="1816">
        <f>'Cap Outlay Deprec 26'!L10</f>
        <v>1334336</v>
      </c>
      <c r="C2058" s="2" t="s">
        <v>568</v>
      </c>
      <c r="D2058" s="2" t="str">
        <f t="shared" si="31"/>
        <v>Error?</v>
      </c>
    </row>
    <row r="2059" spans="1:4" x14ac:dyDescent="0.2">
      <c r="A2059" s="5">
        <v>1998</v>
      </c>
      <c r="B2059" s="1816">
        <f>'Cap Outlay Deprec 26'!L12</f>
        <v>1307205</v>
      </c>
      <c r="C2059" s="2" t="s">
        <v>568</v>
      </c>
      <c r="D2059" s="2" t="str">
        <f t="shared" si="31"/>
        <v>Error?</v>
      </c>
    </row>
    <row r="2060" spans="1:4" x14ac:dyDescent="0.2">
      <c r="A2060" s="5">
        <v>1999</v>
      </c>
      <c r="B2060" s="1816">
        <f>'Cap Outlay Deprec 26'!L13</f>
        <v>0</v>
      </c>
      <c r="C2060" s="2" t="s">
        <v>568</v>
      </c>
      <c r="D2060" s="2" t="str">
        <f t="shared" si="31"/>
        <v>Error?</v>
      </c>
    </row>
    <row r="2061" spans="1:4" x14ac:dyDescent="0.2">
      <c r="A2061" s="5">
        <v>2000</v>
      </c>
      <c r="B2061" s="1816">
        <f>'Cap Outlay Deprec 26'!L16</f>
        <v>36132400</v>
      </c>
      <c r="C2061" s="2" t="s">
        <v>568</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568</v>
      </c>
      <c r="D2077" s="2" t="str">
        <f t="shared" si="31"/>
        <v>OK</v>
      </c>
    </row>
    <row r="2078" spans="1:4" x14ac:dyDescent="0.2">
      <c r="A2078" s="10">
        <v>2017</v>
      </c>
      <c r="B2078" s="1816"/>
      <c r="C2078" s="2" t="s">
        <v>568</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300000</v>
      </c>
      <c r="C2081" s="2" t="s">
        <v>568</v>
      </c>
      <c r="D2081" s="2" t="str">
        <f t="shared" si="31"/>
        <v>Error?</v>
      </c>
    </row>
    <row r="2082" spans="1:4" x14ac:dyDescent="0.2">
      <c r="A2082" s="10">
        <v>2021</v>
      </c>
      <c r="B2082" s="1816"/>
      <c r="C2082" s="2" t="s">
        <v>568</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568</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658650</v>
      </c>
      <c r="C2088" s="2" t="s">
        <v>568</v>
      </c>
      <c r="D2088" s="2" t="str">
        <f t="shared" si="31"/>
        <v>Error?</v>
      </c>
    </row>
    <row r="2089" spans="1:4" x14ac:dyDescent="0.2">
      <c r="A2089" s="5">
        <v>2028</v>
      </c>
      <c r="B2089" s="1816">
        <f>'Expenditures 15-22'!K92</f>
        <v>0</v>
      </c>
      <c r="C2089" s="2" t="s">
        <v>568</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568</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568</v>
      </c>
      <c r="D2093" s="2" t="str">
        <f t="shared" si="31"/>
        <v>Error?</v>
      </c>
    </row>
    <row r="2094" spans="1:4" x14ac:dyDescent="0.2">
      <c r="A2094" s="5">
        <v>2033</v>
      </c>
      <c r="B2094" s="1816">
        <f>'Expenditures 15-22'!K138</f>
        <v>0</v>
      </c>
      <c r="C2094" s="2" t="s">
        <v>568</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568</v>
      </c>
      <c r="D2099" s="2" t="str">
        <f t="shared" si="31"/>
        <v>OK</v>
      </c>
    </row>
    <row r="2100" spans="1:4" x14ac:dyDescent="0.2">
      <c r="A2100" s="10">
        <v>2039</v>
      </c>
      <c r="B2100" s="1816"/>
      <c r="D2100" s="2" t="str">
        <f t="shared" si="31"/>
        <v>OK</v>
      </c>
    </row>
    <row r="2101" spans="1:4" x14ac:dyDescent="0.2">
      <c r="A2101" s="10">
        <v>2040</v>
      </c>
      <c r="B2101" s="1816"/>
      <c r="C2101" s="2" t="s">
        <v>568</v>
      </c>
      <c r="D2101" s="2" t="str">
        <f t="shared" si="31"/>
        <v>OK</v>
      </c>
    </row>
    <row r="2102" spans="1:4" x14ac:dyDescent="0.2">
      <c r="A2102" s="5">
        <v>2041</v>
      </c>
      <c r="B2102" s="1816">
        <f>'Expenditures 15-22'!K310</f>
        <v>0</v>
      </c>
      <c r="C2102" s="2" t="s">
        <v>568</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568</v>
      </c>
      <c r="D2105" s="2" t="str">
        <f t="shared" si="31"/>
        <v>Error?</v>
      </c>
    </row>
    <row r="2106" spans="1:4" x14ac:dyDescent="0.2">
      <c r="A2106" s="5">
        <v>2045</v>
      </c>
      <c r="B2106" s="1816">
        <f>'Acct Summary 7-8'!I48</f>
        <v>21110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568</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0</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60472</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0</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25208374</v>
      </c>
      <c r="C2551" s="2" t="s">
        <v>568</v>
      </c>
      <c r="D2551" s="2" t="str">
        <f t="shared" si="38"/>
        <v>Error?</v>
      </c>
    </row>
    <row r="2552" spans="1:4" x14ac:dyDescent="0.2">
      <c r="A2552" s="10">
        <v>2491</v>
      </c>
      <c r="B2552" s="1816"/>
      <c r="D2552" s="2" t="str">
        <f t="shared" si="38"/>
        <v>OK</v>
      </c>
    </row>
    <row r="2553" spans="1:4" x14ac:dyDescent="0.2">
      <c r="A2553" s="5">
        <v>2492</v>
      </c>
      <c r="B2553" s="1816">
        <f>'Acct Summary 7-8'!C6</f>
        <v>1191609</v>
      </c>
      <c r="C2553" s="2" t="s">
        <v>568</v>
      </c>
      <c r="D2553" s="2" t="str">
        <f t="shared" si="38"/>
        <v>Error?</v>
      </c>
    </row>
    <row r="2554" spans="1:4" x14ac:dyDescent="0.2">
      <c r="A2554" s="5">
        <v>2493</v>
      </c>
      <c r="B2554" s="1816">
        <f>'Acct Summary 7-8'!C7</f>
        <v>457520</v>
      </c>
      <c r="C2554" s="2" t="s">
        <v>568</v>
      </c>
      <c r="D2554" s="2" t="str">
        <f t="shared" si="38"/>
        <v>Error?</v>
      </c>
    </row>
    <row r="2555" spans="1:4" x14ac:dyDescent="0.2">
      <c r="A2555" s="5">
        <v>2494</v>
      </c>
      <c r="B2555" s="1816">
        <f>'Acct Summary 7-8'!C8</f>
        <v>26857503</v>
      </c>
      <c r="C2555" s="2" t="s">
        <v>568</v>
      </c>
      <c r="D2555" s="2" t="str">
        <f t="shared" si="38"/>
        <v>Error?</v>
      </c>
    </row>
    <row r="2556" spans="1:4" x14ac:dyDescent="0.2">
      <c r="A2556" s="5">
        <v>2495</v>
      </c>
      <c r="B2556" s="1816">
        <f>'Acct Summary 7-8'!C12</f>
        <v>16786768</v>
      </c>
      <c r="C2556" s="2" t="s">
        <v>568</v>
      </c>
      <c r="D2556" s="2" t="str">
        <f t="shared" si="38"/>
        <v>Error?</v>
      </c>
    </row>
    <row r="2557" spans="1:4" x14ac:dyDescent="0.2">
      <c r="A2557" s="5">
        <v>2496</v>
      </c>
      <c r="B2557" s="1816">
        <f>'Acct Summary 7-8'!C13</f>
        <v>8849933</v>
      </c>
      <c r="C2557" s="2" t="s">
        <v>568</v>
      </c>
      <c r="D2557" s="2" t="str">
        <f t="shared" si="38"/>
        <v>Error?</v>
      </c>
    </row>
    <row r="2558" spans="1:4" x14ac:dyDescent="0.2">
      <c r="A2558" s="5">
        <v>2497</v>
      </c>
      <c r="B2558" s="1816">
        <f>'Acct Summary 7-8'!C14</f>
        <v>327845</v>
      </c>
      <c r="C2558" s="2" t="s">
        <v>568</v>
      </c>
      <c r="D2558" s="2" t="str">
        <f t="shared" si="38"/>
        <v>Error?</v>
      </c>
    </row>
    <row r="2559" spans="1:4" x14ac:dyDescent="0.2">
      <c r="A2559" s="5">
        <v>2498</v>
      </c>
      <c r="B2559" s="1816">
        <f>'Acct Summary 7-8'!C15</f>
        <v>658650</v>
      </c>
      <c r="C2559" s="2" t="s">
        <v>568</v>
      </c>
      <c r="D2559" s="2" t="str">
        <f t="shared" ref="D2559:D2622" si="39">IF(ISBLANK(B2559),"OK",IF(A2559-B2559=0,"OK","Error?"))</f>
        <v>Error?</v>
      </c>
    </row>
    <row r="2560" spans="1:4" x14ac:dyDescent="0.2">
      <c r="A2560" s="5">
        <v>2499</v>
      </c>
      <c r="B2560" s="1816">
        <f>'Acct Summary 7-8'!C16</f>
        <v>0</v>
      </c>
      <c r="C2560" s="2" t="s">
        <v>568</v>
      </c>
      <c r="D2560" s="2" t="str">
        <f t="shared" si="39"/>
        <v>Error?</v>
      </c>
    </row>
    <row r="2561" spans="1:4" x14ac:dyDescent="0.2">
      <c r="A2561" s="5">
        <v>2500</v>
      </c>
      <c r="B2561" s="1816">
        <f>'Acct Summary 7-8'!C17</f>
        <v>26623196</v>
      </c>
      <c r="C2561" s="2" t="s">
        <v>568</v>
      </c>
      <c r="D2561" s="2" t="str">
        <f t="shared" si="39"/>
        <v>Error?</v>
      </c>
    </row>
    <row r="2562" spans="1:4" x14ac:dyDescent="0.2">
      <c r="A2562" s="5">
        <v>2501</v>
      </c>
      <c r="B2562" s="1816">
        <f>'Acct Summary 7-8'!C20</f>
        <v>234307</v>
      </c>
      <c r="C2562" s="2" t="s">
        <v>568</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1864660</v>
      </c>
      <c r="C2564" s="2" t="s">
        <v>568</v>
      </c>
      <c r="D2564" s="2" t="str">
        <f t="shared" si="39"/>
        <v>Error?</v>
      </c>
    </row>
    <row r="2565" spans="1:4" x14ac:dyDescent="0.2">
      <c r="A2565" s="10">
        <v>2504</v>
      </c>
      <c r="B2565" s="1816"/>
      <c r="D2565" s="2" t="str">
        <f t="shared" si="39"/>
        <v>OK</v>
      </c>
    </row>
    <row r="2566" spans="1:4" x14ac:dyDescent="0.2">
      <c r="A2566" s="5">
        <v>2505</v>
      </c>
      <c r="B2566" s="1816">
        <f>'Acct Summary 7-8'!D6</f>
        <v>50000</v>
      </c>
      <c r="C2566" s="2" t="s">
        <v>568</v>
      </c>
      <c r="D2566" s="2" t="str">
        <f t="shared" si="39"/>
        <v>Error?</v>
      </c>
    </row>
    <row r="2567" spans="1:4" x14ac:dyDescent="0.2">
      <c r="A2567" s="5">
        <v>2506</v>
      </c>
      <c r="B2567" s="1816">
        <f>'Acct Summary 7-8'!D7</f>
        <v>0</v>
      </c>
      <c r="C2567" s="2" t="s">
        <v>568</v>
      </c>
      <c r="D2567" s="2" t="str">
        <f t="shared" si="39"/>
        <v>Error?</v>
      </c>
    </row>
    <row r="2568" spans="1:4" x14ac:dyDescent="0.2">
      <c r="A2568" s="5">
        <v>2507</v>
      </c>
      <c r="B2568" s="1816">
        <f>'Acct Summary 7-8'!D8</f>
        <v>1914660</v>
      </c>
      <c r="C2568" s="2" t="s">
        <v>568</v>
      </c>
      <c r="D2568" s="2" t="str">
        <f t="shared" si="39"/>
        <v>Error?</v>
      </c>
    </row>
    <row r="2569" spans="1:4" x14ac:dyDescent="0.2">
      <c r="A2569" s="5">
        <v>2508</v>
      </c>
      <c r="B2569" s="1816">
        <f>'Acct Summary 7-8'!D13</f>
        <v>2212611</v>
      </c>
      <c r="C2569" s="2" t="s">
        <v>568</v>
      </c>
      <c r="D2569" s="2" t="str">
        <f t="shared" si="39"/>
        <v>Error?</v>
      </c>
    </row>
    <row r="2570" spans="1:4" x14ac:dyDescent="0.2">
      <c r="A2570" s="5">
        <v>2509</v>
      </c>
      <c r="B2570" s="1816">
        <f>'Acct Summary 7-8'!D14</f>
        <v>0</v>
      </c>
      <c r="C2570" s="2" t="s">
        <v>568</v>
      </c>
      <c r="D2570" s="2" t="str">
        <f t="shared" si="39"/>
        <v>Error?</v>
      </c>
    </row>
    <row r="2571" spans="1:4" x14ac:dyDescent="0.2">
      <c r="A2571" s="5">
        <v>2510</v>
      </c>
      <c r="B2571" s="1816">
        <f>'Acct Summary 7-8'!D15</f>
        <v>0</v>
      </c>
      <c r="C2571" s="2" t="s">
        <v>568</v>
      </c>
      <c r="D2571" s="2" t="str">
        <f t="shared" si="39"/>
        <v>Error?</v>
      </c>
    </row>
    <row r="2572" spans="1:4" x14ac:dyDescent="0.2">
      <c r="A2572" s="5">
        <v>2511</v>
      </c>
      <c r="B2572" s="1816">
        <f>'Acct Summary 7-8'!D16</f>
        <v>0</v>
      </c>
      <c r="C2572" s="2" t="s">
        <v>568</v>
      </c>
      <c r="D2572" s="2" t="str">
        <f t="shared" si="39"/>
        <v>Error?</v>
      </c>
    </row>
    <row r="2573" spans="1:4" x14ac:dyDescent="0.2">
      <c r="A2573" s="5">
        <v>2512</v>
      </c>
      <c r="B2573" s="1816">
        <f>'Acct Summary 7-8'!D17</f>
        <v>2212611</v>
      </c>
      <c r="C2573" s="2" t="s">
        <v>568</v>
      </c>
      <c r="D2573" s="2" t="str">
        <f t="shared" si="39"/>
        <v>Error?</v>
      </c>
    </row>
    <row r="2574" spans="1:4" x14ac:dyDescent="0.2">
      <c r="A2574" s="5">
        <v>2513</v>
      </c>
      <c r="B2574" s="1816">
        <f>'Acct Summary 7-8'!D20</f>
        <v>-297951</v>
      </c>
      <c r="C2574" s="2" t="s">
        <v>568</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1355206</v>
      </c>
      <c r="C2591" s="2" t="s">
        <v>568</v>
      </c>
      <c r="D2591" s="2" t="str">
        <f t="shared" si="39"/>
        <v>Error?</v>
      </c>
    </row>
    <row r="2592" spans="1:4" x14ac:dyDescent="0.2">
      <c r="A2592" s="10">
        <v>2531</v>
      </c>
      <c r="B2592" s="1816"/>
      <c r="D2592" s="2" t="str">
        <f t="shared" si="39"/>
        <v>OK</v>
      </c>
    </row>
    <row r="2593" spans="1:4" x14ac:dyDescent="0.2">
      <c r="A2593" s="5">
        <v>2532</v>
      </c>
      <c r="B2593" s="1816">
        <f>'Acct Summary 7-8'!F6</f>
        <v>797091</v>
      </c>
      <c r="C2593" s="2" t="s">
        <v>568</v>
      </c>
      <c r="D2593" s="2" t="str">
        <f t="shared" si="39"/>
        <v>Error?</v>
      </c>
    </row>
    <row r="2594" spans="1:4" x14ac:dyDescent="0.2">
      <c r="A2594" s="5">
        <v>2533</v>
      </c>
      <c r="B2594" s="1816">
        <f>'Acct Summary 7-8'!F7</f>
        <v>0</v>
      </c>
      <c r="C2594" s="2" t="s">
        <v>568</v>
      </c>
      <c r="D2594" s="2" t="str">
        <f t="shared" si="39"/>
        <v>Error?</v>
      </c>
    </row>
    <row r="2595" spans="1:4" x14ac:dyDescent="0.2">
      <c r="A2595" s="5">
        <v>2534</v>
      </c>
      <c r="B2595" s="1816">
        <f>'Acct Summary 7-8'!F8</f>
        <v>2152297</v>
      </c>
      <c r="C2595" s="2" t="s">
        <v>568</v>
      </c>
      <c r="D2595" s="2" t="str">
        <f t="shared" si="39"/>
        <v>Error?</v>
      </c>
    </row>
    <row r="2596" spans="1:4" x14ac:dyDescent="0.2">
      <c r="A2596" s="5">
        <v>2535</v>
      </c>
      <c r="B2596" s="1816">
        <f>'Acct Summary 7-8'!F13</f>
        <v>2054463</v>
      </c>
      <c r="C2596" s="2" t="s">
        <v>568</v>
      </c>
      <c r="D2596" s="2" t="str">
        <f t="shared" si="39"/>
        <v>Error?</v>
      </c>
    </row>
    <row r="2597" spans="1:4" x14ac:dyDescent="0.2">
      <c r="A2597" s="5">
        <v>2536</v>
      </c>
      <c r="B2597" s="1816">
        <f>'Acct Summary 7-8'!F14</f>
        <v>0</v>
      </c>
      <c r="C2597" s="2" t="s">
        <v>568</v>
      </c>
      <c r="D2597" s="2" t="str">
        <f t="shared" si="39"/>
        <v>Error?</v>
      </c>
    </row>
    <row r="2598" spans="1:4" x14ac:dyDescent="0.2">
      <c r="A2598" s="5">
        <v>2537</v>
      </c>
      <c r="B2598" s="1816">
        <f>'Acct Summary 7-8'!F15</f>
        <v>0</v>
      </c>
      <c r="C2598" s="2" t="s">
        <v>568</v>
      </c>
      <c r="D2598" s="2" t="str">
        <f t="shared" si="39"/>
        <v>Error?</v>
      </c>
    </row>
    <row r="2599" spans="1:4" x14ac:dyDescent="0.2">
      <c r="A2599" s="5">
        <v>2538</v>
      </c>
      <c r="B2599" s="1816">
        <f>'Acct Summary 7-8'!F16</f>
        <v>0</v>
      </c>
      <c r="C2599" s="2" t="s">
        <v>568</v>
      </c>
      <c r="D2599" s="2" t="str">
        <f t="shared" si="39"/>
        <v>Error?</v>
      </c>
    </row>
    <row r="2600" spans="1:4" x14ac:dyDescent="0.2">
      <c r="A2600" s="5">
        <v>2539</v>
      </c>
      <c r="B2600" s="1816">
        <f>'Acct Summary 7-8'!F17</f>
        <v>2054463</v>
      </c>
      <c r="C2600" s="2" t="s">
        <v>568</v>
      </c>
      <c r="D2600" s="2" t="str">
        <f t="shared" si="39"/>
        <v>Error?</v>
      </c>
    </row>
    <row r="2601" spans="1:4" x14ac:dyDescent="0.2">
      <c r="A2601" s="5">
        <v>2540</v>
      </c>
      <c r="B2601" s="1816">
        <f>'Acct Summary 7-8'!F20</f>
        <v>97834</v>
      </c>
      <c r="C2601" s="2" t="s">
        <v>568</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1206546</v>
      </c>
      <c r="C2603" s="2" t="s">
        <v>568</v>
      </c>
      <c r="D2603" s="2" t="str">
        <f t="shared" si="39"/>
        <v>Error?</v>
      </c>
    </row>
    <row r="2604" spans="1:4" x14ac:dyDescent="0.2">
      <c r="A2604" s="5">
        <v>2543</v>
      </c>
      <c r="B2604" s="1816">
        <f>'Acct Summary 7-8'!G6</f>
        <v>0</v>
      </c>
      <c r="C2604" s="2" t="s">
        <v>568</v>
      </c>
      <c r="D2604" s="2" t="str">
        <f t="shared" si="39"/>
        <v>Error?</v>
      </c>
    </row>
    <row r="2605" spans="1:4" x14ac:dyDescent="0.2">
      <c r="A2605" s="5">
        <v>2544</v>
      </c>
      <c r="B2605" s="1816">
        <f>'Acct Summary 7-8'!G7</f>
        <v>0</v>
      </c>
      <c r="C2605" s="2" t="s">
        <v>568</v>
      </c>
      <c r="D2605" s="2" t="str">
        <f t="shared" si="39"/>
        <v>Error?</v>
      </c>
    </row>
    <row r="2606" spans="1:4" x14ac:dyDescent="0.2">
      <c r="A2606" s="5">
        <v>2545</v>
      </c>
      <c r="B2606" s="1816">
        <f>'Acct Summary 7-8'!G8</f>
        <v>1206546</v>
      </c>
      <c r="C2606" s="2" t="s">
        <v>568</v>
      </c>
      <c r="D2606" s="2" t="str">
        <f t="shared" si="39"/>
        <v>Error?</v>
      </c>
    </row>
    <row r="2607" spans="1:4" x14ac:dyDescent="0.2">
      <c r="A2607" s="5">
        <v>2546</v>
      </c>
      <c r="B2607" s="1816">
        <f>'Acct Summary 7-8'!G12</f>
        <v>364899</v>
      </c>
      <c r="C2607" s="2" t="s">
        <v>568</v>
      </c>
      <c r="D2607" s="2" t="str">
        <f t="shared" si="39"/>
        <v>Error?</v>
      </c>
    </row>
    <row r="2608" spans="1:4" x14ac:dyDescent="0.2">
      <c r="A2608" s="5">
        <v>2547</v>
      </c>
      <c r="B2608" s="1816">
        <f>'Acct Summary 7-8'!G13</f>
        <v>733386</v>
      </c>
      <c r="C2608" s="2" t="s">
        <v>568</v>
      </c>
      <c r="D2608" s="2" t="str">
        <f t="shared" si="39"/>
        <v>Error?</v>
      </c>
    </row>
    <row r="2609" spans="1:4" x14ac:dyDescent="0.2">
      <c r="A2609" s="5">
        <v>2548</v>
      </c>
      <c r="B2609" s="1816">
        <f>'Acct Summary 7-8'!G14</f>
        <v>38430</v>
      </c>
      <c r="C2609" s="2" t="s">
        <v>568</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568</v>
      </c>
      <c r="D2611" s="2" t="str">
        <f t="shared" si="39"/>
        <v>Error?</v>
      </c>
    </row>
    <row r="2612" spans="1:4" x14ac:dyDescent="0.2">
      <c r="A2612" s="5">
        <v>2551</v>
      </c>
      <c r="B2612" s="1816">
        <f>'Acct Summary 7-8'!G17</f>
        <v>1136715</v>
      </c>
      <c r="C2612" s="2" t="s">
        <v>568</v>
      </c>
      <c r="D2612" s="2" t="str">
        <f t="shared" si="39"/>
        <v>Error?</v>
      </c>
    </row>
    <row r="2613" spans="1:4" x14ac:dyDescent="0.2">
      <c r="A2613" s="5">
        <v>2552</v>
      </c>
      <c r="B2613" s="1816">
        <f>'Acct Summary 7-8'!G20</f>
        <v>69831</v>
      </c>
      <c r="C2613" s="2" t="s">
        <v>568</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360219</v>
      </c>
      <c r="C2630" s="2" t="s">
        <v>568</v>
      </c>
      <c r="D2630" s="2" t="str">
        <f t="shared" si="40"/>
        <v>Error?</v>
      </c>
    </row>
    <row r="2631" spans="1:4" x14ac:dyDescent="0.2">
      <c r="A2631" s="5">
        <v>2570</v>
      </c>
      <c r="B2631" s="1816">
        <f>'Acct Summary 7-8'!E6</f>
        <v>0</v>
      </c>
      <c r="C2631" s="2" t="s">
        <v>568</v>
      </c>
      <c r="D2631" s="2" t="str">
        <f t="shared" si="40"/>
        <v>Error?</v>
      </c>
    </row>
    <row r="2632" spans="1:4" x14ac:dyDescent="0.2">
      <c r="A2632" s="5">
        <v>2571</v>
      </c>
      <c r="B2632" s="1816">
        <f>'Acct Summary 7-8'!E8</f>
        <v>360219</v>
      </c>
      <c r="C2632" s="2" t="s">
        <v>568</v>
      </c>
      <c r="D2632" s="2" t="str">
        <f t="shared" si="40"/>
        <v>Error?</v>
      </c>
    </row>
    <row r="2633" spans="1:4" x14ac:dyDescent="0.2">
      <c r="A2633" s="5">
        <v>2572</v>
      </c>
      <c r="B2633" s="1816">
        <f>'Acct Summary 7-8'!E15</f>
        <v>0</v>
      </c>
      <c r="C2633" s="2" t="s">
        <v>568</v>
      </c>
      <c r="D2633" s="2" t="str">
        <f t="shared" si="40"/>
        <v>Error?</v>
      </c>
    </row>
    <row r="2634" spans="1:4" x14ac:dyDescent="0.2">
      <c r="A2634" s="5">
        <v>2573</v>
      </c>
      <c r="B2634" s="1816">
        <f>'Acct Summary 7-8'!E16</f>
        <v>1154987</v>
      </c>
      <c r="C2634" s="2" t="s">
        <v>568</v>
      </c>
      <c r="D2634" s="2" t="str">
        <f t="shared" si="40"/>
        <v>Error?</v>
      </c>
    </row>
    <row r="2635" spans="1:4" x14ac:dyDescent="0.2">
      <c r="A2635" s="5">
        <v>2574</v>
      </c>
      <c r="B2635" s="1816">
        <f>'Acct Summary 7-8'!E17</f>
        <v>1154987</v>
      </c>
      <c r="C2635" s="2" t="s">
        <v>568</v>
      </c>
      <c r="D2635" s="2" t="str">
        <f t="shared" si="40"/>
        <v>Error?</v>
      </c>
    </row>
    <row r="2636" spans="1:4" x14ac:dyDescent="0.2">
      <c r="A2636" s="5">
        <v>2575</v>
      </c>
      <c r="B2636" s="1816">
        <f>'Acct Summary 7-8'!E20</f>
        <v>-794768</v>
      </c>
      <c r="C2636" s="2" t="s">
        <v>568</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568</v>
      </c>
      <c r="D2638" s="2" t="str">
        <f t="shared" si="40"/>
        <v>OK</v>
      </c>
    </row>
    <row r="2639" spans="1:4" x14ac:dyDescent="0.2">
      <c r="A2639" s="10">
        <v>2578</v>
      </c>
      <c r="B2639" s="1816"/>
      <c r="C2639" s="2" t="s">
        <v>568</v>
      </c>
      <c r="D2639" s="2" t="str">
        <f t="shared" si="40"/>
        <v>OK</v>
      </c>
    </row>
    <row r="2640" spans="1:4" x14ac:dyDescent="0.2">
      <c r="A2640" s="10">
        <v>2579</v>
      </c>
      <c r="B2640" s="1816"/>
      <c r="C2640" s="2" t="s">
        <v>568</v>
      </c>
      <c r="D2640" s="2" t="str">
        <f t="shared" si="40"/>
        <v>OK</v>
      </c>
    </row>
    <row r="2641" spans="1:4" x14ac:dyDescent="0.2">
      <c r="A2641" s="10">
        <v>2580</v>
      </c>
      <c r="B2641" s="1816"/>
      <c r="C2641" s="2" t="s">
        <v>568</v>
      </c>
      <c r="D2641" s="2" t="str">
        <f t="shared" si="40"/>
        <v>OK</v>
      </c>
    </row>
    <row r="2642" spans="1:4" x14ac:dyDescent="0.2">
      <c r="A2642" s="10">
        <v>2581</v>
      </c>
      <c r="B2642" s="1816"/>
      <c r="C2642" s="2" t="s">
        <v>568</v>
      </c>
      <c r="D2642" s="2" t="str">
        <f t="shared" si="40"/>
        <v>OK</v>
      </c>
    </row>
    <row r="2643" spans="1:4" x14ac:dyDescent="0.2">
      <c r="A2643" s="10">
        <v>2582</v>
      </c>
      <c r="B2643" s="1816"/>
      <c r="C2643" s="2" t="s">
        <v>568</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0</v>
      </c>
      <c r="C2655" s="2" t="s">
        <v>568</v>
      </c>
      <c r="D2655" s="2" t="str">
        <f t="shared" si="40"/>
        <v>Error?</v>
      </c>
    </row>
    <row r="2656" spans="1:4" x14ac:dyDescent="0.2">
      <c r="A2656" s="5">
        <v>2595</v>
      </c>
      <c r="B2656" s="1816">
        <f>'Acct Summary 7-8'!H6</f>
        <v>0</v>
      </c>
      <c r="C2656" s="2" t="s">
        <v>568</v>
      </c>
      <c r="D2656" s="2" t="str">
        <f t="shared" si="40"/>
        <v>Error?</v>
      </c>
    </row>
    <row r="2657" spans="1:4" x14ac:dyDescent="0.2">
      <c r="A2657" s="5">
        <v>2596</v>
      </c>
      <c r="B2657" s="1816">
        <f>'Acct Summary 7-8'!H7</f>
        <v>0</v>
      </c>
      <c r="C2657" s="2" t="s">
        <v>568</v>
      </c>
      <c r="D2657" s="2" t="str">
        <f t="shared" si="40"/>
        <v>Error?</v>
      </c>
    </row>
    <row r="2658" spans="1:4" x14ac:dyDescent="0.2">
      <c r="A2658" s="5">
        <v>2597</v>
      </c>
      <c r="B2658" s="1816">
        <f>'Acct Summary 7-8'!H8</f>
        <v>0</v>
      </c>
      <c r="C2658" s="2" t="s">
        <v>568</v>
      </c>
      <c r="D2658" s="2" t="str">
        <f t="shared" si="40"/>
        <v>Error?</v>
      </c>
    </row>
    <row r="2659" spans="1:4" x14ac:dyDescent="0.2">
      <c r="A2659" s="5">
        <v>2598</v>
      </c>
      <c r="B2659" s="1816">
        <f>'Acct Summary 7-8'!H13</f>
        <v>3923539</v>
      </c>
      <c r="C2659" s="2" t="s">
        <v>568</v>
      </c>
      <c r="D2659" s="2" t="str">
        <f t="shared" si="40"/>
        <v>Error?</v>
      </c>
    </row>
    <row r="2660" spans="1:4" x14ac:dyDescent="0.2">
      <c r="A2660" s="5">
        <v>2599</v>
      </c>
      <c r="B2660" s="1816">
        <f>'Acct Summary 7-8'!H15</f>
        <v>0</v>
      </c>
      <c r="C2660" s="2" t="s">
        <v>568</v>
      </c>
      <c r="D2660" s="2" t="str">
        <f t="shared" si="40"/>
        <v>Error?</v>
      </c>
    </row>
    <row r="2661" spans="1:4" x14ac:dyDescent="0.2">
      <c r="A2661" s="5">
        <v>2600</v>
      </c>
      <c r="B2661" s="1816">
        <f>'Acct Summary 7-8'!H17</f>
        <v>3923539</v>
      </c>
      <c r="C2661" s="2" t="s">
        <v>568</v>
      </c>
      <c r="D2661" s="2" t="str">
        <f t="shared" si="40"/>
        <v>Error?</v>
      </c>
    </row>
    <row r="2662" spans="1:4" x14ac:dyDescent="0.2">
      <c r="A2662" s="5">
        <v>2601</v>
      </c>
      <c r="B2662" s="1816">
        <f>'Acct Summary 7-8'!H20</f>
        <v>-3923539</v>
      </c>
      <c r="C2662" s="2" t="s">
        <v>568</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261106</v>
      </c>
      <c r="D2718" s="2" t="str">
        <f t="shared" si="41"/>
        <v>Error?</v>
      </c>
    </row>
    <row r="2719" spans="1:4" x14ac:dyDescent="0.2">
      <c r="A2719" s="5">
        <v>2658</v>
      </c>
      <c r="B2719" s="1816">
        <f>'Expenditures 15-22'!D51</f>
        <v>72524</v>
      </c>
      <c r="D2719" s="2" t="str">
        <f t="shared" si="41"/>
        <v>Error?</v>
      </c>
    </row>
    <row r="2720" spans="1:4" x14ac:dyDescent="0.2">
      <c r="A2720" s="5">
        <v>2659</v>
      </c>
      <c r="B2720" s="1816">
        <f>'Expenditures 15-22'!E51</f>
        <v>9345</v>
      </c>
      <c r="D2720" s="2" t="str">
        <f t="shared" si="41"/>
        <v>Error?</v>
      </c>
    </row>
    <row r="2721" spans="1:4" x14ac:dyDescent="0.2">
      <c r="A2721" s="5">
        <v>2660</v>
      </c>
      <c r="B2721" s="1816">
        <f>'Expenditures 15-22'!F51</f>
        <v>1459</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450</v>
      </c>
      <c r="D2723" s="2" t="str">
        <f t="shared" si="41"/>
        <v>Error?</v>
      </c>
    </row>
    <row r="2724" spans="1:4" x14ac:dyDescent="0.2">
      <c r="A2724" s="5">
        <v>2663</v>
      </c>
      <c r="B2724" s="1816">
        <f>'Expenditures 15-22'!K51</f>
        <v>344884</v>
      </c>
      <c r="C2724" s="2" t="s">
        <v>568</v>
      </c>
      <c r="D2724" s="2" t="str">
        <f t="shared" si="41"/>
        <v>Error?</v>
      </c>
    </row>
    <row r="2725" spans="1:4" x14ac:dyDescent="0.2">
      <c r="A2725" s="5">
        <v>2664</v>
      </c>
      <c r="B2725" s="1816">
        <f>'Expenditures 15-22'!D247</f>
        <v>15000</v>
      </c>
      <c r="D2725" s="2" t="str">
        <f t="shared" si="41"/>
        <v>Error?</v>
      </c>
    </row>
    <row r="2726" spans="1:4" x14ac:dyDescent="0.2">
      <c r="A2726" s="5">
        <v>2665</v>
      </c>
      <c r="B2726" s="1816">
        <f>'Expenditures 15-22'!K247</f>
        <v>15000</v>
      </c>
      <c r="C2726" s="2" t="s">
        <v>568</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568</v>
      </c>
      <c r="D2733" s="2" t="str">
        <f t="shared" si="41"/>
        <v>Error?</v>
      </c>
    </row>
    <row r="2734" spans="1:4" x14ac:dyDescent="0.2">
      <c r="A2734" s="5">
        <v>2673</v>
      </c>
      <c r="B2734" s="1816">
        <f>'Short-Term Long-Term Debt 24'!F25</f>
        <v>0</v>
      </c>
      <c r="C2734" s="2" t="s">
        <v>568</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1993</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1141</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358650</v>
      </c>
      <c r="C2789" s="2" t="s">
        <v>568</v>
      </c>
      <c r="D2789" s="2" t="str">
        <f t="shared" si="42"/>
        <v>Error?</v>
      </c>
    </row>
    <row r="2790" spans="1:4" x14ac:dyDescent="0.2">
      <c r="A2790" s="5">
        <v>2729</v>
      </c>
      <c r="B2790" s="1816">
        <f>'Expenditures 15-22'!E102</f>
        <v>358650</v>
      </c>
      <c r="C2790" s="2" t="s">
        <v>568</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568</v>
      </c>
      <c r="D2795" s="2" t="str">
        <f t="shared" si="42"/>
        <v>Error?</v>
      </c>
    </row>
    <row r="2796" spans="1:4" x14ac:dyDescent="0.2">
      <c r="A2796" s="5">
        <v>2735</v>
      </c>
      <c r="B2796" s="1816">
        <f>'Expenditures 15-22'!K108</f>
        <v>0</v>
      </c>
      <c r="C2796" s="2" t="s">
        <v>568</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568</v>
      </c>
      <c r="D2804" s="2" t="str">
        <f t="shared" si="42"/>
        <v>OK</v>
      </c>
    </row>
    <row r="2805" spans="1:4" x14ac:dyDescent="0.2">
      <c r="A2805" s="5">
        <v>2744</v>
      </c>
      <c r="B2805" s="1816">
        <f>'Expenditures 15-22'!K130</f>
        <v>0</v>
      </c>
      <c r="C2805" s="2" t="s">
        <v>568</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568</v>
      </c>
      <c r="D2809" s="2" t="str">
        <f t="shared" si="42"/>
        <v>OK</v>
      </c>
    </row>
    <row r="2810" spans="1:4" x14ac:dyDescent="0.2">
      <c r="A2810" s="5">
        <v>2749</v>
      </c>
      <c r="B2810" s="1816">
        <f>'Expenditures 15-22'!K144</f>
        <v>0</v>
      </c>
      <c r="C2810" s="2" t="s">
        <v>568</v>
      </c>
      <c r="D2810" s="2" t="str">
        <f t="shared" si="42"/>
        <v>Error?</v>
      </c>
    </row>
    <row r="2811" spans="1:4" x14ac:dyDescent="0.2">
      <c r="A2811" s="5">
        <v>2750</v>
      </c>
      <c r="B2811" s="1816">
        <f>'Expenditures 15-22'!K145</f>
        <v>0</v>
      </c>
      <c r="C2811" s="2" t="s">
        <v>568</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568</v>
      </c>
      <c r="D2816" s="2" t="str">
        <f t="shared" si="43"/>
        <v>OK</v>
      </c>
    </row>
    <row r="2817" spans="1:4" x14ac:dyDescent="0.2">
      <c r="A2817" s="5">
        <v>2756</v>
      </c>
      <c r="B2817" s="1816">
        <f>'Acct Summary 7-8'!E50</f>
        <v>1141</v>
      </c>
      <c r="D2817" s="2" t="str">
        <f t="shared" si="43"/>
        <v>Error?</v>
      </c>
    </row>
    <row r="2818" spans="1:4" x14ac:dyDescent="0.2">
      <c r="A2818" s="5">
        <v>2757</v>
      </c>
      <c r="B2818" s="1816">
        <f>'Expenditures 15-22'!K165</f>
        <v>0</v>
      </c>
      <c r="C2818" s="2" t="s">
        <v>568</v>
      </c>
      <c r="D2818" s="2" t="str">
        <f t="shared" si="43"/>
        <v>Error?</v>
      </c>
    </row>
    <row r="2819" spans="1:4" x14ac:dyDescent="0.2">
      <c r="A2819" s="5">
        <v>2758</v>
      </c>
      <c r="B2819" s="1816">
        <f>'Expenditures 15-22'!K166</f>
        <v>0</v>
      </c>
      <c r="C2819" s="2" t="s">
        <v>568</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568</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568</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568</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568</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568</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568</v>
      </c>
      <c r="D2841" s="2" t="str">
        <f t="shared" si="43"/>
        <v>Error?</v>
      </c>
    </row>
    <row r="2842" spans="1:5" x14ac:dyDescent="0.2">
      <c r="A2842" s="5">
        <v>2781</v>
      </c>
      <c r="B2842" s="1816">
        <f>'Expenditures 15-22'!K202</f>
        <v>0</v>
      </c>
      <c r="C2842" s="2" t="s">
        <v>568</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568</v>
      </c>
      <c r="D2845" s="2" t="str">
        <f t="shared" si="43"/>
        <v>Error?</v>
      </c>
    </row>
    <row r="2846" spans="1:5" x14ac:dyDescent="0.2">
      <c r="A2846" s="5">
        <v>2785</v>
      </c>
      <c r="B2846" s="1816">
        <f>'Expenditures 15-22'!K291</f>
        <v>0</v>
      </c>
      <c r="C2846" s="2" t="s">
        <v>568</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4484990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72217</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520334</v>
      </c>
      <c r="C2888" s="2" t="s">
        <v>568</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35269</v>
      </c>
      <c r="C2895" s="2" t="s">
        <v>568</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568</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520334</v>
      </c>
      <c r="D2912" s="2" t="str">
        <f t="shared" si="44"/>
        <v>Error?</v>
      </c>
    </row>
    <row r="2913" spans="1:4" x14ac:dyDescent="0.2">
      <c r="A2913" s="5">
        <v>2852</v>
      </c>
      <c r="B2913" s="1816">
        <f>'Assets-Liab 5-6'!I41</f>
        <v>520334</v>
      </c>
      <c r="C2913" s="2" t="s">
        <v>568</v>
      </c>
      <c r="D2913" s="2" t="str">
        <f t="shared" si="44"/>
        <v>Error?</v>
      </c>
    </row>
    <row r="2914" spans="1:4" x14ac:dyDescent="0.2">
      <c r="A2914" s="5">
        <v>2853</v>
      </c>
      <c r="B2914" s="1816">
        <f>'Assets-Liab 5-6'!L33</f>
        <v>35269</v>
      </c>
      <c r="D2914" s="2" t="str">
        <f t="shared" si="44"/>
        <v>Error?</v>
      </c>
    </row>
    <row r="2915" spans="1:4" x14ac:dyDescent="0.2">
      <c r="A2915" s="10">
        <v>2854</v>
      </c>
      <c r="B2915" s="1816"/>
      <c r="D2915" s="2" t="str">
        <f t="shared" si="44"/>
        <v>OK</v>
      </c>
    </row>
    <row r="2916" spans="1:4" x14ac:dyDescent="0.2">
      <c r="A2916" s="5">
        <v>2855</v>
      </c>
      <c r="B2916" s="1816">
        <f>'Assets-Liab 5-6'!L34</f>
        <v>35269</v>
      </c>
      <c r="C2916" s="2" t="s">
        <v>568</v>
      </c>
      <c r="D2916" s="2" t="str">
        <f t="shared" si="44"/>
        <v>Error?</v>
      </c>
    </row>
    <row r="2917" spans="1:4" x14ac:dyDescent="0.2">
      <c r="A2917" s="5">
        <v>2856</v>
      </c>
      <c r="B2917" s="1816">
        <f>'Assets-Liab 5-6'!L41</f>
        <v>35269</v>
      </c>
      <c r="C2917" s="2" t="s">
        <v>568</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358650</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300000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568</v>
      </c>
      <c r="D2973" s="2" t="str">
        <f t="shared" si="45"/>
        <v>Error?</v>
      </c>
    </row>
    <row r="2974" spans="1:4" x14ac:dyDescent="0.2">
      <c r="A2974" s="5">
        <v>2913</v>
      </c>
      <c r="B2974" s="1816">
        <f>'Expenditures 15-22'!K79</f>
        <v>658650</v>
      </c>
      <c r="C2974" s="2" t="s">
        <v>568</v>
      </c>
      <c r="D2974" s="2" t="str">
        <f t="shared" si="45"/>
        <v>Error?</v>
      </c>
    </row>
    <row r="2975" spans="1:4" x14ac:dyDescent="0.2">
      <c r="A2975" s="5">
        <v>2914</v>
      </c>
      <c r="B2975" s="1816">
        <f>'Expenditures 15-22'!K80</f>
        <v>0</v>
      </c>
      <c r="C2975" s="2" t="s">
        <v>568</v>
      </c>
      <c r="D2975" s="2" t="str">
        <f t="shared" si="45"/>
        <v>Error?</v>
      </c>
    </row>
    <row r="2976" spans="1:4" x14ac:dyDescent="0.2">
      <c r="A2976" s="5">
        <v>2915</v>
      </c>
      <c r="B2976" s="1816">
        <f>'Expenditures 15-22'!K81</f>
        <v>0</v>
      </c>
      <c r="C2976" s="2" t="s">
        <v>568</v>
      </c>
      <c r="D2976" s="2" t="str">
        <f t="shared" si="45"/>
        <v>Error?</v>
      </c>
    </row>
    <row r="2977" spans="1:4" x14ac:dyDescent="0.2">
      <c r="A2977" s="5">
        <v>2916</v>
      </c>
      <c r="B2977" s="1816">
        <f>'Expenditures 15-22'!K82</f>
        <v>0</v>
      </c>
      <c r="C2977" s="2" t="s">
        <v>568</v>
      </c>
      <c r="D2977" s="2" t="str">
        <f t="shared" si="45"/>
        <v>Error?</v>
      </c>
    </row>
    <row r="2978" spans="1:4" x14ac:dyDescent="0.2">
      <c r="A2978" s="5">
        <v>2917</v>
      </c>
      <c r="B2978" s="1816">
        <f>'Expenditures 15-22'!K83</f>
        <v>0</v>
      </c>
      <c r="C2978" s="2" t="s">
        <v>568</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568</v>
      </c>
      <c r="D2985" s="2" t="str">
        <f t="shared" si="45"/>
        <v>OK</v>
      </c>
    </row>
    <row r="2986" spans="1:4" x14ac:dyDescent="0.2">
      <c r="A2986" s="5">
        <v>2925</v>
      </c>
      <c r="B2986" s="1816">
        <f>'Expenditures 15-22'!K134</f>
        <v>0</v>
      </c>
      <c r="C2986" s="2" t="s">
        <v>568</v>
      </c>
      <c r="D2986" s="2" t="str">
        <f t="shared" si="45"/>
        <v>Error?</v>
      </c>
    </row>
    <row r="2987" spans="1:4" x14ac:dyDescent="0.2">
      <c r="A2987" s="5">
        <v>2926</v>
      </c>
      <c r="B2987" s="1816">
        <f>'Expenditures 15-22'!K135</f>
        <v>0</v>
      </c>
      <c r="C2987" s="2" t="s">
        <v>568</v>
      </c>
      <c r="D2987" s="2" t="str">
        <f t="shared" si="45"/>
        <v>Error?</v>
      </c>
    </row>
    <row r="2988" spans="1:4" x14ac:dyDescent="0.2">
      <c r="A2988" s="5">
        <v>2927</v>
      </c>
      <c r="B2988" s="1816">
        <f>'Expenditures 15-22'!K136</f>
        <v>0</v>
      </c>
      <c r="C2988" s="2" t="s">
        <v>568</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568</v>
      </c>
      <c r="D3007" s="2" t="str">
        <f t="shared" ref="D3007:D3070" si="46">IF(ISBLANK(B3007),"OK",IF(A3007-B3007=0,"OK","Error?"))</f>
        <v>Error?</v>
      </c>
    </row>
    <row r="3008" spans="1:4" x14ac:dyDescent="0.2">
      <c r="A3008" s="5">
        <v>2947</v>
      </c>
      <c r="B3008" s="1816">
        <f>'Expenditures 15-22'!K189</f>
        <v>0</v>
      </c>
      <c r="C3008" s="2" t="s">
        <v>568</v>
      </c>
      <c r="D3008" s="2" t="str">
        <f t="shared" si="46"/>
        <v>Error?</v>
      </c>
    </row>
    <row r="3009" spans="1:5" x14ac:dyDescent="0.2">
      <c r="A3009" s="5">
        <v>2948</v>
      </c>
      <c r="B3009" s="1816">
        <f>'Expenditures 15-22'!K190</f>
        <v>0</v>
      </c>
      <c r="C3009" s="2" t="s">
        <v>568</v>
      </c>
      <c r="D3009" s="2" t="str">
        <f t="shared" si="46"/>
        <v>Error?</v>
      </c>
    </row>
    <row r="3010" spans="1:5" x14ac:dyDescent="0.2">
      <c r="A3010" s="5">
        <v>2949</v>
      </c>
      <c r="B3010" s="1816">
        <f>'Expenditures 15-22'!K191</f>
        <v>0</v>
      </c>
      <c r="C3010" s="2" t="s">
        <v>568</v>
      </c>
      <c r="D3010" s="2" t="str">
        <f t="shared" si="46"/>
        <v>Error?</v>
      </c>
    </row>
    <row r="3011" spans="1:5" x14ac:dyDescent="0.2">
      <c r="A3011" s="5">
        <v>2950</v>
      </c>
      <c r="B3011" s="1816">
        <f>'Expenditures 15-22'!K192</f>
        <v>0</v>
      </c>
      <c r="C3011" s="2" t="s">
        <v>568</v>
      </c>
      <c r="D3011" s="2" t="str">
        <f t="shared" si="46"/>
        <v>Error?</v>
      </c>
    </row>
    <row r="3012" spans="1:5" x14ac:dyDescent="0.2">
      <c r="A3012" s="5">
        <v>2951</v>
      </c>
      <c r="B3012" s="1816">
        <f>'Expenditures 15-22'!K193</f>
        <v>0</v>
      </c>
      <c r="C3012" s="2" t="s">
        <v>568</v>
      </c>
      <c r="D3012" s="2" t="str">
        <f t="shared" si="46"/>
        <v>Error?</v>
      </c>
    </row>
    <row r="3013" spans="1:5" x14ac:dyDescent="0.2">
      <c r="A3013" s="10">
        <v>2952</v>
      </c>
      <c r="B3013" s="1816"/>
      <c r="D3013" s="4" t="s">
        <v>1993</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796712</v>
      </c>
      <c r="D3055" s="2" t="str">
        <f t="shared" si="46"/>
        <v>Error?</v>
      </c>
    </row>
    <row r="3056" spans="1:4" x14ac:dyDescent="0.2">
      <c r="A3056" s="5">
        <v>2995</v>
      </c>
      <c r="B3056" s="1816">
        <f>'Expenditures 15-22'!D10</f>
        <v>83450</v>
      </c>
      <c r="D3056" s="2" t="str">
        <f t="shared" si="46"/>
        <v>Error?</v>
      </c>
    </row>
    <row r="3057" spans="1:4" x14ac:dyDescent="0.2">
      <c r="A3057" s="5">
        <v>2996</v>
      </c>
      <c r="B3057" s="1816">
        <f>'Expenditures 15-22'!E10</f>
        <v>0</v>
      </c>
      <c r="D3057" s="2" t="str">
        <f t="shared" si="46"/>
        <v>Error?</v>
      </c>
    </row>
    <row r="3058" spans="1:4" x14ac:dyDescent="0.2">
      <c r="A3058" s="5">
        <v>2997</v>
      </c>
      <c r="B3058" s="1816">
        <f>'Expenditures 15-22'!F10</f>
        <v>0</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880162</v>
      </c>
      <c r="C3062" s="2" t="s">
        <v>568</v>
      </c>
      <c r="D3062" s="2" t="str">
        <f t="shared" si="46"/>
        <v>Error?</v>
      </c>
    </row>
    <row r="3063" spans="1:4" x14ac:dyDescent="0.2">
      <c r="A3063" s="10">
        <v>3002</v>
      </c>
      <c r="B3063" s="1816"/>
      <c r="D3063" s="2" t="str">
        <f t="shared" si="46"/>
        <v>OK</v>
      </c>
    </row>
    <row r="3064" spans="1:4" x14ac:dyDescent="0.2">
      <c r="A3064" s="5">
        <v>3003</v>
      </c>
      <c r="B3064" s="1816">
        <f>'Expenditures 15-22'!D219</f>
        <v>16635</v>
      </c>
      <c r="D3064" s="2" t="str">
        <f t="shared" si="46"/>
        <v>Error?</v>
      </c>
    </row>
    <row r="3065" spans="1:4" x14ac:dyDescent="0.2">
      <c r="A3065" s="5">
        <v>3004</v>
      </c>
      <c r="B3065" s="1816">
        <f>'Expenditures 15-22'!K219</f>
        <v>16635</v>
      </c>
      <c r="C3065" s="2" t="s">
        <v>568</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568</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21110</v>
      </c>
      <c r="C3225" s="2" t="s">
        <v>568</v>
      </c>
      <c r="D3225" s="2" t="str">
        <f t="shared" si="49"/>
        <v>Error?</v>
      </c>
    </row>
    <row r="3226" spans="1:4" x14ac:dyDescent="0.2">
      <c r="A3226" s="5">
        <v>3165</v>
      </c>
      <c r="B3226" s="1816">
        <f>'Acct Summary 7-8'!I8</f>
        <v>21110</v>
      </c>
      <c r="C3226" s="2" t="s">
        <v>568</v>
      </c>
      <c r="D3226" s="2" t="str">
        <f t="shared" si="49"/>
        <v>Error?</v>
      </c>
    </row>
    <row r="3227" spans="1:4" x14ac:dyDescent="0.2">
      <c r="A3227" s="5">
        <v>3166</v>
      </c>
      <c r="B3227" s="1816">
        <f>'Acct Summary 7-8'!I20</f>
        <v>21110</v>
      </c>
      <c r="C3227" s="2" t="s">
        <v>568</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568</v>
      </c>
      <c r="D3229" s="2" t="str">
        <f t="shared" si="49"/>
        <v>Error?</v>
      </c>
    </row>
    <row r="3230" spans="1:4" x14ac:dyDescent="0.2">
      <c r="A3230" s="5">
        <v>3169</v>
      </c>
      <c r="B3230" s="1816">
        <f>'Acct Summary 7-8'!C75</f>
        <v>588613</v>
      </c>
      <c r="D3230" s="2" t="str">
        <f t="shared" si="49"/>
        <v>Error?</v>
      </c>
    </row>
    <row r="3231" spans="1:4" x14ac:dyDescent="0.2">
      <c r="A3231" s="5">
        <v>3170</v>
      </c>
      <c r="B3231" s="1816">
        <f>'Acct Summary 7-8'!C76</f>
        <v>4637665</v>
      </c>
      <c r="C3231" s="2" t="s">
        <v>568</v>
      </c>
      <c r="D3231" s="2" t="str">
        <f t="shared" si="49"/>
        <v>Error?</v>
      </c>
    </row>
    <row r="3232" spans="1:4" x14ac:dyDescent="0.2">
      <c r="A3232" s="5">
        <v>3171</v>
      </c>
      <c r="B3232" s="1816">
        <f>'Acct Summary 7-8'!C77</f>
        <v>-4637665</v>
      </c>
      <c r="C3232" s="2" t="s">
        <v>568</v>
      </c>
      <c r="D3232" s="2" t="str">
        <f t="shared" si="49"/>
        <v>Error?</v>
      </c>
    </row>
    <row r="3233" spans="1:4" x14ac:dyDescent="0.2">
      <c r="A3233" s="5">
        <v>3172</v>
      </c>
      <c r="B3233" s="1816">
        <f>'Acct Summary 7-8'!C78</f>
        <v>-4403358</v>
      </c>
      <c r="C3233" s="2" t="s">
        <v>568</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3947251</v>
      </c>
      <c r="C3235" s="2" t="s">
        <v>568</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3925000</v>
      </c>
      <c r="C3237" s="2" t="s">
        <v>568</v>
      </c>
      <c r="D3237" s="2" t="str">
        <f t="shared" si="49"/>
        <v>Error?</v>
      </c>
    </row>
    <row r="3238" spans="1:4" x14ac:dyDescent="0.2">
      <c r="A3238" s="5">
        <v>3177</v>
      </c>
      <c r="B3238" s="1816">
        <f>'Acct Summary 7-8'!D77</f>
        <v>22251</v>
      </c>
      <c r="C3238" s="2" t="s">
        <v>568</v>
      </c>
      <c r="D3238" s="2" t="str">
        <f t="shared" si="49"/>
        <v>Error?</v>
      </c>
    </row>
    <row r="3239" spans="1:4" x14ac:dyDescent="0.2">
      <c r="A3239" s="5">
        <v>3178</v>
      </c>
      <c r="B3239" s="1816">
        <f>'Acct Summary 7-8'!D78</f>
        <v>-275700</v>
      </c>
      <c r="C3239" s="2" t="s">
        <v>568</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568</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568</v>
      </c>
      <c r="D3254" s="2" t="str">
        <f t="shared" si="49"/>
        <v>Error?</v>
      </c>
    </row>
    <row r="3255" spans="1:4" x14ac:dyDescent="0.2">
      <c r="A3255" s="5">
        <v>3194</v>
      </c>
      <c r="B3255" s="1816">
        <f>'Acct Summary 7-8'!F77</f>
        <v>0</v>
      </c>
      <c r="C3255" s="2" t="s">
        <v>568</v>
      </c>
      <c r="D3255" s="2" t="str">
        <f t="shared" si="49"/>
        <v>Error?</v>
      </c>
    </row>
    <row r="3256" spans="1:4" x14ac:dyDescent="0.2">
      <c r="A3256" s="5">
        <v>3195</v>
      </c>
      <c r="B3256" s="1816">
        <f>'Acct Summary 7-8'!F78</f>
        <v>97834</v>
      </c>
      <c r="C3256" s="2" t="s">
        <v>568</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568</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568</v>
      </c>
      <c r="D3260" s="2" t="str">
        <f t="shared" si="49"/>
        <v>Error?</v>
      </c>
    </row>
    <row r="3261" spans="1:4" x14ac:dyDescent="0.2">
      <c r="A3261" s="5">
        <v>3200</v>
      </c>
      <c r="B3261" s="1816">
        <f>'Acct Summary 7-8'!G77</f>
        <v>0</v>
      </c>
      <c r="C3261" s="2" t="s">
        <v>568</v>
      </c>
      <c r="D3261" s="2" t="str">
        <f t="shared" si="49"/>
        <v>Error?</v>
      </c>
    </row>
    <row r="3262" spans="1:4" x14ac:dyDescent="0.2">
      <c r="A3262" s="5">
        <v>3201</v>
      </c>
      <c r="B3262" s="1816">
        <f>'Acct Summary 7-8'!G78</f>
        <v>69831</v>
      </c>
      <c r="C3262" s="2" t="s">
        <v>568</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588613</v>
      </c>
      <c r="D3273" s="2" t="str">
        <f t="shared" si="50"/>
        <v>Error?</v>
      </c>
    </row>
    <row r="3274" spans="1:4" x14ac:dyDescent="0.2">
      <c r="A3274" s="5">
        <v>3213</v>
      </c>
      <c r="B3274" s="1816">
        <f>'Acct Summary 7-8'!E44</f>
        <v>712665</v>
      </c>
      <c r="C3274" s="2" t="s">
        <v>568</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1141</v>
      </c>
      <c r="C3276" s="2" t="s">
        <v>568</v>
      </c>
      <c r="D3276" s="2" t="str">
        <f t="shared" si="50"/>
        <v>Error?</v>
      </c>
    </row>
    <row r="3277" spans="1:4" x14ac:dyDescent="0.2">
      <c r="A3277" s="5">
        <v>3216</v>
      </c>
      <c r="B3277" s="1816">
        <f>'Acct Summary 7-8'!E77</f>
        <v>711524</v>
      </c>
      <c r="C3277" s="2" t="s">
        <v>568</v>
      </c>
      <c r="D3277" s="2" t="str">
        <f t="shared" si="50"/>
        <v>Error?</v>
      </c>
    </row>
    <row r="3278" spans="1:4" x14ac:dyDescent="0.2">
      <c r="A3278" s="5">
        <v>3217</v>
      </c>
      <c r="B3278" s="1816">
        <f>'Acct Summary 7-8'!E78</f>
        <v>-83244</v>
      </c>
      <c r="C3278" s="2" t="s">
        <v>568</v>
      </c>
      <c r="D3278" s="2" t="str">
        <f t="shared" si="50"/>
        <v>Error?</v>
      </c>
    </row>
    <row r="3279" spans="1:4" x14ac:dyDescent="0.2">
      <c r="A3279" s="10">
        <v>3218</v>
      </c>
      <c r="B3279" s="1816"/>
      <c r="D3279" s="2" t="str">
        <f t="shared" si="50"/>
        <v>OK</v>
      </c>
    </row>
    <row r="3280" spans="1:4" x14ac:dyDescent="0.2">
      <c r="A3280" s="10">
        <v>3219</v>
      </c>
      <c r="B3280" s="1816"/>
      <c r="C3280" s="2" t="s">
        <v>568</v>
      </c>
      <c r="D3280" s="2" t="str">
        <f t="shared" si="50"/>
        <v>OK</v>
      </c>
    </row>
    <row r="3281" spans="1:4" x14ac:dyDescent="0.2">
      <c r="A3281" s="10">
        <v>3220</v>
      </c>
      <c r="B3281" s="1816"/>
      <c r="D3281" s="2" t="str">
        <f t="shared" si="50"/>
        <v>OK</v>
      </c>
    </row>
    <row r="3282" spans="1:4" x14ac:dyDescent="0.2">
      <c r="A3282" s="10">
        <v>3221</v>
      </c>
      <c r="B3282" s="1816"/>
      <c r="C3282" s="2" t="s">
        <v>568</v>
      </c>
      <c r="D3282" s="2" t="str">
        <f t="shared" si="50"/>
        <v>OK</v>
      </c>
    </row>
    <row r="3283" spans="1:4" x14ac:dyDescent="0.2">
      <c r="A3283" s="10">
        <v>3222</v>
      </c>
      <c r="B3283" s="1816"/>
      <c r="C3283" s="2" t="s">
        <v>568</v>
      </c>
      <c r="D3283" s="2" t="str">
        <f t="shared" si="50"/>
        <v>OK</v>
      </c>
    </row>
    <row r="3284" spans="1:4" x14ac:dyDescent="0.2">
      <c r="A3284" s="10">
        <v>3223</v>
      </c>
      <c r="B3284" s="1816"/>
      <c r="C3284" s="2" t="s">
        <v>568</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3925000</v>
      </c>
      <c r="C3296" s="2" t="s">
        <v>568</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568</v>
      </c>
      <c r="D3298" s="2" t="str">
        <f t="shared" si="50"/>
        <v>Error?</v>
      </c>
    </row>
    <row r="3299" spans="1:4" x14ac:dyDescent="0.2">
      <c r="A3299" s="5">
        <v>3238</v>
      </c>
      <c r="B3299" s="1816">
        <f>'Acct Summary 7-8'!H77</f>
        <v>3925000</v>
      </c>
      <c r="C3299" s="2" t="s">
        <v>568</v>
      </c>
      <c r="D3299" s="2" t="str">
        <f t="shared" si="50"/>
        <v>Error?</v>
      </c>
    </row>
    <row r="3300" spans="1:4" x14ac:dyDescent="0.2">
      <c r="A3300" s="5">
        <v>3239</v>
      </c>
      <c r="B3300" s="1816">
        <f>'Acct Summary 7-8'!H78</f>
        <v>1461</v>
      </c>
      <c r="C3300" s="2" t="s">
        <v>568</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568</v>
      </c>
      <c r="D3317" s="2" t="str">
        <f t="shared" si="50"/>
        <v>Error?</v>
      </c>
    </row>
    <row r="3318" spans="1:4" x14ac:dyDescent="0.2">
      <c r="A3318" s="5">
        <v>3257</v>
      </c>
      <c r="B3318" s="1816">
        <f>'Acct Summary 7-8'!I76</f>
        <v>21110</v>
      </c>
      <c r="C3318" s="2" t="s">
        <v>568</v>
      </c>
      <c r="D3318" s="2" t="str">
        <f t="shared" si="50"/>
        <v>Error?</v>
      </c>
    </row>
    <row r="3319" spans="1:4" x14ac:dyDescent="0.2">
      <c r="A3319" s="5">
        <v>3258</v>
      </c>
      <c r="B3319" s="1816">
        <f>'Acct Summary 7-8'!I77</f>
        <v>-21110</v>
      </c>
      <c r="C3319" s="2" t="s">
        <v>568</v>
      </c>
      <c r="D3319" s="2" t="str">
        <f t="shared" si="50"/>
        <v>Error?</v>
      </c>
    </row>
    <row r="3320" spans="1:4" x14ac:dyDescent="0.2">
      <c r="A3320" s="5">
        <v>3259</v>
      </c>
      <c r="B3320" s="1816">
        <f>'Acct Summary 7-8'!I78</f>
        <v>0</v>
      </c>
      <c r="C3320" s="2" t="s">
        <v>568</v>
      </c>
      <c r="D3320" s="2" t="str">
        <f t="shared" si="50"/>
        <v>Error?</v>
      </c>
    </row>
    <row r="3321" spans="1:4" x14ac:dyDescent="0.2">
      <c r="A3321" s="5">
        <v>3260</v>
      </c>
      <c r="B3321" s="1816">
        <f>'Acct Summary 7-8'!I79</f>
        <v>520334</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520334</v>
      </c>
      <c r="C3323" s="2" t="s">
        <v>568</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2072407</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468254</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79098</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14058</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5981</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2647042</v>
      </c>
      <c r="C3380" s="2" t="s">
        <v>568</v>
      </c>
      <c r="D3380" s="2" t="str">
        <f t="shared" si="51"/>
        <v>Error?</v>
      </c>
    </row>
    <row r="3381" spans="1:4" x14ac:dyDescent="0.2">
      <c r="A3381" s="5">
        <v>3320</v>
      </c>
      <c r="B3381" s="1816">
        <f>'Expenditures 15-22'!K19</f>
        <v>0</v>
      </c>
      <c r="C3381" s="2" t="s">
        <v>568</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171812</v>
      </c>
      <c r="D3387" s="2" t="str">
        <f t="shared" si="51"/>
        <v>Error?</v>
      </c>
    </row>
    <row r="3388" spans="1:4" x14ac:dyDescent="0.2">
      <c r="A3388" s="5">
        <v>3327</v>
      </c>
      <c r="B3388" s="1816">
        <f>'Expenditures 15-22'!D217</f>
        <v>137460</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171812</v>
      </c>
      <c r="C3390" s="2" t="s">
        <v>568</v>
      </c>
      <c r="D3390" s="2" t="str">
        <f t="shared" si="51"/>
        <v>Error?</v>
      </c>
    </row>
    <row r="3391" spans="1:4" x14ac:dyDescent="0.2">
      <c r="A3391" s="5">
        <v>3330</v>
      </c>
      <c r="B3391" s="1816">
        <f>'Expenditures 15-22'!K217</f>
        <v>137460</v>
      </c>
      <c r="C3391" s="2" t="s">
        <v>568</v>
      </c>
      <c r="D3391" s="2" t="str">
        <f t="shared" ref="D3391:D3454" si="52">IF(ISBLANK(B3391),"OK",IF(A3391-B3391=0,"OK","Error?"))</f>
        <v>Error?</v>
      </c>
    </row>
    <row r="3392" spans="1:4" x14ac:dyDescent="0.2">
      <c r="A3392" s="5">
        <v>3331</v>
      </c>
      <c r="B3392" s="1816">
        <f>'Expenditures 15-22'!K228</f>
        <v>0</v>
      </c>
      <c r="C3392" s="2" t="s">
        <v>568</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568</v>
      </c>
      <c r="D3405" s="2" t="str">
        <f t="shared" si="52"/>
        <v>Error?</v>
      </c>
    </row>
    <row r="3406" spans="1:4" x14ac:dyDescent="0.2">
      <c r="A3406" s="5">
        <v>3345</v>
      </c>
      <c r="B3406" s="1816">
        <f>'Acct Summary 7-8'!D5</f>
        <v>0</v>
      </c>
      <c r="C3406" s="2" t="s">
        <v>568</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568</v>
      </c>
      <c r="D3408" s="2" t="str">
        <f t="shared" si="52"/>
        <v>Error?</v>
      </c>
    </row>
    <row r="3409" spans="1:4" x14ac:dyDescent="0.2">
      <c r="A3409" s="5">
        <v>3348</v>
      </c>
      <c r="B3409" s="1816">
        <f>'Acct Summary 7-8'!G5</f>
        <v>0</v>
      </c>
      <c r="C3409" s="2" t="s">
        <v>568</v>
      </c>
      <c r="D3409" s="2" t="str">
        <f t="shared" si="52"/>
        <v>Error?</v>
      </c>
    </row>
    <row r="3410" spans="1:4" x14ac:dyDescent="0.2">
      <c r="A3410" s="10">
        <v>3349</v>
      </c>
      <c r="B3410" s="1816"/>
      <c r="D3410" s="2" t="str">
        <f t="shared" si="52"/>
        <v>OK</v>
      </c>
    </row>
    <row r="3411" spans="1:4" x14ac:dyDescent="0.2">
      <c r="A3411" s="5">
        <v>3350</v>
      </c>
      <c r="B3411" s="1816">
        <f>'Assets-Liab 5-6'!C4</f>
        <v>16745463</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547983</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2819</v>
      </c>
      <c r="D3417" s="2" t="str">
        <f t="shared" si="52"/>
        <v>Error?</v>
      </c>
    </row>
    <row r="3418" spans="1:4" x14ac:dyDescent="0.2">
      <c r="A3418" s="10">
        <v>3357</v>
      </c>
      <c r="B3418" s="1816"/>
      <c r="D3418" s="2" t="str">
        <f t="shared" si="52"/>
        <v>OK</v>
      </c>
    </row>
    <row r="3419" spans="1:4" x14ac:dyDescent="0.2">
      <c r="A3419" s="5">
        <v>3358</v>
      </c>
      <c r="B3419" s="1816">
        <f>'Assets-Liab 5-6'!F4</f>
        <v>1578195</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756580</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1937</v>
      </c>
      <c r="D3425" s="2" t="str">
        <f t="shared" si="52"/>
        <v>Error?</v>
      </c>
    </row>
    <row r="3426" spans="1:4" x14ac:dyDescent="0.2">
      <c r="A3426" s="10">
        <v>3365</v>
      </c>
      <c r="B3426" s="1816"/>
      <c r="D3426" s="2" t="str">
        <f t="shared" si="52"/>
        <v>OK</v>
      </c>
    </row>
    <row r="3427" spans="1:4" x14ac:dyDescent="0.2">
      <c r="A3427" s="5">
        <v>3366</v>
      </c>
      <c r="B3427" s="1816">
        <f>'Assets-Liab 5-6'!I4</f>
        <v>448117</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35269</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568</v>
      </c>
      <c r="D3444" s="2" t="str">
        <f t="shared" si="52"/>
        <v>OK</v>
      </c>
    </row>
    <row r="3445" spans="1:4" x14ac:dyDescent="0.2">
      <c r="A3445" s="10">
        <v>3384</v>
      </c>
      <c r="B3445" s="1816"/>
      <c r="C3445" s="2" t="s">
        <v>568</v>
      </c>
      <c r="D3445" s="2" t="str">
        <f t="shared" si="52"/>
        <v>OK</v>
      </c>
    </row>
    <row r="3446" spans="1:4" x14ac:dyDescent="0.2">
      <c r="A3446" s="5">
        <v>3385</v>
      </c>
      <c r="B3446" s="1816">
        <f>'Tax Sched 23'!B16</f>
        <v>654890</v>
      </c>
      <c r="C3446" s="2" t="s">
        <v>568</v>
      </c>
      <c r="D3446" s="2" t="str">
        <f t="shared" si="52"/>
        <v>Error?</v>
      </c>
    </row>
    <row r="3447" spans="1:4" x14ac:dyDescent="0.2">
      <c r="A3447" s="5">
        <v>3386</v>
      </c>
      <c r="B3447" s="1816">
        <f>'Tax Sched 23'!D16</f>
        <v>356700</v>
      </c>
      <c r="C3447" s="2" t="s">
        <v>568</v>
      </c>
      <c r="D3447" s="2" t="str">
        <f t="shared" si="52"/>
        <v>Error?</v>
      </c>
    </row>
    <row r="3448" spans="1:4" x14ac:dyDescent="0.2">
      <c r="A3448" s="5">
        <v>3387</v>
      </c>
      <c r="B3448" s="1816">
        <f>'Tax Sched 23'!C16</f>
        <v>298190</v>
      </c>
      <c r="D3448" s="2" t="str">
        <f t="shared" si="52"/>
        <v>Error?</v>
      </c>
    </row>
    <row r="3449" spans="1:4" x14ac:dyDescent="0.2">
      <c r="A3449" s="5">
        <v>3388</v>
      </c>
      <c r="B3449" s="1816">
        <f>'Tax Sched 23'!F16</f>
        <v>433613</v>
      </c>
      <c r="C3449" s="2" t="s">
        <v>568</v>
      </c>
      <c r="D3449" s="2" t="str">
        <f t="shared" si="52"/>
        <v>Error?</v>
      </c>
    </row>
    <row r="3450" spans="1:4" x14ac:dyDescent="0.2">
      <c r="A3450" s="5">
        <v>3389</v>
      </c>
      <c r="B3450" s="1816">
        <f>'Tax Sched 23'!E16</f>
        <v>731803</v>
      </c>
      <c r="D3450" s="2" t="str">
        <f t="shared" si="52"/>
        <v>Error?</v>
      </c>
    </row>
    <row r="3451" spans="1:4" x14ac:dyDescent="0.2">
      <c r="A3451" s="5">
        <v>3390</v>
      </c>
      <c r="B3451" s="1816">
        <f>'Cap Outlay Deprec 26'!C15</f>
        <v>330622</v>
      </c>
      <c r="D3451" s="2" t="str">
        <f t="shared" si="52"/>
        <v>Error?</v>
      </c>
    </row>
    <row r="3452" spans="1:4" x14ac:dyDescent="0.2">
      <c r="A3452" s="5">
        <v>3391</v>
      </c>
      <c r="B3452" s="1816">
        <f>'Cap Outlay Deprec 26'!D15</f>
        <v>4154368</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4484990</v>
      </c>
      <c r="C3454" s="2" t="s">
        <v>568</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4484990</v>
      </c>
      <c r="C3459" s="2" t="s">
        <v>568</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568</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1993</v>
      </c>
      <c r="E3521" s="4" t="s">
        <v>134</v>
      </c>
    </row>
    <row r="3522" spans="1:5" x14ac:dyDescent="0.2">
      <c r="A3522" s="10">
        <v>3461</v>
      </c>
      <c r="B3522" s="1816"/>
      <c r="D3522" s="4" t="s">
        <v>1993</v>
      </c>
      <c r="E3522" s="4" t="s">
        <v>134</v>
      </c>
    </row>
    <row r="3523" spans="1:5" x14ac:dyDescent="0.2">
      <c r="A3523" s="10">
        <v>3462</v>
      </c>
      <c r="B3523" s="1816"/>
      <c r="D3523" s="4" t="s">
        <v>1993</v>
      </c>
      <c r="E3523" s="4" t="s">
        <v>134</v>
      </c>
    </row>
    <row r="3524" spans="1:5" x14ac:dyDescent="0.2">
      <c r="A3524" s="10">
        <v>3463</v>
      </c>
      <c r="B3524" s="1816"/>
      <c r="D3524" s="4" t="s">
        <v>1993</v>
      </c>
      <c r="E3524" s="4" t="s">
        <v>134</v>
      </c>
    </row>
    <row r="3525" spans="1:5" x14ac:dyDescent="0.2">
      <c r="A3525" s="10">
        <v>3464</v>
      </c>
      <c r="B3525" s="1816"/>
      <c r="D3525" s="4" t="s">
        <v>1993</v>
      </c>
      <c r="E3525" s="4" t="s">
        <v>134</v>
      </c>
    </row>
    <row r="3526" spans="1:5" x14ac:dyDescent="0.2">
      <c r="A3526" s="10">
        <v>3465</v>
      </c>
      <c r="B3526" s="1816"/>
      <c r="D3526" s="4" t="s">
        <v>1993</v>
      </c>
      <c r="E3526" s="4" t="s">
        <v>134</v>
      </c>
    </row>
    <row r="3527" spans="1:5" x14ac:dyDescent="0.2">
      <c r="A3527" s="10">
        <v>3466</v>
      </c>
      <c r="B3527" s="1816"/>
      <c r="D3527" s="4" t="s">
        <v>1993</v>
      </c>
      <c r="E3527" s="4" t="s">
        <v>134</v>
      </c>
    </row>
    <row r="3528" spans="1:5" x14ac:dyDescent="0.2">
      <c r="A3528" s="10">
        <v>3467</v>
      </c>
      <c r="B3528" s="1816"/>
      <c r="D3528" s="4" t="s">
        <v>1993</v>
      </c>
      <c r="E3528" s="4" t="s">
        <v>134</v>
      </c>
    </row>
    <row r="3529" spans="1:5" x14ac:dyDescent="0.2">
      <c r="A3529" s="10">
        <v>3468</v>
      </c>
      <c r="B3529" s="1816"/>
      <c r="D3529" s="4" t="s">
        <v>1993</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0</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0</v>
      </c>
      <c r="C3552" s="2" t="s">
        <v>568</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568</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0</v>
      </c>
      <c r="D3567" s="2" t="str">
        <f t="shared" si="54"/>
        <v>Error?</v>
      </c>
    </row>
    <row r="3568" spans="1:4" x14ac:dyDescent="0.2">
      <c r="A3568" s="5">
        <v>3507</v>
      </c>
      <c r="B3568" s="1816">
        <f>'Assets-Liab 5-6'!K41</f>
        <v>0</v>
      </c>
      <c r="C3568" s="2" t="s">
        <v>568</v>
      </c>
      <c r="D3568" s="2" t="str">
        <f t="shared" si="54"/>
        <v>Error?</v>
      </c>
    </row>
    <row r="3569" spans="1:4" x14ac:dyDescent="0.2">
      <c r="A3569" s="5">
        <v>3508</v>
      </c>
      <c r="B3569" s="1816">
        <f>'Acct Summary 7-8'!K4</f>
        <v>0</v>
      </c>
      <c r="C3569" s="2" t="s">
        <v>568</v>
      </c>
      <c r="D3569" s="2" t="str">
        <f t="shared" si="54"/>
        <v>Error?</v>
      </c>
    </row>
    <row r="3570" spans="1:4" x14ac:dyDescent="0.2">
      <c r="A3570" s="5">
        <v>3509</v>
      </c>
      <c r="B3570" s="1816">
        <f>'Acct Summary 7-8'!K6</f>
        <v>0</v>
      </c>
      <c r="C3570" s="2" t="s">
        <v>568</v>
      </c>
      <c r="D3570" s="2" t="str">
        <f t="shared" si="54"/>
        <v>Error?</v>
      </c>
    </row>
    <row r="3571" spans="1:4" x14ac:dyDescent="0.2">
      <c r="A3571" s="5">
        <v>3510</v>
      </c>
      <c r="B3571" s="1816">
        <f>'Acct Summary 7-8'!K8</f>
        <v>0</v>
      </c>
      <c r="C3571" s="2" t="s">
        <v>568</v>
      </c>
      <c r="D3571" s="2" t="str">
        <f t="shared" si="54"/>
        <v>Error?</v>
      </c>
    </row>
    <row r="3572" spans="1:4" x14ac:dyDescent="0.2">
      <c r="A3572" s="5">
        <v>3511</v>
      </c>
      <c r="B3572" s="1816">
        <f>'Acct Summary 7-8'!K13</f>
        <v>0</v>
      </c>
      <c r="C3572" s="2" t="s">
        <v>568</v>
      </c>
      <c r="D3572" s="2" t="str">
        <f t="shared" si="54"/>
        <v>Error?</v>
      </c>
    </row>
    <row r="3573" spans="1:4" x14ac:dyDescent="0.2">
      <c r="A3573" s="5">
        <v>3512</v>
      </c>
      <c r="B3573" s="1816">
        <f>'Acct Summary 7-8'!K15</f>
        <v>0</v>
      </c>
      <c r="C3573" s="2" t="s">
        <v>568</v>
      </c>
      <c r="D3573" s="2" t="str">
        <f t="shared" si="54"/>
        <v>Error?</v>
      </c>
    </row>
    <row r="3574" spans="1:4" x14ac:dyDescent="0.2">
      <c r="A3574" s="5">
        <v>3513</v>
      </c>
      <c r="B3574" s="1816">
        <f>'Acct Summary 7-8'!K16</f>
        <v>0</v>
      </c>
      <c r="C3574" s="2" t="s">
        <v>568</v>
      </c>
      <c r="D3574" s="2" t="str">
        <f t="shared" si="54"/>
        <v>Error?</v>
      </c>
    </row>
    <row r="3575" spans="1:4" x14ac:dyDescent="0.2">
      <c r="A3575" s="5">
        <v>3514</v>
      </c>
      <c r="B3575" s="1816">
        <f>'Acct Summary 7-8'!K17</f>
        <v>0</v>
      </c>
      <c r="C3575" s="2" t="s">
        <v>568</v>
      </c>
      <c r="D3575" s="2" t="str">
        <f t="shared" si="54"/>
        <v>Error?</v>
      </c>
    </row>
    <row r="3576" spans="1:4" x14ac:dyDescent="0.2">
      <c r="A3576" s="5">
        <v>3515</v>
      </c>
      <c r="B3576" s="1816">
        <f>'Acct Summary 7-8'!K20</f>
        <v>0</v>
      </c>
      <c r="C3576" s="2" t="s">
        <v>568</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568</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568</v>
      </c>
      <c r="D3586" s="2" t="str">
        <f t="shared" si="55"/>
        <v>Error?</v>
      </c>
    </row>
    <row r="3587" spans="1:4" x14ac:dyDescent="0.2">
      <c r="A3587" s="5">
        <v>3526</v>
      </c>
      <c r="B3587" s="1816">
        <f>'Acct Summary 7-8'!K77</f>
        <v>0</v>
      </c>
      <c r="C3587" s="2" t="s">
        <v>568</v>
      </c>
      <c r="D3587" s="2" t="str">
        <f t="shared" si="55"/>
        <v>Error?</v>
      </c>
    </row>
    <row r="3588" spans="1:4" x14ac:dyDescent="0.2">
      <c r="A3588" s="5">
        <v>3527</v>
      </c>
      <c r="B3588" s="1816">
        <f>'Acct Summary 7-8'!K78</f>
        <v>0</v>
      </c>
      <c r="C3588" s="2" t="s">
        <v>568</v>
      </c>
      <c r="D3588" s="2" t="str">
        <f t="shared" si="55"/>
        <v>Error?</v>
      </c>
    </row>
    <row r="3589" spans="1:4" x14ac:dyDescent="0.2">
      <c r="A3589" s="5">
        <v>3528</v>
      </c>
      <c r="B3589" s="1816">
        <f>'Acct Summary 7-8'!K79</f>
        <v>0</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0</v>
      </c>
      <c r="C3591" s="2" t="s">
        <v>568</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568</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568</v>
      </c>
      <c r="D3621" s="2" t="str">
        <f t="shared" si="55"/>
        <v>Error?</v>
      </c>
    </row>
    <row r="3622" spans="1:4" x14ac:dyDescent="0.2">
      <c r="A3622" s="5">
        <v>3561</v>
      </c>
      <c r="B3622" s="1816">
        <f>'Expenditures 15-22'!C367</f>
        <v>0</v>
      </c>
      <c r="C3622" s="2" t="s">
        <v>568</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568</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568</v>
      </c>
      <c r="D3628" s="2" t="str">
        <f t="shared" si="55"/>
        <v>Error?</v>
      </c>
    </row>
    <row r="3629" spans="1:4" x14ac:dyDescent="0.2">
      <c r="A3629" s="5">
        <v>3568</v>
      </c>
      <c r="B3629" s="1816">
        <f>'Expenditures 15-22'!D367</f>
        <v>0</v>
      </c>
      <c r="C3629" s="2" t="s">
        <v>568</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568</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568</v>
      </c>
      <c r="D3635" s="2" t="str">
        <f t="shared" si="55"/>
        <v>Error?</v>
      </c>
    </row>
    <row r="3636" spans="1:4" x14ac:dyDescent="0.2">
      <c r="A3636" s="5">
        <v>3575</v>
      </c>
      <c r="B3636" s="1816">
        <f>'Expenditures 15-22'!E367</f>
        <v>0</v>
      </c>
      <c r="C3636" s="2" t="s">
        <v>568</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568</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568</v>
      </c>
      <c r="D3642" s="2" t="str">
        <f t="shared" si="55"/>
        <v>Error?</v>
      </c>
    </row>
    <row r="3643" spans="1:4" x14ac:dyDescent="0.2">
      <c r="A3643" s="5">
        <v>3582</v>
      </c>
      <c r="B3643" s="1816">
        <f>'Expenditures 15-22'!F367</f>
        <v>0</v>
      </c>
      <c r="C3643" s="2" t="s">
        <v>568</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568</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568</v>
      </c>
      <c r="D3649" s="2" t="str">
        <f t="shared" si="56"/>
        <v>Error?</v>
      </c>
    </row>
    <row r="3650" spans="1:4" x14ac:dyDescent="0.2">
      <c r="A3650" s="5">
        <v>3589</v>
      </c>
      <c r="B3650" s="1816">
        <f>'Expenditures 15-22'!G367</f>
        <v>0</v>
      </c>
      <c r="C3650" s="2" t="s">
        <v>568</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568</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568</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568</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568</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568</v>
      </c>
      <c r="D3668" s="2" t="str">
        <f t="shared" si="56"/>
        <v>Error?</v>
      </c>
    </row>
    <row r="3669" spans="1:4" x14ac:dyDescent="0.2">
      <c r="A3669" s="5">
        <v>3608</v>
      </c>
      <c r="B3669" s="1816">
        <f>'Expenditures 15-22'!K349</f>
        <v>0</v>
      </c>
      <c r="C3669" s="2" t="s">
        <v>568</v>
      </c>
      <c r="D3669" s="2" t="str">
        <f t="shared" si="56"/>
        <v>Error?</v>
      </c>
    </row>
    <row r="3670" spans="1:4" x14ac:dyDescent="0.2">
      <c r="A3670" s="5">
        <v>3609</v>
      </c>
      <c r="B3670" s="1816">
        <f>'Expenditures 15-22'!K350</f>
        <v>0</v>
      </c>
      <c r="C3670" s="2" t="s">
        <v>568</v>
      </c>
      <c r="D3670" s="2" t="str">
        <f t="shared" si="56"/>
        <v>Error?</v>
      </c>
    </row>
    <row r="3671" spans="1:4" x14ac:dyDescent="0.2">
      <c r="A3671" s="5">
        <v>3610</v>
      </c>
      <c r="B3671" s="1816">
        <f>'Expenditures 15-22'!K351</f>
        <v>0</v>
      </c>
      <c r="C3671" s="2" t="s">
        <v>568</v>
      </c>
      <c r="D3671" s="2" t="str">
        <f t="shared" si="56"/>
        <v>Error?</v>
      </c>
    </row>
    <row r="3672" spans="1:4" x14ac:dyDescent="0.2">
      <c r="A3672" s="5">
        <v>3611</v>
      </c>
      <c r="B3672" s="1816">
        <f>'Expenditures 15-22'!K352</f>
        <v>0</v>
      </c>
      <c r="C3672" s="2" t="s">
        <v>568</v>
      </c>
      <c r="D3672" s="2" t="str">
        <f t="shared" si="56"/>
        <v>Error?</v>
      </c>
    </row>
    <row r="3673" spans="1:4" x14ac:dyDescent="0.2">
      <c r="A3673" s="5">
        <v>3612</v>
      </c>
      <c r="B3673" s="1816">
        <f>'Expenditures 15-22'!K356</f>
        <v>0</v>
      </c>
      <c r="C3673" s="2" t="s">
        <v>568</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568</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0</v>
      </c>
      <c r="C3678" s="2" t="s">
        <v>568</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0</v>
      </c>
      <c r="C3681" s="2" t="s">
        <v>568</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568</v>
      </c>
      <c r="D3688" s="2" t="str">
        <f t="shared" si="56"/>
        <v>Error?</v>
      </c>
    </row>
    <row r="3689" spans="1:4" x14ac:dyDescent="0.2">
      <c r="A3689" s="5">
        <v>3628</v>
      </c>
      <c r="B3689" s="1816">
        <f>'Short-Term Long-Term Debt 24'!F19</f>
        <v>0</v>
      </c>
      <c r="C3689" s="2" t="s">
        <v>568</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568</v>
      </c>
      <c r="D3702" s="2" t="str">
        <f t="shared" si="56"/>
        <v>Error?</v>
      </c>
    </row>
    <row r="3703" spans="1:4" x14ac:dyDescent="0.2">
      <c r="A3703" s="5">
        <v>3642</v>
      </c>
      <c r="B3703" s="1816">
        <f>'Acct Summary 7-8'!K53</f>
        <v>0</v>
      </c>
      <c r="C3703" s="2" t="s">
        <v>568</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568</v>
      </c>
      <c r="D3717" s="2" t="str">
        <f t="shared" si="57"/>
        <v>Error?</v>
      </c>
    </row>
    <row r="3718" spans="1:4" x14ac:dyDescent="0.2">
      <c r="A3718" s="5">
        <v>3657</v>
      </c>
      <c r="B3718" s="1816">
        <f>'Acct Summary 7-8'!K7</f>
        <v>0</v>
      </c>
      <c r="C3718" s="2" t="s">
        <v>568</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568</v>
      </c>
      <c r="D3722" s="2" t="str">
        <f t="shared" si="57"/>
        <v>Error?</v>
      </c>
    </row>
    <row r="3723" spans="1:4" x14ac:dyDescent="0.2">
      <c r="A3723" s="5">
        <v>3662</v>
      </c>
      <c r="B3723" s="1816">
        <f>'Expenditures 15-22'!K283</f>
        <v>0</v>
      </c>
      <c r="C3723" s="2" t="s">
        <v>568</v>
      </c>
      <c r="D3723" s="2" t="str">
        <f t="shared" si="57"/>
        <v>Error?</v>
      </c>
    </row>
    <row r="3724" spans="1:4" x14ac:dyDescent="0.2">
      <c r="A3724" s="5">
        <v>3663</v>
      </c>
      <c r="B3724" s="1816">
        <f>'Expenditures 15-22'!K285</f>
        <v>0</v>
      </c>
      <c r="C3724" s="2" t="s">
        <v>568</v>
      </c>
      <c r="D3724" s="2" t="str">
        <f t="shared" si="57"/>
        <v>Error?</v>
      </c>
    </row>
    <row r="3725" spans="1:4" x14ac:dyDescent="0.2">
      <c r="A3725" s="5">
        <v>3664</v>
      </c>
      <c r="B3725" s="1816">
        <f>'Tax Sched 23'!B13</f>
        <v>0</v>
      </c>
      <c r="C3725" s="2" t="s">
        <v>568</v>
      </c>
      <c r="D3725" s="2" t="str">
        <f t="shared" si="57"/>
        <v>Error?</v>
      </c>
    </row>
    <row r="3726" spans="1:4" x14ac:dyDescent="0.2">
      <c r="A3726" s="5">
        <v>3665</v>
      </c>
      <c r="B3726" s="1816">
        <f>'Tax Sched 23'!D13</f>
        <v>0</v>
      </c>
      <c r="C3726" s="2" t="s">
        <v>568</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0</v>
      </c>
      <c r="C3728" s="2" t="s">
        <v>568</v>
      </c>
      <c r="D3728" s="2" t="str">
        <f t="shared" si="57"/>
        <v>Error?</v>
      </c>
    </row>
    <row r="3729" spans="1:4" x14ac:dyDescent="0.2">
      <c r="A3729" s="5">
        <v>3668</v>
      </c>
      <c r="B3729" s="1816">
        <f>'Tax Sched 23'!E13</f>
        <v>0</v>
      </c>
      <c r="D3729" s="2" t="str">
        <f t="shared" si="57"/>
        <v>Error?</v>
      </c>
    </row>
    <row r="3730" spans="1:4" x14ac:dyDescent="0.2">
      <c r="A3730" s="5">
        <v>3669</v>
      </c>
      <c r="B3730" s="1816">
        <f>'ICR Computation 30'!E10</f>
        <v>200</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568</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568</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568</v>
      </c>
      <c r="D4098" s="2" t="str">
        <f t="shared" si="63"/>
        <v>OK</v>
      </c>
    </row>
    <row r="4099" spans="1:4" x14ac:dyDescent="0.2">
      <c r="A4099" s="5">
        <v>4038</v>
      </c>
      <c r="B4099" s="1816">
        <f>'Expenditures 15-22'!K307</f>
        <v>0</v>
      </c>
      <c r="C4099" s="2" t="s">
        <v>568</v>
      </c>
      <c r="D4099" s="2" t="str">
        <f t="shared" si="63"/>
        <v>Error?</v>
      </c>
    </row>
    <row r="4100" spans="1:4" x14ac:dyDescent="0.2">
      <c r="A4100" s="5">
        <v>4039</v>
      </c>
      <c r="B4100" s="1816">
        <f>'Expenditures 15-22'!K308</f>
        <v>0</v>
      </c>
      <c r="C4100" s="2" t="s">
        <v>568</v>
      </c>
      <c r="D4100" s="2" t="str">
        <f t="shared" si="63"/>
        <v>Error?</v>
      </c>
    </row>
    <row r="4101" spans="1:4" x14ac:dyDescent="0.2">
      <c r="A4101" s="10">
        <v>4040</v>
      </c>
      <c r="B4101" s="1816"/>
      <c r="C4101" s="2" t="s">
        <v>568</v>
      </c>
      <c r="D4101" s="2" t="str">
        <f t="shared" si="63"/>
        <v>OK</v>
      </c>
    </row>
    <row r="4102" spans="1:4" x14ac:dyDescent="0.2">
      <c r="A4102" s="5">
        <v>4041</v>
      </c>
      <c r="B4102" s="1816">
        <f>'Tax Sched 23'!B17</f>
        <v>0</v>
      </c>
      <c r="C4102" s="2" t="s">
        <v>568</v>
      </c>
      <c r="D4102" s="2" t="str">
        <f t="shared" si="63"/>
        <v>Error?</v>
      </c>
    </row>
    <row r="4103" spans="1:4" x14ac:dyDescent="0.2">
      <c r="A4103" s="5">
        <v>4042</v>
      </c>
      <c r="B4103" s="1816">
        <f>'Tax Sched 23'!B18</f>
        <v>0</v>
      </c>
      <c r="C4103" s="2" t="s">
        <v>568</v>
      </c>
      <c r="D4103" s="2" t="str">
        <f t="shared" si="63"/>
        <v>Error?</v>
      </c>
    </row>
    <row r="4104" spans="1:4" x14ac:dyDescent="0.2">
      <c r="A4104" s="5">
        <v>4043</v>
      </c>
      <c r="B4104" s="1816">
        <f>'Tax Sched 23'!D17</f>
        <v>0</v>
      </c>
      <c r="C4104" s="2" t="s">
        <v>568</v>
      </c>
      <c r="D4104" s="2" t="str">
        <f t="shared" si="63"/>
        <v>Error?</v>
      </c>
    </row>
    <row r="4105" spans="1:4" x14ac:dyDescent="0.2">
      <c r="A4105" s="5">
        <v>4044</v>
      </c>
      <c r="B4105" s="1816">
        <f>'Tax Sched 23'!D18</f>
        <v>0</v>
      </c>
      <c r="C4105" s="2" t="s">
        <v>568</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568</v>
      </c>
      <c r="D4108" s="2" t="str">
        <f t="shared" si="63"/>
        <v>Error?</v>
      </c>
    </row>
    <row r="4109" spans="1:4" x14ac:dyDescent="0.2">
      <c r="A4109" s="5">
        <v>4048</v>
      </c>
      <c r="B4109" s="1816">
        <f>'Tax Sched 23'!F18</f>
        <v>0</v>
      </c>
      <c r="C4109" s="2" t="s">
        <v>568</v>
      </c>
      <c r="D4109" s="2" t="str">
        <f t="shared" si="63"/>
        <v>Error?</v>
      </c>
    </row>
    <row r="4110" spans="1:4" x14ac:dyDescent="0.2">
      <c r="A4110" s="5">
        <v>4049</v>
      </c>
      <c r="B4110" s="1816">
        <f>'Tax Sched 23'!E17</f>
        <v>0</v>
      </c>
      <c r="C4110" s="2" t="s">
        <v>568</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12612996</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39470499</v>
      </c>
      <c r="C4122" s="2" t="s">
        <v>568</v>
      </c>
      <c r="D4122" s="2" t="str">
        <f t="shared" si="63"/>
        <v>Error?</v>
      </c>
    </row>
    <row r="4123" spans="1:4" x14ac:dyDescent="0.2">
      <c r="A4123" s="5">
        <v>4062</v>
      </c>
      <c r="B4123" s="1816">
        <f>'Acct Summary 7-8'!D10</f>
        <v>1914660</v>
      </c>
      <c r="C4123" s="2" t="s">
        <v>568</v>
      </c>
      <c r="D4123" s="2" t="str">
        <f t="shared" si="63"/>
        <v>Error?</v>
      </c>
    </row>
    <row r="4124" spans="1:4" x14ac:dyDescent="0.2">
      <c r="A4124" s="5">
        <v>4063</v>
      </c>
      <c r="B4124" s="1816">
        <f>'Acct Summary 7-8'!E10</f>
        <v>360219</v>
      </c>
      <c r="C4124" s="2" t="s">
        <v>568</v>
      </c>
      <c r="D4124" s="2" t="str">
        <f t="shared" si="63"/>
        <v>Error?</v>
      </c>
    </row>
    <row r="4125" spans="1:4" x14ac:dyDescent="0.2">
      <c r="A4125" s="5">
        <v>4064</v>
      </c>
      <c r="B4125" s="1816">
        <f>'Acct Summary 7-8'!F10</f>
        <v>2152297</v>
      </c>
      <c r="C4125" s="2" t="s">
        <v>568</v>
      </c>
      <c r="D4125" s="2" t="str">
        <f t="shared" si="63"/>
        <v>Error?</v>
      </c>
    </row>
    <row r="4126" spans="1:4" x14ac:dyDescent="0.2">
      <c r="A4126" s="5">
        <v>4065</v>
      </c>
      <c r="B4126" s="1816">
        <f>'Acct Summary 7-8'!G10</f>
        <v>1206546</v>
      </c>
      <c r="C4126" s="2" t="s">
        <v>568</v>
      </c>
      <c r="D4126" s="2" t="str">
        <f t="shared" si="63"/>
        <v>Error?</v>
      </c>
    </row>
    <row r="4127" spans="1:4" x14ac:dyDescent="0.2">
      <c r="A4127" s="5">
        <v>4066</v>
      </c>
      <c r="B4127" s="1816">
        <f>'Acct Summary 7-8'!H10</f>
        <v>0</v>
      </c>
      <c r="C4127" s="2" t="s">
        <v>568</v>
      </c>
      <c r="D4127" s="2" t="str">
        <f t="shared" si="63"/>
        <v>Error?</v>
      </c>
    </row>
    <row r="4128" spans="1:4" x14ac:dyDescent="0.2">
      <c r="A4128" s="5">
        <v>4067</v>
      </c>
      <c r="B4128" s="1816">
        <f>'Acct Summary 7-8'!I10</f>
        <v>21110</v>
      </c>
      <c r="C4128" s="2" t="s">
        <v>568</v>
      </c>
      <c r="D4128" s="2" t="str">
        <f t="shared" si="63"/>
        <v>Error?</v>
      </c>
    </row>
    <row r="4129" spans="1:4" x14ac:dyDescent="0.2">
      <c r="A4129" s="10">
        <v>4068</v>
      </c>
      <c r="B4129" s="1816"/>
      <c r="C4129" s="2" t="s">
        <v>568</v>
      </c>
      <c r="D4129" s="2" t="str">
        <f t="shared" si="63"/>
        <v>OK</v>
      </c>
    </row>
    <row r="4130" spans="1:4" x14ac:dyDescent="0.2">
      <c r="A4130" s="5">
        <v>4069</v>
      </c>
      <c r="B4130" s="1816">
        <f>'Acct Summary 7-8'!K10</f>
        <v>0</v>
      </c>
      <c r="C4130" s="2" t="s">
        <v>568</v>
      </c>
      <c r="D4130" s="2" t="str">
        <f t="shared" si="63"/>
        <v>Error?</v>
      </c>
    </row>
    <row r="4131" spans="1:4" x14ac:dyDescent="0.2">
      <c r="A4131" s="5">
        <v>4070</v>
      </c>
      <c r="B4131" s="1816">
        <f>'Acct Summary 7-8'!C18</f>
        <v>12612996</v>
      </c>
      <c r="C4131" s="2" t="s">
        <v>568</v>
      </c>
      <c r="D4131" s="2" t="str">
        <f t="shared" si="63"/>
        <v>Error?</v>
      </c>
    </row>
    <row r="4132" spans="1:4" x14ac:dyDescent="0.2">
      <c r="A4132" s="5">
        <v>4071</v>
      </c>
      <c r="B4132" s="1816">
        <f>'Acct Summary 7-8'!D18</f>
        <v>0</v>
      </c>
      <c r="C4132" s="2" t="s">
        <v>568</v>
      </c>
      <c r="D4132" s="2" t="str">
        <f t="shared" si="63"/>
        <v>Error?</v>
      </c>
    </row>
    <row r="4133" spans="1:4" x14ac:dyDescent="0.2">
      <c r="A4133" s="5">
        <v>4072</v>
      </c>
      <c r="B4133" s="1816">
        <f>'Acct Summary 7-8'!F18</f>
        <v>0</v>
      </c>
      <c r="C4133" s="2" t="s">
        <v>568</v>
      </c>
      <c r="D4133" s="2" t="str">
        <f t="shared" si="63"/>
        <v>Error?</v>
      </c>
    </row>
    <row r="4134" spans="1:4" x14ac:dyDescent="0.2">
      <c r="A4134" s="5">
        <v>4073</v>
      </c>
      <c r="B4134" s="1816">
        <f>'Acct Summary 7-8'!H18</f>
        <v>0</v>
      </c>
      <c r="C4134" s="2" t="s">
        <v>568</v>
      </c>
      <c r="D4134" s="2" t="str">
        <f t="shared" si="63"/>
        <v>Error?</v>
      </c>
    </row>
    <row r="4135" spans="1:4" x14ac:dyDescent="0.2">
      <c r="A4135" s="5">
        <v>4074</v>
      </c>
      <c r="B4135" s="1816">
        <f>'Acct Summary 7-8'!K18</f>
        <v>0</v>
      </c>
      <c r="C4135" s="2" t="s">
        <v>568</v>
      </c>
      <c r="D4135" s="2" t="str">
        <f t="shared" si="63"/>
        <v>Error?</v>
      </c>
    </row>
    <row r="4136" spans="1:4" x14ac:dyDescent="0.2">
      <c r="A4136" s="5">
        <v>4075</v>
      </c>
      <c r="B4136" s="1816">
        <f>'Acct Summary 7-8'!C19</f>
        <v>39236192</v>
      </c>
      <c r="C4136" s="2" t="s">
        <v>568</v>
      </c>
      <c r="D4136" s="2" t="str">
        <f t="shared" si="63"/>
        <v>Error?</v>
      </c>
    </row>
    <row r="4137" spans="1:4" x14ac:dyDescent="0.2">
      <c r="A4137" s="5">
        <v>4076</v>
      </c>
      <c r="B4137" s="1816">
        <f>'Acct Summary 7-8'!D19</f>
        <v>2212611</v>
      </c>
      <c r="C4137" s="2" t="s">
        <v>568</v>
      </c>
      <c r="D4137" s="2" t="str">
        <f t="shared" si="63"/>
        <v>Error?</v>
      </c>
    </row>
    <row r="4138" spans="1:4" x14ac:dyDescent="0.2">
      <c r="A4138" s="5">
        <v>4077</v>
      </c>
      <c r="B4138" s="1816">
        <f>'Acct Summary 7-8'!E19</f>
        <v>1154987</v>
      </c>
      <c r="C4138" s="2" t="s">
        <v>568</v>
      </c>
      <c r="D4138" s="2" t="str">
        <f t="shared" si="63"/>
        <v>Error?</v>
      </c>
    </row>
    <row r="4139" spans="1:4" x14ac:dyDescent="0.2">
      <c r="A4139" s="5">
        <v>4078</v>
      </c>
      <c r="B4139" s="1816">
        <f>'Acct Summary 7-8'!F19</f>
        <v>2054463</v>
      </c>
      <c r="C4139" s="2" t="s">
        <v>568</v>
      </c>
      <c r="D4139" s="2" t="str">
        <f t="shared" si="63"/>
        <v>Error?</v>
      </c>
    </row>
    <row r="4140" spans="1:4" x14ac:dyDescent="0.2">
      <c r="A4140" s="5">
        <v>4079</v>
      </c>
      <c r="B4140" s="1816">
        <f>'Acct Summary 7-8'!G19</f>
        <v>1136715</v>
      </c>
      <c r="C4140" s="2" t="s">
        <v>568</v>
      </c>
      <c r="D4140" s="2" t="str">
        <f t="shared" si="63"/>
        <v>Error?</v>
      </c>
    </row>
    <row r="4141" spans="1:4" x14ac:dyDescent="0.2">
      <c r="A4141" s="5">
        <v>4080</v>
      </c>
      <c r="B4141" s="1816">
        <f>'Acct Summary 7-8'!H19</f>
        <v>3923539</v>
      </c>
      <c r="C4141" s="2" t="s">
        <v>568</v>
      </c>
      <c r="D4141" s="2" t="str">
        <f t="shared" si="63"/>
        <v>Error?</v>
      </c>
    </row>
    <row r="4142" spans="1:4" x14ac:dyDescent="0.2">
      <c r="A4142" s="10">
        <v>4081</v>
      </c>
      <c r="B4142" s="1816"/>
      <c r="D4142" s="2" t="str">
        <f t="shared" si="63"/>
        <v>OK</v>
      </c>
    </row>
    <row r="4143" spans="1:4" x14ac:dyDescent="0.2">
      <c r="A4143" s="10">
        <v>4082</v>
      </c>
      <c r="B4143" s="1816"/>
      <c r="C4143" s="2" t="s">
        <v>568</v>
      </c>
      <c r="D4143" s="2" t="str">
        <f t="shared" si="63"/>
        <v>OK</v>
      </c>
    </row>
    <row r="4144" spans="1:4" x14ac:dyDescent="0.2">
      <c r="A4144" s="5">
        <v>4083</v>
      </c>
      <c r="B4144" s="1816">
        <f>'Acct Summary 7-8'!K19</f>
        <v>0</v>
      </c>
      <c r="C4144" s="2" t="s">
        <v>568</v>
      </c>
      <c r="D4144" s="2" t="str">
        <f t="shared" si="63"/>
        <v>Error?</v>
      </c>
    </row>
    <row r="4145" spans="1:4" x14ac:dyDescent="0.2">
      <c r="A4145" s="10">
        <v>4084</v>
      </c>
      <c r="B4145" s="1816"/>
      <c r="C4145" s="2" t="s">
        <v>568</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568</v>
      </c>
      <c r="D4150" s="2" t="str">
        <f t="shared" si="63"/>
        <v>OK</v>
      </c>
    </row>
    <row r="4151" spans="1:4" x14ac:dyDescent="0.2">
      <c r="A4151" s="10">
        <v>4090</v>
      </c>
      <c r="B4151" s="1816"/>
      <c r="C4151" s="2" t="s">
        <v>568</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568</v>
      </c>
      <c r="D4156" s="2" t="str">
        <f t="shared" si="63"/>
        <v>Error?</v>
      </c>
    </row>
    <row r="4157" spans="1:4" x14ac:dyDescent="0.2">
      <c r="A4157" s="5">
        <v>4096</v>
      </c>
      <c r="B4157" s="1816">
        <f>'Expenditures 15-22'!K204</f>
        <v>0</v>
      </c>
      <c r="C4157" s="2" t="s">
        <v>568</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568</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568</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568</v>
      </c>
      <c r="D4170" s="2" t="str">
        <f t="shared" si="64"/>
        <v>OK</v>
      </c>
    </row>
    <row r="4171" spans="1:4" x14ac:dyDescent="0.2">
      <c r="A4171" s="5">
        <v>4110</v>
      </c>
      <c r="B4171" s="1816">
        <f>'Short-Term Long-Term Debt 24'!I49</f>
        <v>11359688</v>
      </c>
      <c r="C4171" s="2" t="s">
        <v>568</v>
      </c>
      <c r="D4171" s="2" t="str">
        <f t="shared" si="64"/>
        <v>Error?</v>
      </c>
    </row>
    <row r="4172" spans="1:4" x14ac:dyDescent="0.2">
      <c r="A4172" s="5">
        <v>4111</v>
      </c>
      <c r="B4172" s="1816">
        <f>'Short-Term Long-Term Debt 24'!J49</f>
        <v>11356415</v>
      </c>
      <c r="C4172" s="2" t="s">
        <v>568</v>
      </c>
      <c r="D4172" s="2" t="str">
        <f t="shared" si="64"/>
        <v>Error?</v>
      </c>
    </row>
    <row r="4173" spans="1:4" x14ac:dyDescent="0.2">
      <c r="A4173" s="5">
        <v>4112</v>
      </c>
      <c r="B4173" s="1816">
        <f>'Short-Term Long-Term Debt 24'!H49</f>
        <v>766119</v>
      </c>
      <c r="C4173" s="2" t="s">
        <v>568</v>
      </c>
      <c r="D4173" s="2" t="str">
        <f t="shared" si="64"/>
        <v>Error?</v>
      </c>
    </row>
    <row r="4174" spans="1:4" x14ac:dyDescent="0.2">
      <c r="A4174" s="10">
        <v>4113</v>
      </c>
      <c r="B4174" s="1816"/>
      <c r="C4174" s="2" t="s">
        <v>568</v>
      </c>
      <c r="D4174" s="2" t="str">
        <f t="shared" si="64"/>
        <v>OK</v>
      </c>
    </row>
    <row r="4175" spans="1:4" x14ac:dyDescent="0.2">
      <c r="A4175" s="5">
        <v>4114</v>
      </c>
      <c r="B4175" s="1816">
        <f>'Acct Summary 7-8'!E18</f>
        <v>0</v>
      </c>
      <c r="C4175" s="2" t="s">
        <v>568</v>
      </c>
      <c r="D4175" s="2" t="str">
        <f t="shared" si="64"/>
        <v>Error?</v>
      </c>
    </row>
    <row r="4176" spans="1:4" x14ac:dyDescent="0.2">
      <c r="A4176" s="5">
        <v>4115</v>
      </c>
      <c r="B4176" s="1816">
        <f>'Acct Summary 7-8'!G18</f>
        <v>0</v>
      </c>
      <c r="C4176" s="2" t="s">
        <v>568</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568</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568</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568</v>
      </c>
      <c r="D4202" s="2" t="str">
        <f t="shared" si="64"/>
        <v>Error?</v>
      </c>
    </row>
    <row r="4203" spans="1:4" x14ac:dyDescent="0.2">
      <c r="A4203" s="5">
        <v>4142</v>
      </c>
      <c r="B4203" s="1816">
        <f>'Expenditures 15-22'!E139</f>
        <v>0</v>
      </c>
      <c r="C4203" s="2" t="s">
        <v>568</v>
      </c>
      <c r="D4203" s="2" t="str">
        <f t="shared" si="64"/>
        <v>Error?</v>
      </c>
    </row>
    <row r="4204" spans="1:4" x14ac:dyDescent="0.2">
      <c r="A4204" s="10">
        <v>4143</v>
      </c>
      <c r="B4204" s="1816"/>
      <c r="D4204" s="2" t="str">
        <f t="shared" si="64"/>
        <v>OK</v>
      </c>
    </row>
    <row r="4205" spans="1:4" x14ac:dyDescent="0.2">
      <c r="A4205" s="10">
        <v>4144</v>
      </c>
      <c r="B4205" s="1816"/>
      <c r="C4205" s="2" t="s">
        <v>568</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568</v>
      </c>
      <c r="D4211" s="2" t="str">
        <f t="shared" si="64"/>
        <v>Error?</v>
      </c>
    </row>
    <row r="4212" spans="1:4" x14ac:dyDescent="0.2">
      <c r="A4212" s="10">
        <v>4151</v>
      </c>
      <c r="B4212" s="1816"/>
      <c r="D4212" s="2" t="str">
        <f t="shared" si="64"/>
        <v>OK</v>
      </c>
    </row>
    <row r="4213" spans="1:4" x14ac:dyDescent="0.2">
      <c r="A4213" s="10">
        <v>4152</v>
      </c>
      <c r="B4213" s="1816"/>
      <c r="C4213" s="2" t="s">
        <v>568</v>
      </c>
      <c r="D4213" s="2" t="str">
        <f t="shared" si="64"/>
        <v>OK</v>
      </c>
    </row>
    <row r="4214" spans="1:4" x14ac:dyDescent="0.2">
      <c r="A4214" s="10">
        <v>4153</v>
      </c>
      <c r="B4214" s="1816"/>
      <c r="C4214" s="2" t="s">
        <v>568</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568</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1895</v>
      </c>
    </row>
    <row r="4236" spans="1:5" x14ac:dyDescent="0.2">
      <c r="A4236" s="10">
        <v>4175</v>
      </c>
      <c r="B4236" s="1816"/>
      <c r="D4236" s="2" t="str">
        <f t="shared" si="65"/>
        <v>OK</v>
      </c>
      <c r="E4236" s="4" t="s">
        <v>1895</v>
      </c>
    </row>
    <row r="4237" spans="1:5" x14ac:dyDescent="0.2">
      <c r="A4237" s="10">
        <v>4176</v>
      </c>
      <c r="B4237" s="1816"/>
      <c r="D4237" s="2" t="str">
        <f t="shared" si="65"/>
        <v>OK</v>
      </c>
      <c r="E4237" s="4" t="s">
        <v>1895</v>
      </c>
    </row>
    <row r="4238" spans="1:5" x14ac:dyDescent="0.2">
      <c r="A4238" s="10">
        <v>4177</v>
      </c>
      <c r="B4238" s="1816"/>
      <c r="D4238" s="2" t="str">
        <f t="shared" si="65"/>
        <v>OK</v>
      </c>
      <c r="E4238" s="4" t="s">
        <v>1895</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2432.8969999999999</v>
      </c>
      <c r="C4265" s="2" t="s">
        <v>568</v>
      </c>
      <c r="D4265" s="2" t="str">
        <f t="shared" si="65"/>
        <v>Error?</v>
      </c>
      <c r="E4265" s="125"/>
    </row>
    <row r="4266" spans="1:5" x14ac:dyDescent="0.2">
      <c r="A4266" s="12">
        <v>4205</v>
      </c>
      <c r="B4266" s="1816">
        <f>('FP Info 3'!F10)*100000</f>
        <v>198.148</v>
      </c>
      <c r="C4266" s="2" t="s">
        <v>568</v>
      </c>
      <c r="D4266" s="2" t="str">
        <f t="shared" si="65"/>
        <v>Error?</v>
      </c>
      <c r="E4266" s="125"/>
    </row>
    <row r="4267" spans="1:5" x14ac:dyDescent="0.2">
      <c r="A4267" s="12">
        <v>4206</v>
      </c>
      <c r="B4267" s="1816">
        <f>('FP Info 3'!H10)*100000</f>
        <v>135.89100000000002</v>
      </c>
      <c r="C4267" s="2" t="s">
        <v>568</v>
      </c>
      <c r="D4267" s="2" t="str">
        <f t="shared" si="65"/>
        <v>Error?</v>
      </c>
      <c r="E4267" s="125"/>
    </row>
    <row r="4268" spans="1:5" x14ac:dyDescent="0.2">
      <c r="A4268" s="12">
        <v>4207</v>
      </c>
      <c r="B4268" s="1816">
        <f>('FP Info 3'!J10)*100000</f>
        <v>2767</v>
      </c>
      <c r="C4268" s="2" t="s">
        <v>568</v>
      </c>
      <c r="D4268" s="2" t="str">
        <f t="shared" si="65"/>
        <v>Error?</v>
      </c>
    </row>
    <row r="4269" spans="1:5" x14ac:dyDescent="0.2">
      <c r="A4269" s="12">
        <v>4208</v>
      </c>
      <c r="B4269" s="1816">
        <f>'FP Info 3'!J16</f>
        <v>22408203</v>
      </c>
      <c r="C4269" s="2" t="s">
        <v>568</v>
      </c>
      <c r="D4269" s="2" t="str">
        <f t="shared" si="65"/>
        <v>Error?</v>
      </c>
    </row>
    <row r="4270" spans="1:5" x14ac:dyDescent="0.2">
      <c r="A4270" s="12">
        <v>4209</v>
      </c>
      <c r="B4270" s="1816">
        <f>'FP Info 3'!D24</f>
        <v>0</v>
      </c>
      <c r="D4270" s="2" t="str">
        <f t="shared" si="65"/>
        <v>Error?</v>
      </c>
    </row>
    <row r="4271" spans="1:5" x14ac:dyDescent="0.2">
      <c r="A4271" s="10">
        <v>4210</v>
      </c>
      <c r="B4271" s="1816"/>
      <c r="C4271" s="2" t="s">
        <v>568</v>
      </c>
      <c r="D4271" s="2" t="str">
        <f t="shared" si="65"/>
        <v>OK</v>
      </c>
    </row>
    <row r="4272" spans="1:5" x14ac:dyDescent="0.2">
      <c r="A4272" s="10">
        <v>4211</v>
      </c>
      <c r="B4272" s="1816"/>
      <c r="D4272" s="2" t="str">
        <f t="shared" si="65"/>
        <v>OK</v>
      </c>
      <c r="E4272" s="2" t="s">
        <v>822</v>
      </c>
    </row>
    <row r="4273" spans="1:5" x14ac:dyDescent="0.2">
      <c r="A4273" s="10">
        <v>4212</v>
      </c>
      <c r="B4273" s="1816"/>
      <c r="D4273" s="2" t="str">
        <f t="shared" si="65"/>
        <v>OK</v>
      </c>
      <c r="E4273" s="2" t="s">
        <v>913</v>
      </c>
    </row>
    <row r="4274" spans="1:5" x14ac:dyDescent="0.2">
      <c r="A4274" s="10">
        <v>4213</v>
      </c>
      <c r="B4274" s="1816"/>
      <c r="C4274" s="2" t="s">
        <v>568</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568</v>
      </c>
      <c r="D4295" s="2" t="str">
        <f t="shared" si="66"/>
        <v>OK</v>
      </c>
    </row>
    <row r="4296" spans="1:4" x14ac:dyDescent="0.2">
      <c r="A4296" s="10">
        <v>4235</v>
      </c>
      <c r="B4296" s="1816"/>
      <c r="C4296" s="2" t="s">
        <v>568</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568</v>
      </c>
      <c r="D4357" s="2" t="str">
        <f t="shared" si="67"/>
        <v>Error?</v>
      </c>
    </row>
    <row r="4358" spans="1:4" x14ac:dyDescent="0.2">
      <c r="A4358" s="5">
        <v>4297</v>
      </c>
      <c r="B4358" s="1816">
        <f>'Revenues 9-14'!C263</f>
        <v>34933</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0</v>
      </c>
      <c r="D4362" s="2" t="str">
        <f t="shared" si="67"/>
        <v>Error?</v>
      </c>
    </row>
    <row r="4363" spans="1:4" x14ac:dyDescent="0.2">
      <c r="A4363" s="5">
        <v>4302</v>
      </c>
      <c r="B4363" s="1816">
        <f>'Revenues 9-14'!I169</f>
        <v>0</v>
      </c>
      <c r="C4363" s="2" t="s">
        <v>568</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568</v>
      </c>
      <c r="D4372" s="2" t="str">
        <f t="shared" si="67"/>
        <v>Error?</v>
      </c>
    </row>
    <row r="4373" spans="1:4" x14ac:dyDescent="0.2">
      <c r="A4373" s="5">
        <v>4312</v>
      </c>
      <c r="B4373" s="1816">
        <f>'Revenues 9-14'!I175</f>
        <v>0</v>
      </c>
      <c r="C4373" s="2" t="s">
        <v>568</v>
      </c>
      <c r="D4373" s="2" t="str">
        <f t="shared" si="67"/>
        <v>Error?</v>
      </c>
    </row>
    <row r="4374" spans="1:4" x14ac:dyDescent="0.2">
      <c r="A4374" s="10">
        <v>4313</v>
      </c>
      <c r="B4374" s="1816"/>
      <c r="C4374" s="2" t="s">
        <v>568</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568</v>
      </c>
      <c r="D4395" s="2" t="str">
        <f t="shared" si="67"/>
        <v>Error?</v>
      </c>
    </row>
    <row r="4396" spans="1:5" x14ac:dyDescent="0.2">
      <c r="A4396" s="5">
        <v>4335</v>
      </c>
      <c r="B4396" s="1816">
        <f>'Revenues 9-14'!D188</f>
        <v>0</v>
      </c>
      <c r="C4396" s="2" t="s">
        <v>568</v>
      </c>
      <c r="D4396" s="2" t="str">
        <f t="shared" si="67"/>
        <v>Error?</v>
      </c>
    </row>
    <row r="4397" spans="1:5" x14ac:dyDescent="0.2">
      <c r="A4397" s="5">
        <v>4336</v>
      </c>
      <c r="B4397" s="1816">
        <f>'Revenues 9-14'!F188</f>
        <v>0</v>
      </c>
      <c r="C4397" s="2" t="s">
        <v>568</v>
      </c>
      <c r="D4397" s="2" t="str">
        <f t="shared" si="67"/>
        <v>Error?</v>
      </c>
    </row>
    <row r="4398" spans="1:5" x14ac:dyDescent="0.2">
      <c r="A4398" s="5">
        <v>4337</v>
      </c>
      <c r="B4398" s="1816">
        <f>'Revenues 9-14'!G188</f>
        <v>0</v>
      </c>
      <c r="C4398" s="2" t="s">
        <v>568</v>
      </c>
      <c r="D4398" s="2" t="str">
        <f t="shared" si="67"/>
        <v>Error?</v>
      </c>
    </row>
    <row r="4399" spans="1:5" x14ac:dyDescent="0.2">
      <c r="A4399" s="10">
        <v>4338</v>
      </c>
      <c r="B4399" s="1816"/>
      <c r="D4399" s="2" t="str">
        <f t="shared" si="67"/>
        <v>OK</v>
      </c>
      <c r="E4399" s="4" t="s">
        <v>1895</v>
      </c>
    </row>
    <row r="4400" spans="1:5" x14ac:dyDescent="0.2">
      <c r="A4400" s="10">
        <v>4339</v>
      </c>
      <c r="B4400" s="1816"/>
      <c r="D4400" s="2" t="str">
        <f t="shared" si="67"/>
        <v>OK</v>
      </c>
      <c r="E4400" s="4" t="s">
        <v>1895</v>
      </c>
    </row>
    <row r="4401" spans="1:5" x14ac:dyDescent="0.2">
      <c r="A4401" s="10">
        <v>4340</v>
      </c>
      <c r="B4401" s="1816"/>
      <c r="D4401" s="2" t="str">
        <f t="shared" si="67"/>
        <v>OK</v>
      </c>
      <c r="E4401" s="4" t="s">
        <v>1895</v>
      </c>
    </row>
    <row r="4402" spans="1:5" x14ac:dyDescent="0.2">
      <c r="A4402" s="10">
        <v>4341</v>
      </c>
      <c r="B4402" s="1816"/>
      <c r="D4402" s="2" t="str">
        <f t="shared" si="67"/>
        <v>OK</v>
      </c>
      <c r="E4402" s="4" t="s">
        <v>1895</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0</v>
      </c>
      <c r="C4411" s="2" t="s">
        <v>568</v>
      </c>
      <c r="D4411" s="2" t="str">
        <f t="shared" si="67"/>
        <v>Error?</v>
      </c>
    </row>
    <row r="4412" spans="1:5" x14ac:dyDescent="0.2">
      <c r="A4412" s="5">
        <v>4351</v>
      </c>
      <c r="B4412" s="1816">
        <f>'Revenues 9-14'!D209</f>
        <v>0</v>
      </c>
      <c r="C4412" s="2" t="s">
        <v>568</v>
      </c>
      <c r="D4412" s="2" t="str">
        <f t="shared" si="67"/>
        <v>Error?</v>
      </c>
    </row>
    <row r="4413" spans="1:5" x14ac:dyDescent="0.2">
      <c r="A4413" s="5">
        <v>4352</v>
      </c>
      <c r="B4413" s="1816">
        <f>'Revenues 9-14'!F209</f>
        <v>0</v>
      </c>
      <c r="C4413" s="2" t="s">
        <v>568</v>
      </c>
      <c r="D4413" s="2" t="str">
        <f t="shared" si="67"/>
        <v>Error?</v>
      </c>
    </row>
    <row r="4414" spans="1:5" x14ac:dyDescent="0.2">
      <c r="A4414" s="5">
        <v>4353</v>
      </c>
      <c r="B4414" s="1816">
        <f>'Revenues 9-14'!G209</f>
        <v>0</v>
      </c>
      <c r="C4414" s="2" t="s">
        <v>568</v>
      </c>
      <c r="D4414" s="2" t="str">
        <f t="shared" si="67"/>
        <v>Error?</v>
      </c>
    </row>
    <row r="4415" spans="1:5" x14ac:dyDescent="0.2">
      <c r="A4415" s="5">
        <v>4354</v>
      </c>
      <c r="B4415" s="1816">
        <f>'Revenues 9-14'!C256</f>
        <v>10882</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39186</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568</v>
      </c>
      <c r="D4434" s="2" t="str">
        <f t="shared" si="68"/>
        <v>Error?</v>
      </c>
    </row>
    <row r="4435" spans="1:5" x14ac:dyDescent="0.2">
      <c r="A4435" s="5">
        <v>4374</v>
      </c>
      <c r="B4435" s="1816">
        <f>'Revenues 9-14'!I267</f>
        <v>0</v>
      </c>
      <c r="C4435" s="2" t="s">
        <v>568</v>
      </c>
      <c r="D4435" s="2" t="str">
        <f t="shared" si="68"/>
        <v>Error?</v>
      </c>
    </row>
    <row r="4436" spans="1:5" x14ac:dyDescent="0.2">
      <c r="A4436" s="10">
        <v>4375</v>
      </c>
      <c r="B4436" s="1816"/>
      <c r="C4436" s="2" t="s">
        <v>568</v>
      </c>
      <c r="D4436" s="2" t="str">
        <f t="shared" si="68"/>
        <v>OK</v>
      </c>
      <c r="E4436" s="125"/>
    </row>
    <row r="4437" spans="1:5" x14ac:dyDescent="0.2">
      <c r="A4437" s="12">
        <v>4376</v>
      </c>
      <c r="B4437" s="1816">
        <f>('FP Info 3'!L10)*100000</f>
        <v>0</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568</v>
      </c>
      <c r="D4441" s="2" t="str">
        <f t="shared" si="68"/>
        <v>Error?</v>
      </c>
    </row>
    <row r="4442" spans="1:5" x14ac:dyDescent="0.2">
      <c r="A4442" s="5">
        <v>4381</v>
      </c>
      <c r="B4442" s="1816">
        <f>'Revenues 9-14'!K266</f>
        <v>0</v>
      </c>
      <c r="C4442" s="2" t="s">
        <v>568</v>
      </c>
      <c r="D4442" s="2" t="str">
        <f t="shared" si="68"/>
        <v>Error?</v>
      </c>
    </row>
    <row r="4443" spans="1:5" x14ac:dyDescent="0.2">
      <c r="A4443" s="5">
        <v>4382</v>
      </c>
      <c r="B4443" s="1816">
        <f>'Acct Summary 7-8'!E7</f>
        <v>0</v>
      </c>
      <c r="C4443" s="2" t="s">
        <v>568</v>
      </c>
      <c r="D4443" s="2" t="str">
        <f t="shared" si="68"/>
        <v>Error?</v>
      </c>
    </row>
    <row r="4444" spans="1:5" x14ac:dyDescent="0.2">
      <c r="A4444" s="5">
        <v>4383</v>
      </c>
      <c r="B4444" s="1816">
        <f>'Acct Summary 7-8'!I7</f>
        <v>0</v>
      </c>
      <c r="C4444" s="2" t="s">
        <v>568</v>
      </c>
      <c r="D4444" s="2" t="str">
        <f t="shared" si="68"/>
        <v>Error?</v>
      </c>
    </row>
    <row r="4445" spans="1:5" x14ac:dyDescent="0.2">
      <c r="A4445" s="10">
        <v>4384</v>
      </c>
      <c r="B4445" s="1816"/>
      <c r="C4445" s="2" t="s">
        <v>568</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289144</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568</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75223</v>
      </c>
      <c r="D4792" s="2" t="str">
        <f t="shared" si="73"/>
        <v>Error?</v>
      </c>
    </row>
    <row r="4793" spans="1:4" x14ac:dyDescent="0.2">
      <c r="A4793" s="5">
        <v>4732</v>
      </c>
      <c r="B4793" s="1816">
        <f>'Revenues 9-14'!D168</f>
        <v>50000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568</v>
      </c>
      <c r="D4950" s="2" t="str">
        <f t="shared" si="76"/>
        <v>Error?</v>
      </c>
    </row>
    <row r="4951" spans="1:4" x14ac:dyDescent="0.2">
      <c r="A4951" s="5">
        <v>4890</v>
      </c>
      <c r="B4951" s="1816">
        <f>'Revenues 9-14'!K175</f>
        <v>0</v>
      </c>
      <c r="C4951" s="2" t="s">
        <v>568</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1053438719</v>
      </c>
      <c r="D4995" s="2" t="str">
        <f t="shared" si="77"/>
        <v>Error?</v>
      </c>
    </row>
    <row r="4996" spans="1:4" x14ac:dyDescent="0.2">
      <c r="A4996" s="12">
        <v>4935</v>
      </c>
      <c r="B4996" s="1816">
        <f>'FP Info 3'!H31</f>
        <v>72687271.611000001</v>
      </c>
      <c r="D4996" s="2" t="str">
        <f t="shared" si="77"/>
        <v>Error?</v>
      </c>
    </row>
    <row r="4997" spans="1:4" x14ac:dyDescent="0.2">
      <c r="A4997" s="12">
        <v>4936</v>
      </c>
      <c r="B4997" s="1816">
        <f>'FP Info 3'!H37</f>
        <v>11359688</v>
      </c>
      <c r="D4997" s="2" t="str">
        <f t="shared" si="77"/>
        <v>Error?</v>
      </c>
    </row>
    <row r="4998" spans="1:4" x14ac:dyDescent="0.2">
      <c r="A4998" s="10">
        <v>4937</v>
      </c>
      <c r="B4998" s="1816"/>
      <c r="D4998" s="2" t="str">
        <f t="shared" si="77"/>
        <v>OK</v>
      </c>
    </row>
    <row r="4999" spans="1:4" x14ac:dyDescent="0.2">
      <c r="A4999" s="10">
        <v>4938</v>
      </c>
      <c r="B4999" s="1816"/>
      <c r="C4999" s="2" t="s">
        <v>568</v>
      </c>
      <c r="D4999" s="2" t="str">
        <f t="shared" si="77"/>
        <v>OK</v>
      </c>
    </row>
    <row r="5000" spans="1:4" x14ac:dyDescent="0.2">
      <c r="A5000" s="5">
        <v>4939</v>
      </c>
      <c r="B5000" s="1816">
        <f>'Revenues 9-14'!K169</f>
        <v>0</v>
      </c>
      <c r="C5000" s="2" t="s">
        <v>568</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568</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568</v>
      </c>
      <c r="D5009" s="2" t="str">
        <f t="shared" si="77"/>
        <v>OK</v>
      </c>
    </row>
    <row r="5010" spans="1:4" x14ac:dyDescent="0.2">
      <c r="A5010" s="10">
        <v>4949</v>
      </c>
      <c r="B5010" s="1816"/>
      <c r="C5010" s="2" t="s">
        <v>568</v>
      </c>
      <c r="D5010" s="2" t="str">
        <f t="shared" si="77"/>
        <v>OK</v>
      </c>
    </row>
    <row r="5011" spans="1:4" x14ac:dyDescent="0.2">
      <c r="A5011" s="5">
        <v>4950</v>
      </c>
      <c r="B5011" s="1816">
        <f>'Acct Summary 7-8'!I6</f>
        <v>0</v>
      </c>
      <c r="C5011" s="2" t="s">
        <v>568</v>
      </c>
      <c r="D5011" s="2" t="str">
        <f t="shared" si="77"/>
        <v>Error?</v>
      </c>
    </row>
    <row r="5012" spans="1:4" x14ac:dyDescent="0.2">
      <c r="A5012" s="5">
        <v>4951</v>
      </c>
      <c r="B5012" s="1816">
        <f>'Acct Summary 7-8'!C27</f>
        <v>0</v>
      </c>
      <c r="C5012" s="2" t="s">
        <v>568</v>
      </c>
      <c r="D5012" s="2" t="str">
        <f t="shared" si="77"/>
        <v>Error?</v>
      </c>
    </row>
    <row r="5013" spans="1:4" x14ac:dyDescent="0.2">
      <c r="A5013" s="5">
        <v>4952</v>
      </c>
      <c r="B5013" s="1816">
        <f>'Acct Summary 7-8'!D27</f>
        <v>3925000</v>
      </c>
      <c r="D5013" s="2" t="str">
        <f t="shared" si="77"/>
        <v>Error?</v>
      </c>
    </row>
    <row r="5014" spans="1:4" x14ac:dyDescent="0.2">
      <c r="A5014" s="5">
        <v>4953</v>
      </c>
      <c r="B5014" s="1816">
        <f>'Acct Summary 7-8'!F27</f>
        <v>0</v>
      </c>
      <c r="C5014" s="2" t="s">
        <v>568</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3925000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568</v>
      </c>
      <c r="D5025" s="2" t="str">
        <f t="shared" si="77"/>
        <v>OK</v>
      </c>
    </row>
    <row r="5026" spans="1:4" x14ac:dyDescent="0.2">
      <c r="A5026" s="5">
        <v>4965</v>
      </c>
      <c r="B5026" s="1816">
        <f>'Revenues 9-14'!C6</f>
        <v>0</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22979324</v>
      </c>
      <c r="D5061" s="2" t="str">
        <f t="shared" si="78"/>
        <v>Error?</v>
      </c>
    </row>
    <row r="5062" spans="1:4" x14ac:dyDescent="0.2">
      <c r="A5062" s="10">
        <v>5001</v>
      </c>
      <c r="B5062" s="1816"/>
      <c r="D5062" s="2" t="str">
        <f t="shared" si="78"/>
        <v>OK</v>
      </c>
    </row>
    <row r="5063" spans="1:4" x14ac:dyDescent="0.2">
      <c r="A5063" s="5">
        <v>5002</v>
      </c>
      <c r="B5063" s="1816">
        <f>'Revenues 9-14'!C7</f>
        <v>0</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22979324</v>
      </c>
      <c r="C5066" s="2" t="s">
        <v>568</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79555</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79555</v>
      </c>
      <c r="C5071" s="2" t="s">
        <v>568</v>
      </c>
      <c r="D5071" s="2" t="str">
        <f t="shared" si="78"/>
        <v>Error?</v>
      </c>
    </row>
    <row r="5072" spans="1:4" x14ac:dyDescent="0.2">
      <c r="A5072" s="5">
        <v>5011</v>
      </c>
      <c r="B5072" s="1816">
        <f>'Revenues 9-14'!C20</f>
        <v>356359</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46800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403159</v>
      </c>
      <c r="C5087" s="2" t="s">
        <v>568</v>
      </c>
      <c r="D5087" s="2" t="str">
        <f t="shared" si="78"/>
        <v>Error?</v>
      </c>
    </row>
    <row r="5088" spans="1:4" x14ac:dyDescent="0.2">
      <c r="A5088" s="5">
        <v>5027</v>
      </c>
      <c r="B5088" s="1816">
        <f>'Revenues 9-14'!C65</f>
        <v>456072</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456072</v>
      </c>
      <c r="C5090" s="2" t="s">
        <v>568</v>
      </c>
      <c r="D5090" s="2" t="str">
        <f t="shared" si="78"/>
        <v>Error?</v>
      </c>
    </row>
    <row r="5091" spans="1:4" x14ac:dyDescent="0.2">
      <c r="A5091" s="5">
        <v>5030</v>
      </c>
      <c r="B5091" s="1816">
        <f>'Revenues 9-14'!C70</f>
        <v>0</v>
      </c>
      <c r="D5091" s="2" t="str">
        <f t="shared" si="78"/>
        <v>Error?</v>
      </c>
    </row>
    <row r="5092" spans="1:4" x14ac:dyDescent="0.2">
      <c r="A5092" s="5">
        <v>5031</v>
      </c>
      <c r="B5092" s="1816">
        <f>'Revenues 9-14'!C71</f>
        <v>0</v>
      </c>
      <c r="D5092" s="2" t="str">
        <f t="shared" si="78"/>
        <v>Error?</v>
      </c>
    </row>
    <row r="5093" spans="1:4" x14ac:dyDescent="0.2">
      <c r="A5093" s="5">
        <v>5032</v>
      </c>
      <c r="B5093" s="1816">
        <f>'Revenues 9-14'!C72</f>
        <v>0</v>
      </c>
      <c r="D5093" s="2" t="str">
        <f t="shared" si="78"/>
        <v>Error?</v>
      </c>
    </row>
    <row r="5094" spans="1:4" x14ac:dyDescent="0.2">
      <c r="A5094" s="5">
        <v>5033</v>
      </c>
      <c r="B5094" s="1816">
        <f>'Revenues 9-14'!C73</f>
        <v>0</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0</v>
      </c>
      <c r="C5096" s="2" t="s">
        <v>568</v>
      </c>
      <c r="D5096" s="2" t="str">
        <f t="shared" si="78"/>
        <v>Error?</v>
      </c>
    </row>
    <row r="5097" spans="1:4" x14ac:dyDescent="0.2">
      <c r="A5097" s="5">
        <v>5036</v>
      </c>
      <c r="B5097" s="1816">
        <f>'Revenues 9-14'!C77</f>
        <v>678</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66842</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651968</v>
      </c>
      <c r="D5101" s="2" t="str">
        <f t="shared" si="78"/>
        <v>Error?</v>
      </c>
    </row>
    <row r="5102" spans="1:4" x14ac:dyDescent="0.2">
      <c r="A5102" s="5">
        <v>5041</v>
      </c>
      <c r="B5102" s="1816">
        <f>'Revenues 9-14'!C82</f>
        <v>719488</v>
      </c>
      <c r="C5102" s="2" t="s">
        <v>568</v>
      </c>
      <c r="D5102" s="2" t="str">
        <f t="shared" si="78"/>
        <v>Error?</v>
      </c>
    </row>
    <row r="5103" spans="1:4" x14ac:dyDescent="0.2">
      <c r="A5103" s="5">
        <v>5042</v>
      </c>
      <c r="B5103" s="1816">
        <f>'Revenues 9-14'!C84</f>
        <v>149211</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149211</v>
      </c>
      <c r="C5112" s="2" t="s">
        <v>568</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54384</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20041</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37389</v>
      </c>
      <c r="D5118" s="2" t="str">
        <f t="shared" si="78"/>
        <v>Error?</v>
      </c>
    </row>
    <row r="5119" spans="1:4" x14ac:dyDescent="0.2">
      <c r="A5119" s="5">
        <v>5058</v>
      </c>
      <c r="B5119" s="1816">
        <f>'Revenues 9-14'!C107</f>
        <v>20607</v>
      </c>
      <c r="D5119" s="2" t="str">
        <f t="shared" ref="D5119:D5182" si="79">IF(ISBLANK(B5119),"OK",IF(A5119-B5119=0,"OK","Error?"))</f>
        <v>Error?</v>
      </c>
    </row>
    <row r="5120" spans="1:4" x14ac:dyDescent="0.2">
      <c r="A5120" s="5">
        <v>5059</v>
      </c>
      <c r="B5120" s="1816">
        <f>'Revenues 9-14'!C108</f>
        <v>421565</v>
      </c>
      <c r="C5120" s="2" t="s">
        <v>568</v>
      </c>
      <c r="D5120" s="2" t="str">
        <f t="shared" si="79"/>
        <v>Error?</v>
      </c>
    </row>
    <row r="5121" spans="1:4" x14ac:dyDescent="0.2">
      <c r="A5121" s="5">
        <v>5060</v>
      </c>
      <c r="B5121" s="1816">
        <f>'Revenues 9-14'!C109</f>
        <v>25208374</v>
      </c>
      <c r="C5121" s="2" t="s">
        <v>568</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568</v>
      </c>
      <c r="D5125" s="2" t="str">
        <f t="shared" si="79"/>
        <v>Error?</v>
      </c>
    </row>
    <row r="5126" spans="1:4" x14ac:dyDescent="0.2">
      <c r="A5126" s="5">
        <v>5065</v>
      </c>
      <c r="B5126" s="1816">
        <f>'Revenues 9-14'!C117</f>
        <v>1034074</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1034074</v>
      </c>
      <c r="C5132" s="2" t="s">
        <v>568</v>
      </c>
      <c r="D5132" s="2" t="str">
        <f t="shared" si="79"/>
        <v>Error?</v>
      </c>
    </row>
    <row r="5133" spans="1:4" x14ac:dyDescent="0.2">
      <c r="A5133" s="5">
        <v>5072</v>
      </c>
      <c r="B5133" s="1816">
        <f>'Revenues 9-14'!C125</f>
        <v>82312</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0</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82312</v>
      </c>
      <c r="C5147" s="2" t="s">
        <v>568</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0</v>
      </c>
      <c r="C5161" s="2" t="s">
        <v>568</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568</v>
      </c>
      <c r="D5165" s="2" t="str">
        <f t="shared" si="79"/>
        <v>Error?</v>
      </c>
    </row>
    <row r="5166" spans="1:4" x14ac:dyDescent="0.2">
      <c r="A5166" s="10">
        <v>5105</v>
      </c>
      <c r="B5166" s="1816"/>
      <c r="D5166" s="2" t="str">
        <f t="shared" si="79"/>
        <v>OK</v>
      </c>
    </row>
    <row r="5167" spans="1:4" x14ac:dyDescent="0.2">
      <c r="A5167" s="5">
        <v>5106</v>
      </c>
      <c r="B5167" s="1816">
        <f>'Revenues 9-14'!C146</f>
        <v>0</v>
      </c>
      <c r="D5167" s="2" t="str">
        <f t="shared" si="79"/>
        <v>Error?</v>
      </c>
    </row>
    <row r="5168" spans="1:4" x14ac:dyDescent="0.2">
      <c r="A5168" s="5">
        <v>5107</v>
      </c>
      <c r="B5168" s="1816">
        <f>'Revenues 9-14'!C148</f>
        <v>0</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568</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0</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1895</v>
      </c>
    </row>
    <row r="5200" spans="1:5" x14ac:dyDescent="0.2">
      <c r="A5200" s="10">
        <v>5139</v>
      </c>
      <c r="B5200" s="1816"/>
      <c r="D5200" s="2" t="str">
        <f t="shared" si="80"/>
        <v>OK</v>
      </c>
      <c r="E5200" s="4" t="s">
        <v>1895</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157535</v>
      </c>
      <c r="C5214" s="2" t="s">
        <v>568</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1191609</v>
      </c>
      <c r="C5223" s="2" t="s">
        <v>568</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568</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568</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0</v>
      </c>
      <c r="D5239" s="2" t="str">
        <f t="shared" si="80"/>
        <v>Error?</v>
      </c>
    </row>
    <row r="5240" spans="1:4" x14ac:dyDescent="0.2">
      <c r="A5240" s="5">
        <v>5179</v>
      </c>
      <c r="B5240" s="1816">
        <f>'Revenues 9-14'!C192</f>
        <v>13124</v>
      </c>
      <c r="D5240" s="2" t="str">
        <f t="shared" si="80"/>
        <v>Error?</v>
      </c>
    </row>
    <row r="5241" spans="1:4" x14ac:dyDescent="0.2">
      <c r="A5241" s="5">
        <v>5180</v>
      </c>
      <c r="B5241" s="1816">
        <f>'Revenues 9-14'!C193</f>
        <v>0</v>
      </c>
      <c r="D5241" s="2" t="str">
        <f t="shared" si="80"/>
        <v>Error?</v>
      </c>
    </row>
    <row r="5242" spans="1:4" x14ac:dyDescent="0.2">
      <c r="A5242" s="5">
        <v>5181</v>
      </c>
      <c r="B5242" s="1816">
        <f>'Revenues 9-14'!C194</f>
        <v>0</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13124</v>
      </c>
      <c r="C5246" s="2" t="s">
        <v>568</v>
      </c>
      <c r="D5246" s="2" t="str">
        <f t="shared" si="80"/>
        <v>Error?</v>
      </c>
    </row>
    <row r="5247" spans="1:4" x14ac:dyDescent="0.2">
      <c r="A5247" s="5">
        <v>5186</v>
      </c>
      <c r="B5247" s="1816">
        <f>'Revenues 9-14'!C200</f>
        <v>20995</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1895</v>
      </c>
    </row>
    <row r="5255" spans="1:5" x14ac:dyDescent="0.2">
      <c r="A5255" s="5">
        <v>5194</v>
      </c>
      <c r="B5255" s="1816">
        <f>'Revenues 9-14'!C202</f>
        <v>0</v>
      </c>
      <c r="D5255" s="2" t="str">
        <f t="shared" si="81"/>
        <v>Error?</v>
      </c>
    </row>
    <row r="5256" spans="1:5" x14ac:dyDescent="0.2">
      <c r="A5256" s="5">
        <v>5195</v>
      </c>
      <c r="B5256" s="1816">
        <f>'Revenues 9-14'!C206</f>
        <v>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20995</v>
      </c>
      <c r="C5260" s="2" t="s">
        <v>568</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11999</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326401</v>
      </c>
      <c r="D5278" s="2" t="str">
        <f t="shared" si="81"/>
        <v>Error?</v>
      </c>
    </row>
    <row r="5279" spans="1:4" x14ac:dyDescent="0.2">
      <c r="A5279" s="5">
        <v>5218</v>
      </c>
      <c r="B5279" s="1816">
        <f>'Revenues 9-14'!C214</f>
        <v>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338400</v>
      </c>
      <c r="C5286" s="2" t="s">
        <v>568</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568</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1895</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457520</v>
      </c>
      <c r="C5320" s="2" t="s">
        <v>568</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457520</v>
      </c>
      <c r="C5326" s="2" t="s">
        <v>568</v>
      </c>
      <c r="D5326" s="2" t="str">
        <f t="shared" si="82"/>
        <v>Error?</v>
      </c>
    </row>
    <row r="5327" spans="1:5" x14ac:dyDescent="0.2">
      <c r="A5327" s="5">
        <v>5266</v>
      </c>
      <c r="B5327" s="1816">
        <f>'Revenues 9-14'!C268</f>
        <v>26857503</v>
      </c>
      <c r="C5327" s="2" t="s">
        <v>568</v>
      </c>
      <c r="D5327" s="2" t="str">
        <f t="shared" si="82"/>
        <v>Error?</v>
      </c>
    </row>
    <row r="5328" spans="1:5" x14ac:dyDescent="0.2">
      <c r="A5328" s="5">
        <v>5267</v>
      </c>
      <c r="B5328" s="1816">
        <f>'Revenues 9-14'!D5</f>
        <v>1699378</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1699378</v>
      </c>
      <c r="C5334" s="2" t="s">
        <v>568</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568</v>
      </c>
      <c r="D5339" s="2" t="str">
        <f t="shared" si="82"/>
        <v>Error?</v>
      </c>
    </row>
    <row r="5340" spans="1:4" x14ac:dyDescent="0.2">
      <c r="A5340" s="5">
        <v>5279</v>
      </c>
      <c r="B5340" s="1816">
        <f>'Revenues 9-14'!D65</f>
        <v>11162</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11162</v>
      </c>
      <c r="C5342" s="2" t="s">
        <v>568</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568</v>
      </c>
      <c r="D5348" s="2" t="str">
        <f t="shared" si="82"/>
        <v>Error?</v>
      </c>
    </row>
    <row r="5349" spans="1:4" x14ac:dyDescent="0.2">
      <c r="A5349" s="5">
        <v>5288</v>
      </c>
      <c r="B5349" s="1816">
        <f>'Revenues 9-14'!D95</f>
        <v>36881</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12410</v>
      </c>
      <c r="D5354" s="2" t="str">
        <f t="shared" si="82"/>
        <v>Error?</v>
      </c>
    </row>
    <row r="5355" spans="1:4" x14ac:dyDescent="0.2">
      <c r="A5355" s="5">
        <v>5294</v>
      </c>
      <c r="B5355" s="1816">
        <f>'Revenues 9-14'!D108</f>
        <v>154120</v>
      </c>
      <c r="C5355" s="2" t="s">
        <v>568</v>
      </c>
      <c r="D5355" s="2" t="str">
        <f t="shared" si="82"/>
        <v>Error?</v>
      </c>
    </row>
    <row r="5356" spans="1:4" x14ac:dyDescent="0.2">
      <c r="A5356" s="5">
        <v>5295</v>
      </c>
      <c r="B5356" s="1816">
        <f>'Revenues 9-14'!D109</f>
        <v>1864660</v>
      </c>
      <c r="C5356" s="2" t="s">
        <v>568</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568</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568</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568</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568</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568</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50000</v>
      </c>
      <c r="C5412" s="2" t="s">
        <v>568</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50000</v>
      </c>
      <c r="C5421" s="2" t="s">
        <v>568</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568</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568</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1895</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568</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568</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568</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568</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568</v>
      </c>
      <c r="D5507" s="2" t="str">
        <f t="shared" si="85"/>
        <v>Error?</v>
      </c>
    </row>
    <row r="5508" spans="1:4" x14ac:dyDescent="0.2">
      <c r="A5508" s="5">
        <v>5447</v>
      </c>
      <c r="B5508" s="1816">
        <f>'Revenues 9-14'!D268</f>
        <v>1914660</v>
      </c>
      <c r="C5508" s="2" t="s">
        <v>568</v>
      </c>
      <c r="D5508" s="2" t="str">
        <f t="shared" si="85"/>
        <v>Error?</v>
      </c>
    </row>
    <row r="5509" spans="1:4" x14ac:dyDescent="0.2">
      <c r="A5509" s="5">
        <v>5448</v>
      </c>
      <c r="B5509" s="1816">
        <f>'Revenues 9-14'!E5</f>
        <v>359078</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359078</v>
      </c>
      <c r="C5513" s="2" t="s">
        <v>568</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568</v>
      </c>
      <c r="D5518" s="2" t="str">
        <f t="shared" si="85"/>
        <v>Error?</v>
      </c>
    </row>
    <row r="5519" spans="1:4" x14ac:dyDescent="0.2">
      <c r="A5519" s="5">
        <v>5458</v>
      </c>
      <c r="B5519" s="1816">
        <f>'Revenues 9-14'!E65</f>
        <v>1141</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1141</v>
      </c>
      <c r="C5521" s="2" t="s">
        <v>568</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568</v>
      </c>
      <c r="D5526" s="2" t="str">
        <f t="shared" si="85"/>
        <v>Error?</v>
      </c>
    </row>
    <row r="5527" spans="1:4" x14ac:dyDescent="0.2">
      <c r="A5527" s="5">
        <v>5466</v>
      </c>
      <c r="B5527" s="1816">
        <f>'Revenues 9-14'!E109</f>
        <v>360219</v>
      </c>
      <c r="C5527" s="2" t="s">
        <v>568</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568</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568</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568</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360219</v>
      </c>
      <c r="C5552" s="2" t="s">
        <v>568</v>
      </c>
      <c r="D5552" s="2" t="str">
        <f t="shared" si="85"/>
        <v>Error?</v>
      </c>
    </row>
    <row r="5553" spans="1:4" x14ac:dyDescent="0.2">
      <c r="A5553" s="5">
        <v>5492</v>
      </c>
      <c r="B5553" s="1816">
        <f>'Revenues 9-14'!F5</f>
        <v>1307666</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1307666</v>
      </c>
      <c r="C5557" s="2" t="s">
        <v>568</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568</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3502</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3502</v>
      </c>
      <c r="C5579" s="2" t="s">
        <v>568</v>
      </c>
      <c r="D5579" s="2" t="str">
        <f t="shared" si="86"/>
        <v>Error?</v>
      </c>
    </row>
    <row r="5580" spans="1:4" x14ac:dyDescent="0.2">
      <c r="A5580" s="5">
        <v>5519</v>
      </c>
      <c r="B5580" s="1816">
        <f>'Revenues 9-14'!F65</f>
        <v>43978</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43978</v>
      </c>
      <c r="C5582" s="2" t="s">
        <v>568</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60</v>
      </c>
      <c r="D5586" s="2" t="str">
        <f t="shared" si="86"/>
        <v>Error?</v>
      </c>
    </row>
    <row r="5587" spans="1:4" x14ac:dyDescent="0.2">
      <c r="A5587" s="5">
        <v>5526</v>
      </c>
      <c r="B5587" s="1816">
        <f>'Revenues 9-14'!F108</f>
        <v>60</v>
      </c>
      <c r="C5587" s="2" t="s">
        <v>568</v>
      </c>
      <c r="D5587" s="2" t="str">
        <f t="shared" si="86"/>
        <v>Error?</v>
      </c>
    </row>
    <row r="5588" spans="1:4" x14ac:dyDescent="0.2">
      <c r="A5588" s="5">
        <v>5527</v>
      </c>
      <c r="B5588" s="1816">
        <f>'Revenues 9-14'!F109</f>
        <v>1355206</v>
      </c>
      <c r="C5588" s="2" t="s">
        <v>568</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568</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568</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568</v>
      </c>
      <c r="D5614" s="2" t="str">
        <f t="shared" si="86"/>
        <v>Error?</v>
      </c>
    </row>
    <row r="5615" spans="1:4" x14ac:dyDescent="0.2">
      <c r="A5615" s="5">
        <v>5554</v>
      </c>
      <c r="B5615" s="1816">
        <f>'Revenues 9-14'!F152</f>
        <v>531399</v>
      </c>
      <c r="D5615" s="2" t="str">
        <f t="shared" si="86"/>
        <v>Error?</v>
      </c>
    </row>
    <row r="5616" spans="1:4" x14ac:dyDescent="0.2">
      <c r="A5616" s="10">
        <v>5555</v>
      </c>
      <c r="B5616" s="1816"/>
      <c r="D5616" s="2" t="str">
        <f t="shared" si="86"/>
        <v>OK</v>
      </c>
    </row>
    <row r="5617" spans="1:5" x14ac:dyDescent="0.2">
      <c r="A5617" s="5">
        <v>5556</v>
      </c>
      <c r="B5617" s="1816">
        <f>'Revenues 9-14'!F153</f>
        <v>265692</v>
      </c>
      <c r="D5617" s="2" t="str">
        <f t="shared" si="86"/>
        <v>Error?</v>
      </c>
    </row>
    <row r="5618" spans="1:5" x14ac:dyDescent="0.2">
      <c r="A5618" s="5">
        <v>5557</v>
      </c>
      <c r="B5618" s="1816">
        <f>'Revenues 9-14'!F155</f>
        <v>797091</v>
      </c>
      <c r="C5618" s="2" t="s">
        <v>568</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1895</v>
      </c>
    </row>
    <row r="5631" spans="1:5" x14ac:dyDescent="0.2">
      <c r="A5631" s="10">
        <v>5570</v>
      </c>
      <c r="B5631" s="1816"/>
      <c r="D5631" s="2" t="str">
        <f t="shared" ref="D5631:D5694" si="87">IF(ISBLANK(B5631),"OK",IF(A5631-B5631=0,"OK","Error?"))</f>
        <v>OK</v>
      </c>
      <c r="E5631" s="4" t="s">
        <v>1895</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797091</v>
      </c>
      <c r="C5644" s="2" t="s">
        <v>568</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797091</v>
      </c>
      <c r="C5653" s="2" t="s">
        <v>568</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568</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568</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1895</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568</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568</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1895</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568</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568</v>
      </c>
      <c r="D5719" s="2" t="str">
        <f t="shared" si="88"/>
        <v>Error?</v>
      </c>
    </row>
    <row r="5720" spans="1:4" x14ac:dyDescent="0.2">
      <c r="A5720" s="5">
        <v>5659</v>
      </c>
      <c r="B5720" s="1816">
        <f>'Revenues 9-14'!F268</f>
        <v>2152297</v>
      </c>
      <c r="C5720" s="2" t="s">
        <v>568</v>
      </c>
      <c r="D5720" s="2" t="str">
        <f t="shared" si="88"/>
        <v>Error?</v>
      </c>
    </row>
    <row r="5721" spans="1:4" x14ac:dyDescent="0.2">
      <c r="A5721" s="5">
        <v>5660</v>
      </c>
      <c r="B5721" s="1816">
        <f>'Revenues 9-14'!G5</f>
        <v>506119</v>
      </c>
      <c r="D5721" s="2" t="str">
        <f t="shared" si="88"/>
        <v>Error?</v>
      </c>
    </row>
    <row r="5722" spans="1:4" x14ac:dyDescent="0.2">
      <c r="A5722" s="5">
        <v>5661</v>
      </c>
      <c r="B5722" s="1816">
        <f>'Revenues 9-14'!G7</f>
        <v>0</v>
      </c>
      <c r="D5722" s="2" t="str">
        <f t="shared" si="88"/>
        <v>Error?</v>
      </c>
    </row>
    <row r="5723" spans="1:4" x14ac:dyDescent="0.2">
      <c r="A5723" s="5">
        <v>5662</v>
      </c>
      <c r="B5723" s="1816">
        <f>'Revenues 9-14'!G8</f>
        <v>654890</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1161009</v>
      </c>
      <c r="C5725" s="2" t="s">
        <v>568</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35870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35870</v>
      </c>
      <c r="C5730" s="2" t="s">
        <v>568</v>
      </c>
      <c r="D5730" s="2" t="str">
        <f t="shared" si="88"/>
        <v>Error?</v>
      </c>
    </row>
    <row r="5731" spans="1:4" x14ac:dyDescent="0.2">
      <c r="A5731" s="5">
        <v>5670</v>
      </c>
      <c r="B5731" s="1816">
        <f>'Revenues 9-14'!G65</f>
        <v>9667</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9667</v>
      </c>
      <c r="C5733" s="2" t="s">
        <v>568</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568</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568</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568</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568</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568</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1895</v>
      </c>
    </row>
    <row r="5768" spans="1:5" x14ac:dyDescent="0.2">
      <c r="A5768" s="10">
        <v>5707</v>
      </c>
      <c r="B5768" s="1816"/>
      <c r="D5768" s="2" t="str">
        <f t="shared" si="89"/>
        <v>OK</v>
      </c>
      <c r="E5768" s="4" t="s">
        <v>1895</v>
      </c>
    </row>
    <row r="5769" spans="1:5" x14ac:dyDescent="0.2">
      <c r="A5769" s="10">
        <v>5708</v>
      </c>
      <c r="B5769" s="1816"/>
      <c r="D5769" s="2" t="str">
        <f t="shared" si="89"/>
        <v>OK</v>
      </c>
    </row>
    <row r="5770" spans="1:5" x14ac:dyDescent="0.2">
      <c r="A5770" s="5">
        <v>5709</v>
      </c>
      <c r="B5770" s="1816">
        <f>'Revenues 9-14'!G169</f>
        <v>0</v>
      </c>
      <c r="C5770" s="2" t="s">
        <v>568</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568</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568</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568</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1895</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568</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568</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568</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1895</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568</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568</v>
      </c>
      <c r="D5869" s="2" t="str">
        <f t="shared" si="90"/>
        <v>Error?</v>
      </c>
    </row>
    <row r="5870" spans="1:4" x14ac:dyDescent="0.2">
      <c r="A5870" s="5">
        <v>5809</v>
      </c>
      <c r="B5870" s="1816">
        <f>'Revenues 9-14'!G268</f>
        <v>1206546</v>
      </c>
      <c r="C5870" s="2" t="s">
        <v>568</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568</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568</v>
      </c>
      <c r="D5878" s="2" t="str">
        <f t="shared" si="90"/>
        <v>Error?</v>
      </c>
    </row>
    <row r="5879" spans="1:4" x14ac:dyDescent="0.2">
      <c r="A5879" s="5">
        <v>5818</v>
      </c>
      <c r="B5879" s="1816">
        <f>'Revenues 9-14'!H65</f>
        <v>0</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0</v>
      </c>
      <c r="C5881" s="2" t="s">
        <v>568</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0</v>
      </c>
      <c r="C5886" s="2" t="s">
        <v>568</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568</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568</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568</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568</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568</v>
      </c>
      <c r="D5914" s="2" t="str">
        <f t="shared" si="91"/>
        <v>Error?</v>
      </c>
    </row>
    <row r="5915" spans="1:4" x14ac:dyDescent="0.2">
      <c r="A5915" s="5">
        <v>5854</v>
      </c>
      <c r="B5915" s="1816">
        <f>'Revenues 9-14'!H268</f>
        <v>0</v>
      </c>
      <c r="C5915" s="2" t="s">
        <v>568</v>
      </c>
      <c r="D5915" s="2" t="str">
        <f t="shared" si="91"/>
        <v>Error?</v>
      </c>
    </row>
    <row r="5916" spans="1:4" x14ac:dyDescent="0.2">
      <c r="A5916" s="5">
        <v>5855</v>
      </c>
      <c r="B5916" s="1816">
        <f>'Revenues 9-14'!I5</f>
        <v>0</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0</v>
      </c>
      <c r="C5918" s="2" t="s">
        <v>568</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568</v>
      </c>
      <c r="D5923" s="2" t="str">
        <f t="shared" si="91"/>
        <v>Error?</v>
      </c>
    </row>
    <row r="5924" spans="1:4" x14ac:dyDescent="0.2">
      <c r="A5924" s="5">
        <v>5863</v>
      </c>
      <c r="B5924" s="1816">
        <f>'Revenues 9-14'!I65</f>
        <v>21110</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21110</v>
      </c>
      <c r="C5926" s="2" t="s">
        <v>568</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568</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21110</v>
      </c>
      <c r="C5946" s="2" t="s">
        <v>568</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568</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568</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568</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568</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568</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568</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568</v>
      </c>
      <c r="D5984" s="2" t="str">
        <f t="shared" si="92"/>
        <v>OK</v>
      </c>
    </row>
    <row r="5985" spans="1:4" x14ac:dyDescent="0.2">
      <c r="A5985" s="5">
        <v>5924</v>
      </c>
      <c r="B5985" s="1816">
        <f>'Revenues 9-14'!K5</f>
        <v>0</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0</v>
      </c>
      <c r="C5987" s="2" t="s">
        <v>568</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568</v>
      </c>
      <c r="D5992" s="2" t="str">
        <f t="shared" si="92"/>
        <v>Error?</v>
      </c>
    </row>
    <row r="5993" spans="1:4" x14ac:dyDescent="0.2">
      <c r="A5993" s="5">
        <v>5932</v>
      </c>
      <c r="B5993" s="1816">
        <f>'Revenues 9-14'!K65</f>
        <v>0</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0</v>
      </c>
      <c r="C5995" s="2" t="s">
        <v>568</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568</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568</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568</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568</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568</v>
      </c>
      <c r="D6022" s="2" t="str">
        <f t="shared" si="93"/>
        <v>Error?</v>
      </c>
    </row>
    <row r="6023" spans="1:5" x14ac:dyDescent="0.2">
      <c r="A6023" s="5">
        <v>5962</v>
      </c>
      <c r="B6023" s="1816">
        <f>'Revenues 9-14'!K268</f>
        <v>0</v>
      </c>
      <c r="C6023" s="2" t="s">
        <v>568</v>
      </c>
      <c r="D6023" s="2" t="str">
        <f t="shared" si="93"/>
        <v>Error?</v>
      </c>
    </row>
    <row r="6024" spans="1:5" x14ac:dyDescent="0.2">
      <c r="A6024" s="5">
        <v>5963</v>
      </c>
      <c r="B6024" s="1816">
        <f>'Revenues 9-14'!G109</f>
        <v>1206546</v>
      </c>
      <c r="C6024" s="2" t="s">
        <v>568</v>
      </c>
      <c r="D6024" s="2" t="str">
        <f t="shared" si="93"/>
        <v>Error?</v>
      </c>
    </row>
    <row r="6025" spans="1:5" x14ac:dyDescent="0.2">
      <c r="A6025" s="5">
        <v>5964</v>
      </c>
      <c r="B6025" s="1816">
        <f>'Revenues 9-14'!H109</f>
        <v>0</v>
      </c>
      <c r="C6025" s="2" t="s">
        <v>568</v>
      </c>
      <c r="D6025" s="2" t="str">
        <f t="shared" si="93"/>
        <v>Error?</v>
      </c>
    </row>
    <row r="6026" spans="1:5" x14ac:dyDescent="0.2">
      <c r="A6026" s="5">
        <v>5965</v>
      </c>
      <c r="B6026" s="1816">
        <f>'Revenues 9-14'!I109</f>
        <v>21110</v>
      </c>
      <c r="C6026" s="2" t="s">
        <v>568</v>
      </c>
      <c r="D6026" s="2" t="str">
        <f t="shared" si="93"/>
        <v>Error?</v>
      </c>
    </row>
    <row r="6027" spans="1:5" x14ac:dyDescent="0.2">
      <c r="A6027" s="10">
        <v>5966</v>
      </c>
      <c r="B6027" s="1816"/>
      <c r="C6027" s="2" t="s">
        <v>568</v>
      </c>
      <c r="D6027" s="2" t="str">
        <f t="shared" si="93"/>
        <v>OK</v>
      </c>
    </row>
    <row r="6028" spans="1:5" x14ac:dyDescent="0.2">
      <c r="A6028" s="5">
        <v>5967</v>
      </c>
      <c r="B6028" s="1816">
        <f>'Revenues 9-14'!K109</f>
        <v>0</v>
      </c>
      <c r="C6028" s="2" t="s">
        <v>568</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0</v>
      </c>
      <c r="D6031" s="2" t="str">
        <f t="shared" si="93"/>
        <v>Error?</v>
      </c>
    </row>
    <row r="6032" spans="1:5" x14ac:dyDescent="0.2">
      <c r="A6032" s="5">
        <v>5971</v>
      </c>
      <c r="B6032" s="1816">
        <f>'Acct Summary 7-8'!G15</f>
        <v>0</v>
      </c>
      <c r="C6032" s="2" t="s">
        <v>568</v>
      </c>
      <c r="D6032" s="2" t="str">
        <f t="shared" si="93"/>
        <v>Error?</v>
      </c>
      <c r="E6032" s="2" t="s">
        <v>102</v>
      </c>
    </row>
    <row r="6033" spans="1:5" x14ac:dyDescent="0.2">
      <c r="A6033" s="10">
        <v>5972</v>
      </c>
      <c r="B6033" s="1816"/>
      <c r="C6033" s="2" t="s">
        <v>568</v>
      </c>
      <c r="D6033" s="2" t="str">
        <f t="shared" si="93"/>
        <v>OK</v>
      </c>
      <c r="E6033" s="2" t="s">
        <v>102</v>
      </c>
    </row>
    <row r="6034" spans="1:5" x14ac:dyDescent="0.2">
      <c r="A6034" s="35">
        <v>5973</v>
      </c>
      <c r="B6034" s="1817"/>
      <c r="C6034" s="2" t="s">
        <v>568</v>
      </c>
      <c r="D6034" s="2" t="str">
        <f t="shared" si="93"/>
        <v>OK</v>
      </c>
      <c r="E6034" s="2" t="s">
        <v>746</v>
      </c>
    </row>
    <row r="6035" spans="1:5" x14ac:dyDescent="0.2">
      <c r="A6035" s="13">
        <v>5974</v>
      </c>
      <c r="B6035" s="1817">
        <f>'ICR Computation 30'!E11</f>
        <v>0</v>
      </c>
      <c r="C6035" s="2" t="s">
        <v>568</v>
      </c>
      <c r="D6035" s="2" t="str">
        <f t="shared" si="93"/>
        <v>Error?</v>
      </c>
      <c r="E6035" s="2" t="s">
        <v>912</v>
      </c>
    </row>
    <row r="6036" spans="1:5" x14ac:dyDescent="0.2">
      <c r="A6036" s="35">
        <v>5975</v>
      </c>
      <c r="B6036" s="1817"/>
      <c r="D6036" s="2" t="str">
        <f t="shared" si="93"/>
        <v>OK</v>
      </c>
      <c r="E6036" s="2" t="s">
        <v>912</v>
      </c>
    </row>
    <row r="6037" spans="1:5" x14ac:dyDescent="0.2">
      <c r="A6037" s="35">
        <v>5976</v>
      </c>
      <c r="B6037" s="1817"/>
      <c r="D6037" s="2" t="str">
        <f t="shared" si="93"/>
        <v>OK</v>
      </c>
      <c r="E6037" s="2" t="s">
        <v>912</v>
      </c>
    </row>
    <row r="6038" spans="1:5" x14ac:dyDescent="0.2">
      <c r="A6038" s="35">
        <v>5977</v>
      </c>
      <c r="B6038" s="1817"/>
      <c r="D6038" s="2" t="str">
        <f t="shared" si="93"/>
        <v>OK</v>
      </c>
      <c r="E6038" s="2" t="s">
        <v>912</v>
      </c>
    </row>
    <row r="6039" spans="1:5" x14ac:dyDescent="0.2">
      <c r="A6039" s="35">
        <v>5978</v>
      </c>
      <c r="B6039" s="1817"/>
      <c r="D6039" s="2" t="str">
        <f t="shared" si="93"/>
        <v>OK</v>
      </c>
      <c r="E6039" s="2" t="s">
        <v>912</v>
      </c>
    </row>
    <row r="6040" spans="1:5" x14ac:dyDescent="0.2">
      <c r="A6040" s="35">
        <v>5979</v>
      </c>
      <c r="B6040" s="1817"/>
      <c r="D6040" s="2" t="str">
        <f t="shared" si="93"/>
        <v>OK</v>
      </c>
      <c r="E6040" s="2" t="s">
        <v>912</v>
      </c>
    </row>
    <row r="6041" spans="1:5" x14ac:dyDescent="0.2">
      <c r="A6041" s="35">
        <v>5980</v>
      </c>
      <c r="B6041" s="1817"/>
      <c r="D6041" s="2" t="str">
        <f t="shared" si="93"/>
        <v>OK</v>
      </c>
      <c r="E6041" s="2" t="s">
        <v>912</v>
      </c>
    </row>
    <row r="6042" spans="1:5" x14ac:dyDescent="0.2">
      <c r="A6042" s="35">
        <v>5981</v>
      </c>
      <c r="B6042" s="1817"/>
      <c r="D6042" s="2" t="str">
        <f t="shared" si="93"/>
        <v>OK</v>
      </c>
      <c r="E6042" s="2" t="s">
        <v>912</v>
      </c>
    </row>
    <row r="6043" spans="1:5" x14ac:dyDescent="0.2">
      <c r="A6043" s="35">
        <v>5982</v>
      </c>
      <c r="B6043" s="1817"/>
      <c r="D6043" s="2" t="str">
        <f t="shared" si="93"/>
        <v>OK</v>
      </c>
      <c r="E6043" s="2" t="s">
        <v>912</v>
      </c>
    </row>
    <row r="6044" spans="1:5" x14ac:dyDescent="0.2">
      <c r="A6044" s="35">
        <v>5983</v>
      </c>
      <c r="B6044" s="1817"/>
      <c r="D6044" s="2" t="str">
        <f t="shared" si="93"/>
        <v>OK</v>
      </c>
      <c r="E6044" s="2" t="s">
        <v>912</v>
      </c>
    </row>
    <row r="6045" spans="1:5" x14ac:dyDescent="0.2">
      <c r="A6045" s="35">
        <v>5984</v>
      </c>
      <c r="B6045" s="1817"/>
      <c r="D6045" s="2" t="str">
        <f t="shared" si="93"/>
        <v>OK</v>
      </c>
      <c r="E6045" s="2" t="s">
        <v>912</v>
      </c>
    </row>
    <row r="6046" spans="1:5" x14ac:dyDescent="0.2">
      <c r="A6046" s="35">
        <v>5985</v>
      </c>
      <c r="B6046" s="1817"/>
      <c r="D6046" s="2" t="str">
        <f t="shared" si="93"/>
        <v>OK</v>
      </c>
      <c r="E6046" s="2" t="s">
        <v>912</v>
      </c>
    </row>
    <row r="6047" spans="1:5" x14ac:dyDescent="0.2">
      <c r="A6047" s="35">
        <v>5986</v>
      </c>
      <c r="B6047" s="1817"/>
      <c r="D6047" s="2" t="str">
        <f t="shared" si="93"/>
        <v>OK</v>
      </c>
      <c r="E6047" s="2" t="s">
        <v>912</v>
      </c>
    </row>
    <row r="6048" spans="1:5" x14ac:dyDescent="0.2">
      <c r="A6048" s="35">
        <v>5987</v>
      </c>
      <c r="B6048" s="1817"/>
      <c r="D6048" s="2" t="str">
        <f t="shared" si="93"/>
        <v>OK</v>
      </c>
      <c r="E6048" s="2" t="s">
        <v>912</v>
      </c>
    </row>
    <row r="6049" spans="1:5" x14ac:dyDescent="0.2">
      <c r="A6049" s="35">
        <v>5988</v>
      </c>
      <c r="B6049" s="1817"/>
      <c r="D6049" s="2" t="str">
        <f t="shared" si="93"/>
        <v>OK</v>
      </c>
      <c r="E6049" s="2" t="s">
        <v>912</v>
      </c>
    </row>
    <row r="6050" spans="1:5" x14ac:dyDescent="0.2">
      <c r="A6050" s="35">
        <v>5989</v>
      </c>
      <c r="B6050" s="1817"/>
      <c r="D6050" s="2" t="str">
        <f t="shared" si="93"/>
        <v>OK</v>
      </c>
      <c r="E6050" s="2" t="s">
        <v>912</v>
      </c>
    </row>
    <row r="6051" spans="1:5" x14ac:dyDescent="0.2">
      <c r="A6051" s="35">
        <v>5990</v>
      </c>
      <c r="B6051" s="1817"/>
      <c r="D6051" s="2" t="str">
        <f t="shared" si="93"/>
        <v>OK</v>
      </c>
      <c r="E6051" s="2" t="s">
        <v>912</v>
      </c>
    </row>
    <row r="6052" spans="1:5" x14ac:dyDescent="0.2">
      <c r="A6052" s="35">
        <v>5991</v>
      </c>
      <c r="B6052" s="1817"/>
      <c r="D6052" s="2" t="str">
        <f t="shared" si="93"/>
        <v>OK</v>
      </c>
      <c r="E6052" s="2" t="s">
        <v>912</v>
      </c>
    </row>
    <row r="6053" spans="1:5" x14ac:dyDescent="0.2">
      <c r="A6053" s="35">
        <v>5992</v>
      </c>
      <c r="B6053" s="1817"/>
      <c r="D6053" s="2" t="str">
        <f t="shared" si="93"/>
        <v>OK</v>
      </c>
      <c r="E6053" s="2" t="s">
        <v>912</v>
      </c>
    </row>
    <row r="6054" spans="1:5" x14ac:dyDescent="0.2">
      <c r="A6054" s="35">
        <v>5993</v>
      </c>
      <c r="B6054" s="1817"/>
      <c r="C6054" s="2" t="s">
        <v>568</v>
      </c>
      <c r="D6054" s="2" t="str">
        <f t="shared" si="93"/>
        <v>OK</v>
      </c>
      <c r="E6054" s="2" t="s">
        <v>912</v>
      </c>
    </row>
    <row r="6055" spans="1:5" x14ac:dyDescent="0.2">
      <c r="A6055" s="35">
        <v>5994</v>
      </c>
      <c r="B6055" s="1817"/>
      <c r="D6055" s="2" t="str">
        <f t="shared" si="93"/>
        <v>OK</v>
      </c>
      <c r="E6055" s="2" t="s">
        <v>912</v>
      </c>
    </row>
    <row r="6056" spans="1:5" x14ac:dyDescent="0.2">
      <c r="A6056" s="35">
        <v>5995</v>
      </c>
      <c r="B6056" s="1817"/>
      <c r="D6056" s="2" t="str">
        <f t="shared" si="93"/>
        <v>OK</v>
      </c>
      <c r="E6056" s="2" t="s">
        <v>912</v>
      </c>
    </row>
    <row r="6057" spans="1:5" x14ac:dyDescent="0.2">
      <c r="A6057" s="35">
        <v>5996</v>
      </c>
      <c r="B6057" s="1817"/>
      <c r="D6057" s="2" t="str">
        <f t="shared" si="93"/>
        <v>OK</v>
      </c>
      <c r="E6057" s="2" t="s">
        <v>912</v>
      </c>
    </row>
    <row r="6058" spans="1:5" x14ac:dyDescent="0.2">
      <c r="A6058" s="35">
        <v>5997</v>
      </c>
      <c r="B6058" s="1817"/>
      <c r="D6058" s="2" t="str">
        <f t="shared" si="93"/>
        <v>OK</v>
      </c>
      <c r="E6058" s="2" t="s">
        <v>912</v>
      </c>
    </row>
    <row r="6059" spans="1:5" x14ac:dyDescent="0.2">
      <c r="A6059" s="35">
        <v>5998</v>
      </c>
      <c r="B6059" s="1817"/>
      <c r="D6059" s="2" t="str">
        <f t="shared" si="93"/>
        <v>OK</v>
      </c>
      <c r="E6059" s="2" t="s">
        <v>912</v>
      </c>
    </row>
    <row r="6060" spans="1:5" x14ac:dyDescent="0.2">
      <c r="A6060" s="35">
        <v>5999</v>
      </c>
      <c r="B6060" s="1817"/>
      <c r="D6060" s="2" t="str">
        <f t="shared" si="93"/>
        <v>OK</v>
      </c>
      <c r="E6060" s="2" t="s">
        <v>912</v>
      </c>
    </row>
    <row r="6061" spans="1:5" x14ac:dyDescent="0.2">
      <c r="A6061" s="35">
        <v>6000</v>
      </c>
      <c r="B6061" s="1817"/>
      <c r="D6061" s="2" t="str">
        <f t="shared" si="93"/>
        <v>OK</v>
      </c>
      <c r="E6061" s="2" t="s">
        <v>912</v>
      </c>
    </row>
    <row r="6062" spans="1:5" x14ac:dyDescent="0.2">
      <c r="A6062" s="35">
        <v>6001</v>
      </c>
      <c r="B6062" s="1817"/>
      <c r="D6062" s="2" t="str">
        <f t="shared" si="93"/>
        <v>OK</v>
      </c>
      <c r="E6062" s="2" t="s">
        <v>912</v>
      </c>
    </row>
    <row r="6063" spans="1:5" x14ac:dyDescent="0.2">
      <c r="A6063" s="35">
        <v>6002</v>
      </c>
      <c r="B6063" s="1817"/>
      <c r="D6063" s="2" t="str">
        <f t="shared" si="93"/>
        <v>OK</v>
      </c>
      <c r="E6063" s="2" t="s">
        <v>912</v>
      </c>
    </row>
    <row r="6064" spans="1:5" x14ac:dyDescent="0.2">
      <c r="A6064" s="35">
        <v>6003</v>
      </c>
      <c r="B6064" s="1817"/>
      <c r="D6064" s="2" t="str">
        <f t="shared" si="93"/>
        <v>OK</v>
      </c>
      <c r="E6064" s="2" t="s">
        <v>912</v>
      </c>
    </row>
    <row r="6065" spans="1:5" x14ac:dyDescent="0.2">
      <c r="A6065" s="35">
        <v>6004</v>
      </c>
      <c r="B6065" s="1817"/>
      <c r="D6065" s="2" t="str">
        <f t="shared" si="93"/>
        <v>OK</v>
      </c>
      <c r="E6065" s="2" t="s">
        <v>912</v>
      </c>
    </row>
    <row r="6066" spans="1:5" x14ac:dyDescent="0.2">
      <c r="A6066" s="35">
        <v>6005</v>
      </c>
      <c r="B6066" s="1817"/>
      <c r="D6066" s="2" t="str">
        <f t="shared" si="93"/>
        <v>OK</v>
      </c>
      <c r="E6066" s="2" t="s">
        <v>912</v>
      </c>
    </row>
    <row r="6067" spans="1:5" x14ac:dyDescent="0.2">
      <c r="A6067" s="124">
        <v>6006</v>
      </c>
      <c r="B6067" s="1817"/>
      <c r="D6067" s="2" t="str">
        <f t="shared" si="93"/>
        <v>OK</v>
      </c>
      <c r="E6067" s="2" t="s">
        <v>912</v>
      </c>
    </row>
    <row r="6068" spans="1:5" x14ac:dyDescent="0.2">
      <c r="A6068" s="124">
        <v>6007</v>
      </c>
      <c r="B6068" s="1817"/>
      <c r="D6068" s="2" t="str">
        <f t="shared" si="93"/>
        <v>OK</v>
      </c>
      <c r="E6068" s="2" t="s">
        <v>912</v>
      </c>
    </row>
    <row r="6069" spans="1:5" x14ac:dyDescent="0.2">
      <c r="A6069" s="124">
        <v>6008</v>
      </c>
      <c r="B6069" s="1817"/>
      <c r="D6069" s="2" t="str">
        <f t="shared" si="93"/>
        <v>OK</v>
      </c>
      <c r="E6069" s="2" t="s">
        <v>912</v>
      </c>
    </row>
    <row r="6070" spans="1:5" x14ac:dyDescent="0.2">
      <c r="A6070" s="124">
        <v>6009</v>
      </c>
      <c r="B6070" s="1817"/>
      <c r="D6070" s="2" t="str">
        <f t="shared" si="93"/>
        <v>OK</v>
      </c>
      <c r="E6070" s="2" t="s">
        <v>912</v>
      </c>
    </row>
    <row r="6071" spans="1:5" x14ac:dyDescent="0.2">
      <c r="A6071" s="124">
        <v>6010</v>
      </c>
      <c r="B6071" s="1817"/>
      <c r="D6071" s="2" t="str">
        <f t="shared" si="93"/>
        <v>OK</v>
      </c>
      <c r="E6071" s="2" t="s">
        <v>912</v>
      </c>
    </row>
    <row r="6072" spans="1:5" x14ac:dyDescent="0.2">
      <c r="A6072" s="124">
        <v>6011</v>
      </c>
      <c r="B6072" s="1817"/>
      <c r="D6072" s="2" t="str">
        <f t="shared" si="93"/>
        <v>OK</v>
      </c>
      <c r="E6072" s="2" t="s">
        <v>912</v>
      </c>
    </row>
    <row r="6073" spans="1:5" x14ac:dyDescent="0.2">
      <c r="A6073" s="124">
        <v>6012</v>
      </c>
      <c r="B6073" s="1817"/>
      <c r="C6073" s="2" t="s">
        <v>568</v>
      </c>
      <c r="D6073" s="2" t="str">
        <f t="shared" si="93"/>
        <v>OK</v>
      </c>
      <c r="E6073" s="2" t="s">
        <v>912</v>
      </c>
    </row>
    <row r="6074" spans="1:5" x14ac:dyDescent="0.2">
      <c r="A6074" s="8">
        <v>6013</v>
      </c>
      <c r="B6074" s="1817">
        <f>'PCTC-OEPP 27-28'!F79</f>
        <v>1778.1</v>
      </c>
      <c r="D6074" s="2" t="str">
        <f t="shared" si="93"/>
        <v>Error?</v>
      </c>
      <c r="E6074" s="2" t="s">
        <v>922</v>
      </c>
    </row>
    <row r="6075" spans="1:5" x14ac:dyDescent="0.2">
      <c r="A6075" s="124">
        <v>6014</v>
      </c>
      <c r="B6075" s="1817"/>
      <c r="D6075" s="2" t="str">
        <f t="shared" si="93"/>
        <v>OK</v>
      </c>
      <c r="E6075" s="2" t="s">
        <v>922</v>
      </c>
    </row>
    <row r="6076" spans="1:5" x14ac:dyDescent="0.2">
      <c r="A6076">
        <v>6015</v>
      </c>
      <c r="B6076" s="1816">
        <f>'Short-Term Long-Term Debt 24'!C27</f>
        <v>0</v>
      </c>
      <c r="D6076" s="2" t="str">
        <f t="shared" si="93"/>
        <v>Error?</v>
      </c>
      <c r="E6076" s="2" t="s">
        <v>922</v>
      </c>
    </row>
    <row r="6077" spans="1:5" x14ac:dyDescent="0.2">
      <c r="A6077">
        <v>6016</v>
      </c>
      <c r="B6077" s="1816">
        <f>'Short-Term Long-Term Debt 24'!D27</f>
        <v>0</v>
      </c>
      <c r="D6077" s="2" t="str">
        <f t="shared" si="93"/>
        <v>Error?</v>
      </c>
      <c r="E6077" s="2" t="s">
        <v>922</v>
      </c>
    </row>
    <row r="6078" spans="1:5" x14ac:dyDescent="0.2">
      <c r="A6078">
        <v>6017</v>
      </c>
      <c r="B6078" s="1816">
        <f>'Short-Term Long-Term Debt 24'!E27</f>
        <v>0</v>
      </c>
      <c r="D6078" s="2" t="str">
        <f t="shared" si="93"/>
        <v>Error?</v>
      </c>
      <c r="E6078" s="2" t="s">
        <v>922</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478</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f>'Assets-Liab 5-6'!I10</f>
        <v>0</v>
      </c>
      <c r="D6111" s="2" t="str">
        <f t="shared" si="94"/>
        <v>Error?</v>
      </c>
      <c r="E6111" s="2" t="s">
        <v>189</v>
      </c>
    </row>
    <row r="6112" spans="1:5" x14ac:dyDescent="0.2">
      <c r="A6112">
        <v>6051</v>
      </c>
      <c r="B6112" s="1816">
        <f>'Assets-Liab 5-6'!J10</f>
        <v>0</v>
      </c>
      <c r="D6112" s="2" t="str">
        <f t="shared" si="94"/>
        <v>Error?</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f>'Assets-Liab 5-6'!H11</f>
        <v>0</v>
      </c>
      <c r="D6118" s="2" t="str">
        <f t="shared" si="94"/>
        <v>Error?</v>
      </c>
      <c r="E6118" s="2" t="s">
        <v>189</v>
      </c>
    </row>
    <row r="6119" spans="1:5" x14ac:dyDescent="0.2">
      <c r="A6119">
        <v>6058</v>
      </c>
      <c r="B6119" s="1816">
        <f>'Assets-Liab 5-6'!I11</f>
        <v>0</v>
      </c>
      <c r="D6119" s="2" t="str">
        <f t="shared" si="94"/>
        <v>Error?</v>
      </c>
      <c r="E6119" s="2" t="s">
        <v>189</v>
      </c>
    </row>
    <row r="6120" spans="1:5" x14ac:dyDescent="0.2">
      <c r="A6120">
        <v>6059</v>
      </c>
      <c r="B6120" s="1816">
        <f>'Assets-Liab 5-6'!J11</f>
        <v>0</v>
      </c>
      <c r="D6120" s="2" t="str">
        <f t="shared" si="94"/>
        <v>Error?</v>
      </c>
      <c r="E6120" s="2" t="s">
        <v>189</v>
      </c>
    </row>
    <row r="6121" spans="1:5" x14ac:dyDescent="0.2">
      <c r="A6121">
        <v>6060</v>
      </c>
      <c r="B6121" s="1816">
        <f>'Assets-Liab 5-6'!K11</f>
        <v>0</v>
      </c>
      <c r="D6121" s="2" t="str">
        <f t="shared" si="94"/>
        <v>Error?</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0</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25911</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0</v>
      </c>
      <c r="D6215" s="2" t="str">
        <f t="shared" si="96"/>
        <v>Error?</v>
      </c>
      <c r="E6215" s="2" t="s">
        <v>189</v>
      </c>
    </row>
    <row r="6216" spans="1:5" x14ac:dyDescent="0.2">
      <c r="A6216">
        <v>6155</v>
      </c>
      <c r="B6216" s="1816">
        <f>'Assets-Liab 5-6'!J41</f>
        <v>0</v>
      </c>
      <c r="D6216" s="2" t="str">
        <f t="shared" si="96"/>
        <v>Error?</v>
      </c>
      <c r="E6216" s="2" t="s">
        <v>189</v>
      </c>
    </row>
    <row r="6217" spans="1:5" x14ac:dyDescent="0.2">
      <c r="A6217">
        <v>6156</v>
      </c>
      <c r="B6217" s="1816">
        <f>'Assets-Liab 5-6'!J4</f>
        <v>0</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0</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0</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0</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0</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0</v>
      </c>
      <c r="D6229" s="2" t="str">
        <f t="shared" si="96"/>
        <v>Error?</v>
      </c>
      <c r="E6229" s="2" t="s">
        <v>189</v>
      </c>
    </row>
    <row r="6230" spans="1:5" x14ac:dyDescent="0.2">
      <c r="A6230">
        <v>6169</v>
      </c>
      <c r="B6230" s="1816">
        <f>'Acct Summary 7-8'!J20</f>
        <v>0</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119156</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4896</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0</v>
      </c>
      <c r="D6263" s="2" t="str">
        <f t="shared" si="96"/>
        <v>Error?</v>
      </c>
      <c r="E6263" s="2" t="s">
        <v>189</v>
      </c>
    </row>
    <row r="6264" spans="1:5" x14ac:dyDescent="0.2">
      <c r="A6264">
        <v>6203</v>
      </c>
      <c r="B6264" s="1816">
        <f>'Acct Summary 7-8'!J79</f>
        <v>0</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0</v>
      </c>
      <c r="D6266" s="2" t="str">
        <f t="shared" si="96"/>
        <v>Error?</v>
      </c>
      <c r="E6266" s="2" t="s">
        <v>189</v>
      </c>
    </row>
    <row r="6267" spans="1:5" x14ac:dyDescent="0.2">
      <c r="A6267">
        <v>6206</v>
      </c>
      <c r="B6267" s="1816">
        <f>'Acct Summary 7-8'!C82</f>
        <v>-4403358</v>
      </c>
      <c r="D6267" s="2" t="str">
        <f t="shared" si="96"/>
        <v>Error?</v>
      </c>
      <c r="E6267" s="2" t="s">
        <v>189</v>
      </c>
    </row>
    <row r="6268" spans="1:5" x14ac:dyDescent="0.2">
      <c r="A6268">
        <v>6207</v>
      </c>
      <c r="B6268" s="1816">
        <f>'Acct Summary 7-8'!D82</f>
        <v>-275700</v>
      </c>
      <c r="D6268" s="2" t="str">
        <f t="shared" si="96"/>
        <v>Error?</v>
      </c>
      <c r="E6268" s="2" t="s">
        <v>189</v>
      </c>
    </row>
    <row r="6269" spans="1:5" x14ac:dyDescent="0.2">
      <c r="A6269">
        <v>6208</v>
      </c>
      <c r="B6269" s="1816">
        <f>'Acct Summary 7-8'!E82</f>
        <v>-83244</v>
      </c>
      <c r="D6269" s="2" t="str">
        <f t="shared" si="96"/>
        <v>Error?</v>
      </c>
      <c r="E6269" s="2" t="s">
        <v>189</v>
      </c>
    </row>
    <row r="6270" spans="1:5" x14ac:dyDescent="0.2">
      <c r="A6270">
        <v>6209</v>
      </c>
      <c r="B6270" s="1816">
        <f>'Acct Summary 7-8'!F82</f>
        <v>97834</v>
      </c>
      <c r="D6270" s="2" t="str">
        <f t="shared" si="96"/>
        <v>Error?</v>
      </c>
      <c r="E6270" s="2" t="s">
        <v>189</v>
      </c>
    </row>
    <row r="6271" spans="1:5" x14ac:dyDescent="0.2">
      <c r="A6271">
        <v>6210</v>
      </c>
      <c r="B6271" s="1816">
        <f>'Acct Summary 7-8'!G82</f>
        <v>69831</v>
      </c>
      <c r="D6271" s="2" t="str">
        <f t="shared" ref="D6271:D6334" si="97">IF(ISBLANK(B6271),"OK",IF(A6271-B6271=0,"OK","Error?"))</f>
        <v>Error?</v>
      </c>
      <c r="E6271" s="2" t="s">
        <v>189</v>
      </c>
    </row>
    <row r="6272" spans="1:5" x14ac:dyDescent="0.2">
      <c r="A6272">
        <v>6211</v>
      </c>
      <c r="B6272" s="1816">
        <f>'Acct Summary 7-8'!H82</f>
        <v>1461</v>
      </c>
      <c r="D6272" s="2" t="str">
        <f t="shared" si="97"/>
        <v>Error?</v>
      </c>
      <c r="E6272" s="2" t="s">
        <v>189</v>
      </c>
    </row>
    <row r="6273" spans="1:5" x14ac:dyDescent="0.2">
      <c r="A6273">
        <v>6212</v>
      </c>
      <c r="B6273" s="1816">
        <f>'Acct Summary 7-8'!I82</f>
        <v>0</v>
      </c>
      <c r="D6273" s="2" t="str">
        <f t="shared" si="97"/>
        <v>Error?</v>
      </c>
      <c r="E6273" s="2" t="s">
        <v>189</v>
      </c>
    </row>
    <row r="6274" spans="1:5" x14ac:dyDescent="0.2">
      <c r="A6274">
        <v>6213</v>
      </c>
      <c r="B6274" s="1816">
        <f>'Acct Summary 7-8'!J82</f>
        <v>0</v>
      </c>
      <c r="D6274" s="2" t="str">
        <f t="shared" si="97"/>
        <v>Error?</v>
      </c>
      <c r="E6274" s="2" t="s">
        <v>189</v>
      </c>
    </row>
    <row r="6275" spans="1:5" x14ac:dyDescent="0.2">
      <c r="A6275">
        <v>6214</v>
      </c>
      <c r="B6275" s="1816">
        <f>'Acct Summary 7-8'!K82</f>
        <v>0</v>
      </c>
      <c r="D6275" s="2" t="str">
        <f t="shared" si="97"/>
        <v>Error?</v>
      </c>
      <c r="E6275" s="2" t="s">
        <v>189</v>
      </c>
    </row>
    <row r="6276" spans="1:5" x14ac:dyDescent="0.2">
      <c r="A6276">
        <v>6215</v>
      </c>
      <c r="B6276" s="1816">
        <f>'Acct Summary 7-8'!C83</f>
        <v>-0.22676568151863696</v>
      </c>
      <c r="D6276" s="2" t="str">
        <f t="shared" si="97"/>
        <v>Error?</v>
      </c>
      <c r="E6276" s="2" t="s">
        <v>189</v>
      </c>
    </row>
    <row r="6277" spans="1:5" x14ac:dyDescent="0.2">
      <c r="A6277">
        <v>6216</v>
      </c>
      <c r="B6277" s="1816">
        <f>'Acct Summary 7-8'!D83</f>
        <v>-0.43325758790084579</v>
      </c>
      <c r="D6277" s="2" t="str">
        <f t="shared" si="97"/>
        <v>Error?</v>
      </c>
      <c r="E6277" s="2" t="s">
        <v>189</v>
      </c>
    </row>
    <row r="6278" spans="1:5" x14ac:dyDescent="0.2">
      <c r="A6278">
        <v>6217</v>
      </c>
      <c r="B6278" s="1816">
        <f>'Acct Summary 7-8'!E83</f>
        <v>-25.433547204399634</v>
      </c>
      <c r="D6278" s="2" t="str">
        <f t="shared" si="97"/>
        <v>Error?</v>
      </c>
      <c r="E6278" s="2" t="s">
        <v>189</v>
      </c>
    </row>
    <row r="6279" spans="1:5" x14ac:dyDescent="0.2">
      <c r="A6279">
        <v>6218</v>
      </c>
      <c r="B6279" s="1816">
        <f>'Acct Summary 7-8'!F83</f>
        <v>5.3361186410171103E-2</v>
      </c>
      <c r="D6279" s="2" t="str">
        <f t="shared" si="97"/>
        <v>Error?</v>
      </c>
      <c r="E6279" s="2" t="s">
        <v>189</v>
      </c>
    </row>
    <row r="6280" spans="1:5" x14ac:dyDescent="0.2">
      <c r="A6280">
        <v>6219</v>
      </c>
      <c r="B6280" s="1816">
        <f>'Acct Summary 7-8'!G83</f>
        <v>7.9488268164055603E-2</v>
      </c>
      <c r="D6280" s="2" t="str">
        <f t="shared" si="97"/>
        <v>Error?</v>
      </c>
      <c r="E6280" s="2" t="s">
        <v>189</v>
      </c>
    </row>
    <row r="6281" spans="1:5" x14ac:dyDescent="0.2">
      <c r="A6281">
        <v>6220</v>
      </c>
      <c r="B6281" s="1816">
        <f>'Acct Summary 7-8'!H83</f>
        <v>0.64962205424633168</v>
      </c>
      <c r="D6281" s="2" t="str">
        <f t="shared" si="97"/>
        <v>Error?</v>
      </c>
      <c r="E6281" s="2" t="s">
        <v>189</v>
      </c>
    </row>
    <row r="6282" spans="1:5" x14ac:dyDescent="0.2">
      <c r="A6282">
        <v>6221</v>
      </c>
      <c r="B6282" s="1816">
        <f>'Acct Summary 7-8'!I83</f>
        <v>0</v>
      </c>
      <c r="D6282" s="2" t="str">
        <f t="shared" si="97"/>
        <v>Error?</v>
      </c>
      <c r="E6282" s="2" t="s">
        <v>189</v>
      </c>
    </row>
    <row r="6283" spans="1:5" x14ac:dyDescent="0.2">
      <c r="A6283">
        <v>6222</v>
      </c>
      <c r="B6283" s="1816" t="e">
        <f>'Acct Summary 7-8'!J83</f>
        <v>#DIV/0!</v>
      </c>
      <c r="D6283" s="2" t="e">
        <f t="shared" si="97"/>
        <v>#DIV/0!</v>
      </c>
      <c r="E6283" s="2" t="s">
        <v>189</v>
      </c>
    </row>
    <row r="6284" spans="1:5" x14ac:dyDescent="0.2">
      <c r="A6284">
        <v>6223</v>
      </c>
      <c r="B6284" s="1816" t="e">
        <f>'Acct Summary 7-8'!K83</f>
        <v>#DIV/0!</v>
      </c>
      <c r="D6284" s="2" t="e">
        <f t="shared" si="97"/>
        <v>#DIV/0!</v>
      </c>
      <c r="E6284" s="2" t="s">
        <v>189</v>
      </c>
    </row>
    <row r="6285" spans="1:5" x14ac:dyDescent="0.2">
      <c r="A6285">
        <v>6224</v>
      </c>
      <c r="B6285" s="1816">
        <f>'Acct Summary 7-8'!E37</f>
        <v>119156</v>
      </c>
      <c r="D6285" s="2" t="str">
        <f t="shared" si="97"/>
        <v>Error?</v>
      </c>
      <c r="E6285" s="2" t="s">
        <v>189</v>
      </c>
    </row>
    <row r="6286" spans="1:5" x14ac:dyDescent="0.2">
      <c r="A6286">
        <v>6225</v>
      </c>
      <c r="B6286" s="1816">
        <f>'Acct Summary 7-8'!E38</f>
        <v>4896</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3925000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0</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0</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0</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0</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f>'Revenues 9-14'!C97</f>
        <v>0</v>
      </c>
      <c r="D6320" s="2" t="str">
        <f t="shared" si="97"/>
        <v>Error?</v>
      </c>
      <c r="E6320" s="2" t="s">
        <v>189</v>
      </c>
    </row>
    <row r="6321" spans="1:5" x14ac:dyDescent="0.2">
      <c r="A6321">
        <v>6260</v>
      </c>
      <c r="B6321" s="1816">
        <f>'Revenues 9-14'!D97</f>
        <v>104829</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0</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0</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1894</v>
      </c>
    </row>
    <row r="6383" spans="1:6" x14ac:dyDescent="0.2">
      <c r="A6383" s="126">
        <v>6322</v>
      </c>
      <c r="B6383" s="1816"/>
      <c r="D6383" s="2" t="str">
        <f t="shared" si="98"/>
        <v>OK</v>
      </c>
      <c r="E6383" s="2" t="s">
        <v>189</v>
      </c>
      <c r="F6383" s="1" t="s">
        <v>1894</v>
      </c>
    </row>
    <row r="6384" spans="1:6" x14ac:dyDescent="0.2">
      <c r="A6384" s="126">
        <v>6323</v>
      </c>
      <c r="B6384" s="1816"/>
      <c r="D6384" s="2" t="str">
        <f t="shared" si="98"/>
        <v>OK</v>
      </c>
      <c r="E6384" s="2" t="s">
        <v>189</v>
      </c>
      <c r="F6384" s="1" t="s">
        <v>1894</v>
      </c>
    </row>
    <row r="6385" spans="1:6" x14ac:dyDescent="0.2">
      <c r="A6385" s="126">
        <v>6324</v>
      </c>
      <c r="B6385" s="1816"/>
      <c r="D6385" s="2" t="str">
        <f t="shared" si="98"/>
        <v>OK</v>
      </c>
      <c r="E6385" s="2" t="s">
        <v>189</v>
      </c>
      <c r="F6385" s="1" t="s">
        <v>1894</v>
      </c>
    </row>
    <row r="6386" spans="1:6" x14ac:dyDescent="0.2">
      <c r="A6386" s="126">
        <v>6325</v>
      </c>
      <c r="B6386" s="1816"/>
      <c r="D6386" s="2" t="str">
        <f t="shared" si="98"/>
        <v>OK</v>
      </c>
      <c r="E6386" s="2" t="s">
        <v>189</v>
      </c>
      <c r="F6386" s="1" t="s">
        <v>1894</v>
      </c>
    </row>
    <row r="6387" spans="1:6" x14ac:dyDescent="0.2">
      <c r="A6387" s="126">
        <v>6326</v>
      </c>
      <c r="B6387" s="1816"/>
      <c r="D6387" s="2" t="str">
        <f t="shared" si="98"/>
        <v>OK</v>
      </c>
      <c r="E6387" s="2" t="s">
        <v>189</v>
      </c>
      <c r="F6387" s="1" t="s">
        <v>1894</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1894</v>
      </c>
    </row>
    <row r="6411" spans="1:6" x14ac:dyDescent="0.2">
      <c r="A6411" s="126">
        <v>6350</v>
      </c>
      <c r="B6411" s="1816"/>
      <c r="D6411" s="2" t="str">
        <f t="shared" si="99"/>
        <v>OK</v>
      </c>
      <c r="E6411" s="2" t="s">
        <v>189</v>
      </c>
      <c r="F6411" s="1" t="s">
        <v>1894</v>
      </c>
    </row>
    <row r="6412" spans="1:6" x14ac:dyDescent="0.2">
      <c r="A6412" s="126">
        <v>6351</v>
      </c>
      <c r="B6412" s="1816"/>
      <c r="D6412" s="2" t="str">
        <f t="shared" si="99"/>
        <v>OK</v>
      </c>
      <c r="E6412" s="2" t="s">
        <v>189</v>
      </c>
      <c r="F6412" s="1" t="s">
        <v>1894</v>
      </c>
    </row>
    <row r="6413" spans="1:6" x14ac:dyDescent="0.2">
      <c r="A6413" s="126">
        <v>6352</v>
      </c>
      <c r="B6413" s="1816"/>
      <c r="D6413" s="2" t="str">
        <f t="shared" si="99"/>
        <v>OK</v>
      </c>
      <c r="E6413" s="2" t="s">
        <v>189</v>
      </c>
      <c r="F6413" s="1" t="s">
        <v>1894</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1990</v>
      </c>
    </row>
    <row r="6417" spans="1:5" x14ac:dyDescent="0.2">
      <c r="A6417" s="126">
        <v>6356</v>
      </c>
      <c r="B6417" s="1816"/>
      <c r="D6417" s="2" t="str">
        <f t="shared" si="99"/>
        <v>OK</v>
      </c>
      <c r="E6417" s="4" t="s">
        <v>1990</v>
      </c>
    </row>
    <row r="6418" spans="1:5" x14ac:dyDescent="0.2">
      <c r="A6418" s="126">
        <v>6357</v>
      </c>
      <c r="B6418" s="1816"/>
      <c r="D6418" s="2" t="str">
        <f t="shared" si="99"/>
        <v>OK</v>
      </c>
      <c r="E6418" s="4" t="s">
        <v>1990</v>
      </c>
    </row>
    <row r="6419" spans="1:5" x14ac:dyDescent="0.2">
      <c r="A6419" s="126">
        <v>6358</v>
      </c>
      <c r="B6419" s="1816"/>
      <c r="D6419" s="2" t="str">
        <f t="shared" si="99"/>
        <v>OK</v>
      </c>
      <c r="E6419" s="4" t="s">
        <v>1990</v>
      </c>
    </row>
    <row r="6420" spans="1:5" x14ac:dyDescent="0.2">
      <c r="A6420" s="126">
        <v>6359</v>
      </c>
      <c r="B6420" s="1816"/>
      <c r="D6420" s="2" t="str">
        <f t="shared" si="99"/>
        <v>OK</v>
      </c>
      <c r="E6420" s="4" t="s">
        <v>1990</v>
      </c>
    </row>
    <row r="6421" spans="1:5" x14ac:dyDescent="0.2">
      <c r="A6421" s="126">
        <v>6360</v>
      </c>
      <c r="B6421" s="1816"/>
      <c r="D6421" s="2" t="str">
        <f t="shared" si="99"/>
        <v>OK</v>
      </c>
      <c r="E6421" s="4" t="s">
        <v>1990</v>
      </c>
    </row>
    <row r="6422" spans="1:5" x14ac:dyDescent="0.2">
      <c r="A6422" s="126">
        <v>6361</v>
      </c>
      <c r="B6422" s="1816"/>
      <c r="D6422" s="2" t="str">
        <f t="shared" si="99"/>
        <v>OK</v>
      </c>
      <c r="E6422" s="4" t="s">
        <v>1990</v>
      </c>
    </row>
    <row r="6423" spans="1:5" x14ac:dyDescent="0.2">
      <c r="A6423" s="126">
        <v>6362</v>
      </c>
      <c r="B6423" s="1816"/>
      <c r="D6423" s="2" t="str">
        <f t="shared" si="99"/>
        <v>OK</v>
      </c>
      <c r="E6423" s="4" t="s">
        <v>1990</v>
      </c>
    </row>
    <row r="6424" spans="1:5" x14ac:dyDescent="0.2">
      <c r="A6424" s="126">
        <v>6363</v>
      </c>
      <c r="B6424" s="1816"/>
      <c r="D6424" s="2" t="str">
        <f t="shared" si="99"/>
        <v>OK</v>
      </c>
      <c r="E6424" s="4" t="s">
        <v>1990</v>
      </c>
    </row>
    <row r="6425" spans="1:5" x14ac:dyDescent="0.2">
      <c r="A6425" s="126">
        <v>6364</v>
      </c>
      <c r="B6425" s="1816"/>
      <c r="D6425" s="2" t="str">
        <f t="shared" si="99"/>
        <v>OK</v>
      </c>
      <c r="E6425" s="4" t="s">
        <v>1990</v>
      </c>
    </row>
    <row r="6426" spans="1:5" x14ac:dyDescent="0.2">
      <c r="A6426" s="126">
        <v>6365</v>
      </c>
      <c r="B6426" s="1816"/>
      <c r="D6426" s="2" t="str">
        <f t="shared" si="99"/>
        <v>OK</v>
      </c>
      <c r="E6426" s="4" t="s">
        <v>1990</v>
      </c>
    </row>
    <row r="6427" spans="1:5" x14ac:dyDescent="0.2">
      <c r="A6427" s="126">
        <v>6366</v>
      </c>
      <c r="B6427" s="1816"/>
      <c r="D6427" s="2" t="str">
        <f t="shared" si="99"/>
        <v>OK</v>
      </c>
      <c r="E6427" s="4" t="s">
        <v>1990</v>
      </c>
    </row>
    <row r="6428" spans="1:5" x14ac:dyDescent="0.2">
      <c r="A6428" s="126">
        <v>6367</v>
      </c>
      <c r="B6428" s="1816"/>
      <c r="D6428" s="2" t="str">
        <f t="shared" si="99"/>
        <v>OK</v>
      </c>
      <c r="E6428" s="4" t="s">
        <v>1990</v>
      </c>
    </row>
    <row r="6429" spans="1:5" x14ac:dyDescent="0.2">
      <c r="A6429" s="126">
        <v>6368</v>
      </c>
      <c r="B6429" s="1816"/>
      <c r="D6429" s="2" t="str">
        <f t="shared" si="99"/>
        <v>OK</v>
      </c>
      <c r="E6429" s="4" t="s">
        <v>1990</v>
      </c>
    </row>
    <row r="6430" spans="1:5" x14ac:dyDescent="0.2">
      <c r="A6430" s="126">
        <v>6369</v>
      </c>
      <c r="B6430" s="1816"/>
      <c r="D6430" s="2" t="str">
        <f t="shared" si="99"/>
        <v>OK</v>
      </c>
      <c r="E6430" s="4" t="s">
        <v>1990</v>
      </c>
    </row>
    <row r="6431" spans="1:5" x14ac:dyDescent="0.2">
      <c r="A6431" s="126">
        <v>6370</v>
      </c>
      <c r="B6431" s="1816"/>
      <c r="D6431" s="2" t="str">
        <f t="shared" si="99"/>
        <v>OK</v>
      </c>
      <c r="E6431" s="4" t="s">
        <v>1990</v>
      </c>
    </row>
    <row r="6432" spans="1:5" x14ac:dyDescent="0.2">
      <c r="A6432" s="126">
        <v>6371</v>
      </c>
      <c r="B6432" s="1816"/>
      <c r="D6432" s="2" t="str">
        <f t="shared" si="99"/>
        <v>OK</v>
      </c>
      <c r="E6432" s="4" t="s">
        <v>1990</v>
      </c>
    </row>
    <row r="6433" spans="1:5" x14ac:dyDescent="0.2">
      <c r="A6433" s="126">
        <v>6372</v>
      </c>
      <c r="B6433" s="1816"/>
      <c r="D6433" s="2" t="str">
        <f t="shared" si="99"/>
        <v>OK</v>
      </c>
      <c r="E6433" s="4" t="s">
        <v>1990</v>
      </c>
    </row>
    <row r="6434" spans="1:5" x14ac:dyDescent="0.2">
      <c r="A6434" s="126">
        <v>6373</v>
      </c>
      <c r="B6434" s="1816"/>
      <c r="D6434" s="2" t="str">
        <f t="shared" si="99"/>
        <v>OK</v>
      </c>
      <c r="E6434" s="4" t="s">
        <v>1990</v>
      </c>
    </row>
    <row r="6435" spans="1:5" x14ac:dyDescent="0.2">
      <c r="A6435" s="126">
        <v>6374</v>
      </c>
      <c r="B6435" s="1816"/>
      <c r="D6435" s="2" t="str">
        <f t="shared" si="99"/>
        <v>OK</v>
      </c>
      <c r="E6435" s="4" t="s">
        <v>1990</v>
      </c>
    </row>
    <row r="6436" spans="1:5" x14ac:dyDescent="0.2">
      <c r="A6436" s="126">
        <v>6375</v>
      </c>
      <c r="B6436" s="1816"/>
      <c r="D6436" s="2" t="str">
        <f t="shared" si="99"/>
        <v>OK</v>
      </c>
      <c r="E6436" s="4" t="s">
        <v>1990</v>
      </c>
    </row>
    <row r="6437" spans="1:5" x14ac:dyDescent="0.2">
      <c r="A6437" s="126">
        <v>6376</v>
      </c>
      <c r="B6437" s="1816"/>
      <c r="D6437" s="2" t="str">
        <f t="shared" si="99"/>
        <v>OK</v>
      </c>
      <c r="E6437" s="4" t="s">
        <v>1990</v>
      </c>
    </row>
    <row r="6438" spans="1:5" x14ac:dyDescent="0.2">
      <c r="A6438" s="126">
        <v>6377</v>
      </c>
      <c r="B6438" s="1816"/>
      <c r="D6438" s="2" t="str">
        <f t="shared" si="99"/>
        <v>OK</v>
      </c>
      <c r="E6438" s="4" t="s">
        <v>1990</v>
      </c>
    </row>
    <row r="6439" spans="1:5" x14ac:dyDescent="0.2">
      <c r="A6439" s="126">
        <v>6378</v>
      </c>
      <c r="B6439" s="1816"/>
      <c r="D6439" s="2" t="str">
        <f t="shared" si="99"/>
        <v>OK</v>
      </c>
      <c r="E6439" s="4" t="s">
        <v>1990</v>
      </c>
    </row>
    <row r="6440" spans="1:5" x14ac:dyDescent="0.2">
      <c r="A6440" s="126">
        <v>6379</v>
      </c>
      <c r="B6440" s="1816"/>
      <c r="D6440" s="2" t="str">
        <f t="shared" si="99"/>
        <v>OK</v>
      </c>
      <c r="E6440" s="4" t="s">
        <v>1990</v>
      </c>
    </row>
    <row r="6441" spans="1:5" x14ac:dyDescent="0.2">
      <c r="A6441" s="126">
        <v>6380</v>
      </c>
      <c r="B6441" s="1816"/>
      <c r="D6441" s="2" t="str">
        <f t="shared" si="99"/>
        <v>OK</v>
      </c>
      <c r="E6441" s="4" t="s">
        <v>1990</v>
      </c>
    </row>
    <row r="6442" spans="1:5" x14ac:dyDescent="0.2">
      <c r="A6442" s="126">
        <v>6381</v>
      </c>
      <c r="B6442" s="1816"/>
      <c r="D6442" s="2" t="str">
        <f t="shared" si="99"/>
        <v>OK</v>
      </c>
      <c r="E6442" s="4" t="s">
        <v>1990</v>
      </c>
    </row>
    <row r="6443" spans="1:5" x14ac:dyDescent="0.2">
      <c r="A6443" s="126">
        <v>6382</v>
      </c>
      <c r="B6443" s="1816"/>
      <c r="D6443" s="2" t="str">
        <f t="shared" si="99"/>
        <v>OK</v>
      </c>
      <c r="E6443" s="4" t="s">
        <v>1990</v>
      </c>
    </row>
    <row r="6444" spans="1:5" x14ac:dyDescent="0.2">
      <c r="A6444" s="126">
        <v>6383</v>
      </c>
      <c r="B6444" s="1816"/>
      <c r="D6444" s="2" t="str">
        <f t="shared" si="99"/>
        <v>OK</v>
      </c>
      <c r="E6444" s="4" t="s">
        <v>1990</v>
      </c>
    </row>
    <row r="6445" spans="1:5" x14ac:dyDescent="0.2">
      <c r="A6445" s="126">
        <v>6384</v>
      </c>
      <c r="B6445" s="1816"/>
      <c r="D6445" s="2" t="str">
        <f t="shared" si="99"/>
        <v>OK</v>
      </c>
      <c r="E6445" s="4" t="s">
        <v>1990</v>
      </c>
    </row>
    <row r="6446" spans="1:5" x14ac:dyDescent="0.2">
      <c r="A6446" s="126">
        <v>6385</v>
      </c>
      <c r="B6446" s="1816"/>
      <c r="D6446" s="2" t="str">
        <f t="shared" si="99"/>
        <v>OK</v>
      </c>
      <c r="E6446" s="4" t="s">
        <v>1990</v>
      </c>
    </row>
    <row r="6447" spans="1:5" x14ac:dyDescent="0.2">
      <c r="A6447" s="126">
        <v>6386</v>
      </c>
      <c r="B6447" s="1816"/>
      <c r="D6447" s="2" t="str">
        <f t="shared" si="99"/>
        <v>OK</v>
      </c>
      <c r="E6447" s="4" t="s">
        <v>1990</v>
      </c>
    </row>
    <row r="6448" spans="1:5" x14ac:dyDescent="0.2">
      <c r="A6448" s="126">
        <v>6387</v>
      </c>
      <c r="B6448" s="1816"/>
      <c r="D6448" s="2" t="str">
        <f t="shared" si="99"/>
        <v>OK</v>
      </c>
      <c r="E6448" s="4" t="s">
        <v>1990</v>
      </c>
    </row>
    <row r="6449" spans="1:5" x14ac:dyDescent="0.2">
      <c r="A6449" s="126">
        <v>6388</v>
      </c>
      <c r="B6449" s="1816"/>
      <c r="D6449" s="2" t="str">
        <f t="shared" si="99"/>
        <v>OK</v>
      </c>
      <c r="E6449" s="4" t="s">
        <v>1990</v>
      </c>
    </row>
    <row r="6450" spans="1:5" x14ac:dyDescent="0.2">
      <c r="A6450" s="126">
        <v>6389</v>
      </c>
      <c r="B6450" s="1816"/>
      <c r="D6450" s="2" t="str">
        <f t="shared" si="99"/>
        <v>OK</v>
      </c>
      <c r="E6450" s="4" t="s">
        <v>1990</v>
      </c>
    </row>
    <row r="6451" spans="1:5" x14ac:dyDescent="0.2">
      <c r="A6451" s="126">
        <v>6390</v>
      </c>
      <c r="B6451" s="1816"/>
      <c r="D6451" s="2" t="str">
        <f t="shared" si="99"/>
        <v>OK</v>
      </c>
      <c r="E6451" s="4" t="s">
        <v>1990</v>
      </c>
    </row>
    <row r="6452" spans="1:5" x14ac:dyDescent="0.2">
      <c r="A6452" s="126">
        <v>6391</v>
      </c>
      <c r="B6452" s="1816"/>
      <c r="D6452" s="2" t="str">
        <f t="shared" si="99"/>
        <v>OK</v>
      </c>
      <c r="E6452" s="4" t="s">
        <v>1990</v>
      </c>
    </row>
    <row r="6453" spans="1:5" x14ac:dyDescent="0.2">
      <c r="A6453" s="126">
        <v>6392</v>
      </c>
      <c r="B6453" s="1816"/>
      <c r="D6453" s="2" t="str">
        <f t="shared" si="99"/>
        <v>OK</v>
      </c>
      <c r="E6453" s="4" t="s">
        <v>1990</v>
      </c>
    </row>
    <row r="6454" spans="1:5" x14ac:dyDescent="0.2">
      <c r="A6454" s="126">
        <v>6393</v>
      </c>
      <c r="B6454" s="1816"/>
      <c r="D6454" s="2" t="str">
        <f t="shared" si="99"/>
        <v>OK</v>
      </c>
      <c r="E6454" s="4" t="s">
        <v>1990</v>
      </c>
    </row>
    <row r="6455" spans="1:5" x14ac:dyDescent="0.2">
      <c r="A6455" s="126">
        <v>6394</v>
      </c>
      <c r="B6455" s="1816"/>
      <c r="D6455" s="2" t="str">
        <f t="shared" si="99"/>
        <v>OK</v>
      </c>
      <c r="E6455" s="4" t="s">
        <v>1990</v>
      </c>
    </row>
    <row r="6456" spans="1:5" x14ac:dyDescent="0.2">
      <c r="A6456" s="126">
        <v>6395</v>
      </c>
      <c r="B6456" s="1816"/>
      <c r="D6456" s="2" t="str">
        <f t="shared" si="99"/>
        <v>OK</v>
      </c>
      <c r="E6456" s="4" t="s">
        <v>1990</v>
      </c>
    </row>
    <row r="6457" spans="1:5" x14ac:dyDescent="0.2">
      <c r="A6457" s="126">
        <v>6396</v>
      </c>
      <c r="B6457" s="1816"/>
      <c r="D6457" s="2" t="str">
        <f t="shared" si="99"/>
        <v>OK</v>
      </c>
      <c r="E6457" s="4" t="s">
        <v>1990</v>
      </c>
    </row>
    <row r="6458" spans="1:5" x14ac:dyDescent="0.2">
      <c r="A6458" s="126">
        <v>6397</v>
      </c>
      <c r="B6458" s="1816"/>
      <c r="D6458" s="2" t="str">
        <f t="shared" si="99"/>
        <v>OK</v>
      </c>
      <c r="E6458" s="4" t="s">
        <v>1990</v>
      </c>
    </row>
    <row r="6459" spans="1:5" x14ac:dyDescent="0.2">
      <c r="A6459" s="126">
        <v>6398</v>
      </c>
      <c r="B6459" s="1816"/>
      <c r="D6459" s="2" t="str">
        <f t="shared" si="99"/>
        <v>OK</v>
      </c>
      <c r="E6459" s="4" t="s">
        <v>1990</v>
      </c>
    </row>
    <row r="6460" spans="1:5" x14ac:dyDescent="0.2">
      <c r="A6460" s="126">
        <v>6399</v>
      </c>
      <c r="B6460" s="1816"/>
      <c r="D6460" s="2" t="str">
        <f t="shared" si="99"/>
        <v>OK</v>
      </c>
      <c r="E6460" s="4" t="s">
        <v>1990</v>
      </c>
    </row>
    <row r="6461" spans="1:5" x14ac:dyDescent="0.2">
      <c r="A6461" s="126">
        <v>6400</v>
      </c>
      <c r="B6461" s="1816"/>
      <c r="D6461" s="2" t="str">
        <f t="shared" si="99"/>
        <v>OK</v>
      </c>
      <c r="E6461" s="4" t="s">
        <v>1990</v>
      </c>
    </row>
    <row r="6462" spans="1:5" x14ac:dyDescent="0.2">
      <c r="A6462" s="126">
        <v>6401</v>
      </c>
      <c r="B6462" s="1816"/>
      <c r="D6462" s="2" t="str">
        <f t="shared" si="99"/>
        <v>OK</v>
      </c>
      <c r="E6462" s="4" t="s">
        <v>1990</v>
      </c>
    </row>
    <row r="6463" spans="1:5" x14ac:dyDescent="0.2">
      <c r="A6463" s="126">
        <v>6402</v>
      </c>
      <c r="B6463" s="1816"/>
      <c r="D6463" s="2" t="str">
        <f t="shared" ref="D6463:D6526" si="100">IF(ISBLANK(B6463),"OK",IF(A6463-B6463=0,"OK","Error?"))</f>
        <v>OK</v>
      </c>
      <c r="E6463" s="4" t="s">
        <v>1990</v>
      </c>
    </row>
    <row r="6464" spans="1:5" x14ac:dyDescent="0.2">
      <c r="A6464" s="126">
        <v>6403</v>
      </c>
      <c r="B6464" s="1816"/>
      <c r="D6464" s="2" t="str">
        <f t="shared" si="100"/>
        <v>OK</v>
      </c>
      <c r="E6464" s="4" t="s">
        <v>1990</v>
      </c>
    </row>
    <row r="6465" spans="1:5" x14ac:dyDescent="0.2">
      <c r="A6465" s="126">
        <v>6404</v>
      </c>
      <c r="B6465" s="1816"/>
      <c r="D6465" s="2" t="str">
        <f t="shared" si="100"/>
        <v>OK</v>
      </c>
      <c r="E6465" s="4" t="s">
        <v>1990</v>
      </c>
    </row>
    <row r="6466" spans="1:5" x14ac:dyDescent="0.2">
      <c r="A6466" s="126">
        <v>6405</v>
      </c>
      <c r="B6466" s="1816"/>
      <c r="D6466" s="2" t="str">
        <f t="shared" si="100"/>
        <v>OK</v>
      </c>
      <c r="E6466" s="4" t="s">
        <v>1990</v>
      </c>
    </row>
    <row r="6467" spans="1:5" x14ac:dyDescent="0.2">
      <c r="A6467" s="126">
        <v>6406</v>
      </c>
      <c r="B6467" s="1816"/>
      <c r="D6467" s="2" t="str">
        <f t="shared" si="100"/>
        <v>OK</v>
      </c>
      <c r="E6467" s="4" t="s">
        <v>1990</v>
      </c>
    </row>
    <row r="6468" spans="1:5" x14ac:dyDescent="0.2">
      <c r="A6468" s="126">
        <v>6407</v>
      </c>
      <c r="B6468" s="1816"/>
      <c r="D6468" s="2" t="str">
        <f t="shared" si="100"/>
        <v>OK</v>
      </c>
      <c r="E6468" s="4" t="s">
        <v>1990</v>
      </c>
    </row>
    <row r="6469" spans="1:5" x14ac:dyDescent="0.2">
      <c r="A6469" s="126">
        <v>6408</v>
      </c>
      <c r="B6469" s="1816"/>
      <c r="D6469" s="2" t="str">
        <f t="shared" si="100"/>
        <v>OK</v>
      </c>
      <c r="E6469" s="4" t="s">
        <v>1990</v>
      </c>
    </row>
    <row r="6470" spans="1:5" x14ac:dyDescent="0.2">
      <c r="A6470" s="126">
        <v>6409</v>
      </c>
      <c r="B6470" s="1816"/>
      <c r="D6470" s="2" t="str">
        <f t="shared" si="100"/>
        <v>OK</v>
      </c>
      <c r="E6470" s="4" t="s">
        <v>1990</v>
      </c>
    </row>
    <row r="6471" spans="1:5" x14ac:dyDescent="0.2">
      <c r="A6471" s="126">
        <v>6410</v>
      </c>
      <c r="B6471" s="1816"/>
      <c r="D6471" s="2" t="str">
        <f t="shared" si="100"/>
        <v>OK</v>
      </c>
      <c r="E6471" s="4" t="s">
        <v>1990</v>
      </c>
    </row>
    <row r="6472" spans="1:5" x14ac:dyDescent="0.2">
      <c r="A6472" s="126">
        <v>6411</v>
      </c>
      <c r="B6472" s="1816"/>
      <c r="D6472" s="2" t="str">
        <f t="shared" si="100"/>
        <v>OK</v>
      </c>
      <c r="E6472" s="4" t="s">
        <v>1990</v>
      </c>
    </row>
    <row r="6473" spans="1:5" x14ac:dyDescent="0.2">
      <c r="A6473" s="126">
        <v>6412</v>
      </c>
      <c r="B6473" s="1816"/>
      <c r="D6473" s="2" t="str">
        <f t="shared" si="100"/>
        <v>OK</v>
      </c>
      <c r="E6473" s="4" t="s">
        <v>1990</v>
      </c>
    </row>
    <row r="6474" spans="1:5" x14ac:dyDescent="0.2">
      <c r="A6474" s="126">
        <v>6413</v>
      </c>
      <c r="B6474" s="1816"/>
      <c r="D6474" s="2" t="str">
        <f t="shared" si="100"/>
        <v>OK</v>
      </c>
      <c r="E6474" s="4" t="s">
        <v>1990</v>
      </c>
    </row>
    <row r="6475" spans="1:5" x14ac:dyDescent="0.2">
      <c r="A6475" s="126">
        <v>6414</v>
      </c>
      <c r="B6475" s="1816"/>
      <c r="D6475" s="2" t="str">
        <f t="shared" si="100"/>
        <v>OK</v>
      </c>
      <c r="E6475" s="4" t="s">
        <v>1990</v>
      </c>
    </row>
    <row r="6476" spans="1:5" x14ac:dyDescent="0.2">
      <c r="A6476" s="126">
        <v>6415</v>
      </c>
      <c r="B6476" s="1816"/>
      <c r="D6476" s="2" t="str">
        <f t="shared" si="100"/>
        <v>OK</v>
      </c>
      <c r="E6476" s="4" t="s">
        <v>1990</v>
      </c>
    </row>
    <row r="6477" spans="1:5" x14ac:dyDescent="0.2">
      <c r="A6477" s="126">
        <v>6416</v>
      </c>
      <c r="B6477" s="1816"/>
      <c r="D6477" s="2" t="str">
        <f t="shared" si="100"/>
        <v>OK</v>
      </c>
      <c r="E6477" s="4" t="s">
        <v>1990</v>
      </c>
    </row>
    <row r="6478" spans="1:5" x14ac:dyDescent="0.2">
      <c r="A6478" s="126">
        <v>6417</v>
      </c>
      <c r="B6478" s="1816"/>
      <c r="D6478" s="2" t="str">
        <f t="shared" si="100"/>
        <v>OK</v>
      </c>
      <c r="E6478" s="4" t="s">
        <v>1990</v>
      </c>
    </row>
    <row r="6479" spans="1:5" x14ac:dyDescent="0.2">
      <c r="A6479" s="126">
        <v>6418</v>
      </c>
      <c r="B6479" s="1816"/>
      <c r="D6479" s="2" t="str">
        <f t="shared" si="100"/>
        <v>OK</v>
      </c>
      <c r="E6479" s="4" t="s">
        <v>1990</v>
      </c>
    </row>
    <row r="6480" spans="1:5" x14ac:dyDescent="0.2">
      <c r="A6480" s="126">
        <v>6419</v>
      </c>
      <c r="B6480" s="1816"/>
      <c r="D6480" s="2" t="str">
        <f t="shared" si="100"/>
        <v>OK</v>
      </c>
      <c r="E6480" s="4" t="s">
        <v>1990</v>
      </c>
    </row>
    <row r="6481" spans="1:5" x14ac:dyDescent="0.2">
      <c r="A6481" s="126">
        <v>6420</v>
      </c>
      <c r="B6481" s="1816"/>
      <c r="D6481" s="2" t="str">
        <f t="shared" si="100"/>
        <v>OK</v>
      </c>
      <c r="E6481" s="4" t="s">
        <v>1990</v>
      </c>
    </row>
    <row r="6482" spans="1:5" x14ac:dyDescent="0.2">
      <c r="A6482" s="126">
        <v>6421</v>
      </c>
      <c r="B6482" s="1816"/>
      <c r="D6482" s="2" t="str">
        <f t="shared" si="100"/>
        <v>OK</v>
      </c>
      <c r="E6482" s="4" t="s">
        <v>1990</v>
      </c>
    </row>
    <row r="6483" spans="1:5" x14ac:dyDescent="0.2">
      <c r="A6483" s="126">
        <v>6422</v>
      </c>
      <c r="B6483" s="1816"/>
      <c r="D6483" s="2" t="str">
        <f t="shared" si="100"/>
        <v>OK</v>
      </c>
      <c r="E6483" s="4" t="s">
        <v>1990</v>
      </c>
    </row>
    <row r="6484" spans="1:5" x14ac:dyDescent="0.2">
      <c r="A6484" s="126">
        <v>6423</v>
      </c>
      <c r="B6484" s="1816"/>
      <c r="D6484" s="2" t="str">
        <f t="shared" si="100"/>
        <v>OK</v>
      </c>
      <c r="E6484" s="4" t="s">
        <v>1990</v>
      </c>
    </row>
    <row r="6485" spans="1:5" x14ac:dyDescent="0.2">
      <c r="A6485" s="126">
        <v>6424</v>
      </c>
      <c r="B6485" s="1816"/>
      <c r="D6485" s="2" t="str">
        <f t="shared" si="100"/>
        <v>OK</v>
      </c>
      <c r="E6485" s="4" t="s">
        <v>1990</v>
      </c>
    </row>
    <row r="6486" spans="1:5" x14ac:dyDescent="0.2">
      <c r="A6486" s="126">
        <v>6425</v>
      </c>
      <c r="B6486" s="1816"/>
      <c r="D6486" s="2" t="str">
        <f t="shared" si="100"/>
        <v>OK</v>
      </c>
      <c r="E6486" s="4" t="s">
        <v>1990</v>
      </c>
    </row>
    <row r="6487" spans="1:5" x14ac:dyDescent="0.2">
      <c r="A6487" s="126">
        <v>6426</v>
      </c>
      <c r="B6487" s="1816"/>
      <c r="D6487" s="2" t="str">
        <f t="shared" si="100"/>
        <v>OK</v>
      </c>
      <c r="E6487" s="4" t="s">
        <v>1990</v>
      </c>
    </row>
    <row r="6488" spans="1:5" x14ac:dyDescent="0.2">
      <c r="A6488" s="126">
        <v>6427</v>
      </c>
      <c r="B6488" s="1816"/>
      <c r="D6488" s="2" t="str">
        <f t="shared" si="100"/>
        <v>OK</v>
      </c>
      <c r="E6488" s="4" t="s">
        <v>1990</v>
      </c>
    </row>
    <row r="6489" spans="1:5" x14ac:dyDescent="0.2">
      <c r="A6489" s="126">
        <v>6428</v>
      </c>
      <c r="B6489" s="1816"/>
      <c r="D6489" s="2" t="str">
        <f t="shared" si="100"/>
        <v>OK</v>
      </c>
      <c r="E6489" s="4" t="s">
        <v>1990</v>
      </c>
    </row>
    <row r="6490" spans="1:5" x14ac:dyDescent="0.2">
      <c r="A6490" s="126">
        <v>6429</v>
      </c>
      <c r="B6490" s="1816"/>
      <c r="D6490" s="2" t="str">
        <f t="shared" si="100"/>
        <v>OK</v>
      </c>
      <c r="E6490" s="4" t="s">
        <v>1990</v>
      </c>
    </row>
    <row r="6491" spans="1:5" x14ac:dyDescent="0.2">
      <c r="A6491" s="126">
        <v>6430</v>
      </c>
      <c r="B6491" s="1816"/>
      <c r="D6491" s="2" t="str">
        <f t="shared" si="100"/>
        <v>OK</v>
      </c>
      <c r="E6491" s="4" t="s">
        <v>1990</v>
      </c>
    </row>
    <row r="6492" spans="1:5" x14ac:dyDescent="0.2">
      <c r="A6492" s="126">
        <v>6431</v>
      </c>
      <c r="B6492" s="1816"/>
      <c r="D6492" s="2" t="str">
        <f t="shared" si="100"/>
        <v>OK</v>
      </c>
      <c r="E6492" s="4" t="s">
        <v>1990</v>
      </c>
    </row>
    <row r="6493" spans="1:5" x14ac:dyDescent="0.2">
      <c r="A6493" s="126">
        <v>6432</v>
      </c>
      <c r="B6493" s="1816"/>
      <c r="D6493" s="2" t="str">
        <f t="shared" si="100"/>
        <v>OK</v>
      </c>
      <c r="E6493" s="4" t="s">
        <v>1990</v>
      </c>
    </row>
    <row r="6494" spans="1:5" x14ac:dyDescent="0.2">
      <c r="A6494" s="126">
        <v>6433</v>
      </c>
      <c r="B6494" s="1816"/>
      <c r="D6494" s="2" t="str">
        <f t="shared" si="100"/>
        <v>OK</v>
      </c>
      <c r="E6494" s="4" t="s">
        <v>1990</v>
      </c>
    </row>
    <row r="6495" spans="1:5" x14ac:dyDescent="0.2">
      <c r="A6495" s="126">
        <v>6434</v>
      </c>
      <c r="B6495" s="1816"/>
      <c r="D6495" s="2" t="str">
        <f t="shared" si="100"/>
        <v>OK</v>
      </c>
      <c r="E6495" s="4" t="s">
        <v>1990</v>
      </c>
    </row>
    <row r="6496" spans="1:5" x14ac:dyDescent="0.2">
      <c r="A6496" s="126">
        <v>6435</v>
      </c>
      <c r="B6496" s="1816"/>
      <c r="D6496" s="2" t="str">
        <f t="shared" si="100"/>
        <v>OK</v>
      </c>
      <c r="E6496" s="4" t="s">
        <v>1990</v>
      </c>
    </row>
    <row r="6497" spans="1:5" x14ac:dyDescent="0.2">
      <c r="A6497" s="126">
        <v>6436</v>
      </c>
      <c r="B6497" s="1816"/>
      <c r="D6497" s="2" t="str">
        <f t="shared" si="100"/>
        <v>OK</v>
      </c>
      <c r="E6497" s="4" t="s">
        <v>1990</v>
      </c>
    </row>
    <row r="6498" spans="1:5" x14ac:dyDescent="0.2">
      <c r="A6498" s="126">
        <v>6437</v>
      </c>
      <c r="B6498" s="1816"/>
      <c r="D6498" s="2" t="str">
        <f t="shared" si="100"/>
        <v>OK</v>
      </c>
      <c r="E6498" s="4" t="s">
        <v>1990</v>
      </c>
    </row>
    <row r="6499" spans="1:5" x14ac:dyDescent="0.2">
      <c r="A6499" s="126">
        <v>6438</v>
      </c>
      <c r="B6499" s="1816"/>
      <c r="D6499" s="2" t="str">
        <f t="shared" si="100"/>
        <v>OK</v>
      </c>
      <c r="E6499" s="4" t="s">
        <v>1990</v>
      </c>
    </row>
    <row r="6500" spans="1:5" x14ac:dyDescent="0.2">
      <c r="A6500" s="126">
        <v>6439</v>
      </c>
      <c r="B6500" s="1816"/>
      <c r="D6500" s="2" t="str">
        <f t="shared" si="100"/>
        <v>OK</v>
      </c>
      <c r="E6500" s="4" t="s">
        <v>1990</v>
      </c>
    </row>
    <row r="6501" spans="1:5" x14ac:dyDescent="0.2">
      <c r="A6501" s="126">
        <v>6440</v>
      </c>
      <c r="B6501" s="1816"/>
      <c r="D6501" s="2" t="str">
        <f t="shared" si="100"/>
        <v>OK</v>
      </c>
      <c r="E6501" s="4" t="s">
        <v>1990</v>
      </c>
    </row>
    <row r="6502" spans="1:5" x14ac:dyDescent="0.2">
      <c r="A6502" s="126">
        <v>6441</v>
      </c>
      <c r="B6502" s="1816"/>
      <c r="D6502" s="2" t="str">
        <f t="shared" si="100"/>
        <v>OK</v>
      </c>
      <c r="E6502" s="4" t="s">
        <v>1990</v>
      </c>
    </row>
    <row r="6503" spans="1:5" x14ac:dyDescent="0.2">
      <c r="A6503" s="126">
        <v>6442</v>
      </c>
      <c r="B6503" s="1816"/>
      <c r="D6503" s="2" t="str">
        <f t="shared" si="100"/>
        <v>OK</v>
      </c>
      <c r="E6503" s="4" t="s">
        <v>1990</v>
      </c>
    </row>
    <row r="6504" spans="1:5" x14ac:dyDescent="0.2">
      <c r="A6504" s="126">
        <v>6443</v>
      </c>
      <c r="B6504" s="1816"/>
      <c r="D6504" s="2" t="str">
        <f t="shared" si="100"/>
        <v>OK</v>
      </c>
      <c r="E6504" s="4" t="s">
        <v>1990</v>
      </c>
    </row>
    <row r="6505" spans="1:5" x14ac:dyDescent="0.2">
      <c r="A6505" s="126">
        <v>6444</v>
      </c>
      <c r="B6505" s="1816"/>
      <c r="D6505" s="2" t="str">
        <f t="shared" si="100"/>
        <v>OK</v>
      </c>
      <c r="E6505" s="4" t="s">
        <v>1990</v>
      </c>
    </row>
    <row r="6506" spans="1:5" x14ac:dyDescent="0.2">
      <c r="A6506" s="126">
        <v>6445</v>
      </c>
      <c r="B6506" s="1816"/>
      <c r="D6506" s="2" t="str">
        <f t="shared" si="100"/>
        <v>OK</v>
      </c>
      <c r="E6506" s="4" t="s">
        <v>1990</v>
      </c>
    </row>
    <row r="6507" spans="1:5" x14ac:dyDescent="0.2">
      <c r="A6507" s="126">
        <v>6446</v>
      </c>
      <c r="B6507" s="1816"/>
      <c r="D6507" s="2" t="str">
        <f t="shared" si="100"/>
        <v>OK</v>
      </c>
      <c r="E6507" s="4" t="s">
        <v>1990</v>
      </c>
    </row>
    <row r="6508" spans="1:5" x14ac:dyDescent="0.2">
      <c r="A6508" s="126">
        <v>6447</v>
      </c>
      <c r="B6508" s="1816"/>
      <c r="D6508" s="2" t="str">
        <f t="shared" si="100"/>
        <v>OK</v>
      </c>
      <c r="E6508" s="4" t="s">
        <v>1990</v>
      </c>
    </row>
    <row r="6509" spans="1:5" x14ac:dyDescent="0.2">
      <c r="A6509" s="126">
        <v>6448</v>
      </c>
      <c r="B6509" s="1816"/>
      <c r="D6509" s="2" t="str">
        <f t="shared" si="100"/>
        <v>OK</v>
      </c>
      <c r="E6509" s="4" t="s">
        <v>1990</v>
      </c>
    </row>
    <row r="6510" spans="1:5" x14ac:dyDescent="0.2">
      <c r="A6510" s="126">
        <v>6449</v>
      </c>
      <c r="B6510" s="1816"/>
      <c r="D6510" s="2" t="str">
        <f t="shared" si="100"/>
        <v>OK</v>
      </c>
      <c r="E6510" s="4" t="s">
        <v>1990</v>
      </c>
    </row>
    <row r="6511" spans="1:5" x14ac:dyDescent="0.2">
      <c r="A6511" s="126">
        <v>6450</v>
      </c>
      <c r="B6511" s="1816"/>
      <c r="D6511" s="2" t="str">
        <f t="shared" si="100"/>
        <v>OK</v>
      </c>
      <c r="E6511" s="4" t="s">
        <v>1990</v>
      </c>
    </row>
    <row r="6512" spans="1:5" x14ac:dyDescent="0.2">
      <c r="A6512" s="126">
        <v>6451</v>
      </c>
      <c r="B6512" s="1816"/>
      <c r="D6512" s="2" t="str">
        <f t="shared" si="100"/>
        <v>OK</v>
      </c>
      <c r="E6512" s="4" t="s">
        <v>1990</v>
      </c>
    </row>
    <row r="6513" spans="1:5" x14ac:dyDescent="0.2">
      <c r="A6513" s="126">
        <v>6452</v>
      </c>
      <c r="B6513" s="1816"/>
      <c r="D6513" s="2" t="str">
        <f t="shared" si="100"/>
        <v>OK</v>
      </c>
      <c r="E6513" s="4" t="s">
        <v>1990</v>
      </c>
    </row>
    <row r="6514" spans="1:5" x14ac:dyDescent="0.2">
      <c r="A6514" s="126">
        <v>6453</v>
      </c>
      <c r="B6514" s="1816"/>
      <c r="D6514" s="2" t="str">
        <f t="shared" si="100"/>
        <v>OK</v>
      </c>
      <c r="E6514" s="4" t="s">
        <v>1990</v>
      </c>
    </row>
    <row r="6515" spans="1:5" x14ac:dyDescent="0.2">
      <c r="A6515" s="126">
        <v>6454</v>
      </c>
      <c r="B6515" s="1816"/>
      <c r="D6515" s="2" t="str">
        <f t="shared" si="100"/>
        <v>OK</v>
      </c>
      <c r="E6515" s="4" t="s">
        <v>1990</v>
      </c>
    </row>
    <row r="6516" spans="1:5" x14ac:dyDescent="0.2">
      <c r="A6516" s="126">
        <v>6455</v>
      </c>
      <c r="B6516" s="1816"/>
      <c r="D6516" s="2" t="str">
        <f t="shared" si="100"/>
        <v>OK</v>
      </c>
      <c r="E6516" s="4" t="s">
        <v>1990</v>
      </c>
    </row>
    <row r="6517" spans="1:5" x14ac:dyDescent="0.2">
      <c r="A6517" s="126">
        <v>6456</v>
      </c>
      <c r="B6517" s="1816"/>
      <c r="D6517" s="2" t="str">
        <f t="shared" si="100"/>
        <v>OK</v>
      </c>
      <c r="E6517" s="4" t="s">
        <v>1990</v>
      </c>
    </row>
    <row r="6518" spans="1:5" x14ac:dyDescent="0.2">
      <c r="A6518" s="126">
        <v>6457</v>
      </c>
      <c r="B6518" s="1816"/>
      <c r="D6518" s="2" t="str">
        <f t="shared" si="100"/>
        <v>OK</v>
      </c>
      <c r="E6518" s="4" t="s">
        <v>1990</v>
      </c>
    </row>
    <row r="6519" spans="1:5" x14ac:dyDescent="0.2">
      <c r="A6519" s="126">
        <v>6458</v>
      </c>
      <c r="B6519" s="1816"/>
      <c r="D6519" s="2" t="str">
        <f t="shared" si="100"/>
        <v>OK</v>
      </c>
      <c r="E6519" s="4" t="s">
        <v>1990</v>
      </c>
    </row>
    <row r="6520" spans="1:5" x14ac:dyDescent="0.2">
      <c r="A6520" s="126">
        <v>6459</v>
      </c>
      <c r="B6520" s="1816"/>
      <c r="D6520" s="2" t="str">
        <f t="shared" si="100"/>
        <v>OK</v>
      </c>
      <c r="E6520" s="4" t="s">
        <v>1990</v>
      </c>
    </row>
    <row r="6521" spans="1:5" x14ac:dyDescent="0.2">
      <c r="A6521" s="126">
        <v>6460</v>
      </c>
      <c r="B6521" s="1816"/>
      <c r="D6521" s="2" t="str">
        <f t="shared" si="100"/>
        <v>OK</v>
      </c>
      <c r="E6521" s="4" t="s">
        <v>1990</v>
      </c>
    </row>
    <row r="6522" spans="1:5" x14ac:dyDescent="0.2">
      <c r="A6522" s="126">
        <v>6461</v>
      </c>
      <c r="B6522" s="1816"/>
      <c r="D6522" s="2" t="str">
        <f t="shared" si="100"/>
        <v>OK</v>
      </c>
      <c r="E6522" s="4" t="s">
        <v>1990</v>
      </c>
    </row>
    <row r="6523" spans="1:5" x14ac:dyDescent="0.2">
      <c r="A6523" s="126">
        <v>6462</v>
      </c>
      <c r="B6523" s="1816"/>
      <c r="D6523" s="2" t="str">
        <f t="shared" si="100"/>
        <v>OK</v>
      </c>
      <c r="E6523" s="4" t="s">
        <v>1990</v>
      </c>
    </row>
    <row r="6524" spans="1:5" x14ac:dyDescent="0.2">
      <c r="A6524" s="126">
        <v>6463</v>
      </c>
      <c r="B6524" s="1816"/>
      <c r="D6524" s="2" t="str">
        <f t="shared" si="100"/>
        <v>OK</v>
      </c>
      <c r="E6524" s="4" t="s">
        <v>1990</v>
      </c>
    </row>
    <row r="6525" spans="1:5" x14ac:dyDescent="0.2">
      <c r="A6525" s="126">
        <v>6464</v>
      </c>
      <c r="B6525" s="1816"/>
      <c r="D6525" s="2" t="str">
        <f t="shared" si="100"/>
        <v>OK</v>
      </c>
      <c r="E6525" s="4" t="s">
        <v>1990</v>
      </c>
    </row>
    <row r="6526" spans="1:5" x14ac:dyDescent="0.2">
      <c r="A6526" s="126">
        <v>6465</v>
      </c>
      <c r="B6526" s="1816"/>
      <c r="D6526" s="2" t="str">
        <f t="shared" si="100"/>
        <v>OK</v>
      </c>
      <c r="E6526" s="4" t="s">
        <v>1990</v>
      </c>
    </row>
    <row r="6527" spans="1:5" x14ac:dyDescent="0.2">
      <c r="A6527" s="126">
        <v>6466</v>
      </c>
      <c r="B6527" s="1816"/>
      <c r="D6527" s="2" t="str">
        <f t="shared" ref="D6527:D6590" si="101">IF(ISBLANK(B6527),"OK",IF(A6527-B6527=0,"OK","Error?"))</f>
        <v>OK</v>
      </c>
      <c r="E6527" s="4" t="s">
        <v>1990</v>
      </c>
    </row>
    <row r="6528" spans="1:5" x14ac:dyDescent="0.2">
      <c r="A6528" s="126">
        <v>6467</v>
      </c>
      <c r="B6528" s="1816"/>
      <c r="D6528" s="2" t="str">
        <f t="shared" si="101"/>
        <v>OK</v>
      </c>
      <c r="E6528" s="4" t="s">
        <v>1990</v>
      </c>
    </row>
    <row r="6529" spans="1:5" x14ac:dyDescent="0.2">
      <c r="A6529" s="126">
        <v>6468</v>
      </c>
      <c r="B6529" s="1816"/>
      <c r="D6529" s="2" t="str">
        <f t="shared" si="101"/>
        <v>OK</v>
      </c>
      <c r="E6529" s="4" t="s">
        <v>1990</v>
      </c>
    </row>
    <row r="6530" spans="1:5" x14ac:dyDescent="0.2">
      <c r="A6530" s="126">
        <v>6469</v>
      </c>
      <c r="B6530" s="1816"/>
      <c r="D6530" s="2" t="str">
        <f t="shared" si="101"/>
        <v>OK</v>
      </c>
      <c r="E6530" s="4" t="s">
        <v>1990</v>
      </c>
    </row>
    <row r="6531" spans="1:5" x14ac:dyDescent="0.2">
      <c r="A6531" s="126">
        <v>6470</v>
      </c>
      <c r="B6531" s="1816"/>
      <c r="D6531" s="2" t="str">
        <f t="shared" si="101"/>
        <v>OK</v>
      </c>
      <c r="E6531" s="4" t="s">
        <v>1990</v>
      </c>
    </row>
    <row r="6532" spans="1:5" x14ac:dyDescent="0.2">
      <c r="A6532" s="126">
        <v>6471</v>
      </c>
      <c r="B6532" s="1816"/>
      <c r="D6532" s="2" t="str">
        <f t="shared" si="101"/>
        <v>OK</v>
      </c>
      <c r="E6532" s="4" t="s">
        <v>1990</v>
      </c>
    </row>
    <row r="6533" spans="1:5" x14ac:dyDescent="0.2">
      <c r="A6533" s="126">
        <v>6472</v>
      </c>
      <c r="B6533" s="1816"/>
      <c r="D6533" s="2" t="str">
        <f t="shared" si="101"/>
        <v>OK</v>
      </c>
      <c r="E6533" s="4" t="s">
        <v>1990</v>
      </c>
    </row>
    <row r="6534" spans="1:5" x14ac:dyDescent="0.2">
      <c r="A6534" s="126">
        <v>6473</v>
      </c>
      <c r="B6534" s="1816"/>
      <c r="D6534" s="2" t="str">
        <f t="shared" si="101"/>
        <v>OK</v>
      </c>
      <c r="E6534" s="4" t="s">
        <v>1990</v>
      </c>
    </row>
    <row r="6535" spans="1:5" x14ac:dyDescent="0.2">
      <c r="A6535" s="126">
        <v>6474</v>
      </c>
      <c r="B6535" s="1816"/>
      <c r="D6535" s="2" t="str">
        <f t="shared" si="101"/>
        <v>OK</v>
      </c>
      <c r="E6535" s="4" t="s">
        <v>1990</v>
      </c>
    </row>
    <row r="6536" spans="1:5" x14ac:dyDescent="0.2">
      <c r="A6536" s="126">
        <v>6475</v>
      </c>
      <c r="B6536" s="1816"/>
      <c r="D6536" s="2" t="str">
        <f t="shared" si="101"/>
        <v>OK</v>
      </c>
      <c r="E6536" s="4" t="s">
        <v>1990</v>
      </c>
    </row>
    <row r="6537" spans="1:5" x14ac:dyDescent="0.2">
      <c r="A6537" s="126">
        <v>6476</v>
      </c>
      <c r="B6537" s="1816"/>
      <c r="D6537" s="2" t="str">
        <f t="shared" si="101"/>
        <v>OK</v>
      </c>
      <c r="E6537" s="4" t="s">
        <v>1990</v>
      </c>
    </row>
    <row r="6538" spans="1:5" x14ac:dyDescent="0.2">
      <c r="A6538" s="126">
        <v>6477</v>
      </c>
      <c r="B6538" s="1816"/>
      <c r="D6538" s="2" t="str">
        <f t="shared" si="101"/>
        <v>OK</v>
      </c>
      <c r="E6538" s="4" t="s">
        <v>1990</v>
      </c>
    </row>
    <row r="6539" spans="1:5" x14ac:dyDescent="0.2">
      <c r="A6539" s="126">
        <v>6478</v>
      </c>
      <c r="B6539" s="1816"/>
      <c r="D6539" s="2" t="str">
        <f t="shared" si="101"/>
        <v>OK</v>
      </c>
      <c r="E6539" s="4" t="s">
        <v>1990</v>
      </c>
    </row>
    <row r="6540" spans="1:5" x14ac:dyDescent="0.2">
      <c r="A6540" s="126">
        <v>6479</v>
      </c>
      <c r="B6540" s="1816"/>
      <c r="D6540" s="2" t="str">
        <f t="shared" si="101"/>
        <v>OK</v>
      </c>
      <c r="E6540" s="4" t="s">
        <v>1990</v>
      </c>
    </row>
    <row r="6541" spans="1:5" x14ac:dyDescent="0.2">
      <c r="A6541" s="126">
        <v>6480</v>
      </c>
      <c r="B6541" s="1816"/>
      <c r="D6541" s="2" t="str">
        <f t="shared" si="101"/>
        <v>OK</v>
      </c>
      <c r="E6541" s="4" t="s">
        <v>1990</v>
      </c>
    </row>
    <row r="6542" spans="1:5" x14ac:dyDescent="0.2">
      <c r="A6542" s="126">
        <v>6481</v>
      </c>
      <c r="B6542" s="1816"/>
      <c r="D6542" s="2" t="str">
        <f t="shared" si="101"/>
        <v>OK</v>
      </c>
      <c r="E6542" s="4" t="s">
        <v>1990</v>
      </c>
    </row>
    <row r="6543" spans="1:5" x14ac:dyDescent="0.2">
      <c r="A6543" s="126">
        <v>6482</v>
      </c>
      <c r="B6543" s="1816"/>
      <c r="D6543" s="2" t="str">
        <f t="shared" si="101"/>
        <v>OK</v>
      </c>
      <c r="E6543" s="4" t="s">
        <v>1990</v>
      </c>
    </row>
    <row r="6544" spans="1:5" x14ac:dyDescent="0.2">
      <c r="A6544" s="126">
        <v>6483</v>
      </c>
      <c r="B6544" s="1816"/>
      <c r="D6544" s="2" t="str">
        <f t="shared" si="101"/>
        <v>OK</v>
      </c>
      <c r="E6544" s="4" t="s">
        <v>1990</v>
      </c>
    </row>
    <row r="6545" spans="1:5" x14ac:dyDescent="0.2">
      <c r="A6545" s="126">
        <v>6484</v>
      </c>
      <c r="B6545" s="1816"/>
      <c r="D6545" s="2" t="str">
        <f t="shared" si="101"/>
        <v>OK</v>
      </c>
      <c r="E6545" s="4" t="s">
        <v>1990</v>
      </c>
    </row>
    <row r="6546" spans="1:5" x14ac:dyDescent="0.2">
      <c r="A6546" s="126">
        <v>6485</v>
      </c>
      <c r="B6546" s="1816"/>
      <c r="D6546" s="2" t="str">
        <f t="shared" si="101"/>
        <v>OK</v>
      </c>
      <c r="E6546" s="4" t="s">
        <v>1990</v>
      </c>
    </row>
    <row r="6547" spans="1:5" x14ac:dyDescent="0.2">
      <c r="A6547" s="126">
        <v>6486</v>
      </c>
      <c r="B6547" s="1816"/>
      <c r="D6547" s="2" t="str">
        <f t="shared" si="101"/>
        <v>OK</v>
      </c>
      <c r="E6547" s="4" t="s">
        <v>1990</v>
      </c>
    </row>
    <row r="6548" spans="1:5" x14ac:dyDescent="0.2">
      <c r="A6548" s="126">
        <v>6487</v>
      </c>
      <c r="B6548" s="1816"/>
      <c r="D6548" s="2" t="str">
        <f t="shared" si="101"/>
        <v>OK</v>
      </c>
      <c r="E6548" s="4" t="s">
        <v>1990</v>
      </c>
    </row>
    <row r="6549" spans="1:5" x14ac:dyDescent="0.2">
      <c r="A6549" s="126">
        <v>6488</v>
      </c>
      <c r="B6549" s="1816"/>
      <c r="D6549" s="2" t="str">
        <f t="shared" si="101"/>
        <v>OK</v>
      </c>
      <c r="E6549" s="4" t="s">
        <v>1990</v>
      </c>
    </row>
    <row r="6550" spans="1:5" x14ac:dyDescent="0.2">
      <c r="A6550" s="126">
        <v>6489</v>
      </c>
      <c r="B6550" s="1816"/>
      <c r="D6550" s="2" t="str">
        <f t="shared" si="101"/>
        <v>OK</v>
      </c>
      <c r="E6550" s="4" t="s">
        <v>1990</v>
      </c>
    </row>
    <row r="6551" spans="1:5" x14ac:dyDescent="0.2">
      <c r="A6551" s="126">
        <v>6490</v>
      </c>
      <c r="B6551" s="1816"/>
      <c r="D6551" s="2" t="str">
        <f t="shared" si="101"/>
        <v>OK</v>
      </c>
      <c r="E6551" s="4" t="s">
        <v>1990</v>
      </c>
    </row>
    <row r="6552" spans="1:5" x14ac:dyDescent="0.2">
      <c r="A6552" s="126">
        <v>6491</v>
      </c>
      <c r="B6552" s="1816"/>
      <c r="D6552" s="2" t="str">
        <f t="shared" si="101"/>
        <v>OK</v>
      </c>
      <c r="E6552" s="4" t="s">
        <v>1990</v>
      </c>
    </row>
    <row r="6553" spans="1:5" x14ac:dyDescent="0.2">
      <c r="A6553" s="126">
        <v>6492</v>
      </c>
      <c r="B6553" s="1816"/>
      <c r="D6553" s="2" t="str">
        <f t="shared" si="101"/>
        <v>OK</v>
      </c>
      <c r="E6553" s="4" t="s">
        <v>1990</v>
      </c>
    </row>
    <row r="6554" spans="1:5" x14ac:dyDescent="0.2">
      <c r="A6554" s="126">
        <v>6493</v>
      </c>
      <c r="B6554" s="1816"/>
      <c r="D6554" s="2" t="str">
        <f t="shared" si="101"/>
        <v>OK</v>
      </c>
      <c r="E6554" s="4" t="s">
        <v>1990</v>
      </c>
    </row>
    <row r="6555" spans="1:5" x14ac:dyDescent="0.2">
      <c r="A6555" s="126">
        <v>6494</v>
      </c>
      <c r="B6555" s="1816"/>
      <c r="D6555" s="2" t="str">
        <f t="shared" si="101"/>
        <v>OK</v>
      </c>
      <c r="E6555" s="4" t="s">
        <v>1990</v>
      </c>
    </row>
    <row r="6556" spans="1:5" x14ac:dyDescent="0.2">
      <c r="A6556" s="126">
        <v>6495</v>
      </c>
      <c r="B6556" s="1816"/>
      <c r="D6556" s="2" t="str">
        <f t="shared" si="101"/>
        <v>OK</v>
      </c>
      <c r="E6556" s="4" t="s">
        <v>1990</v>
      </c>
    </row>
    <row r="6557" spans="1:5" x14ac:dyDescent="0.2">
      <c r="A6557" s="126">
        <v>6496</v>
      </c>
      <c r="B6557" s="1816"/>
      <c r="D6557" s="2" t="str">
        <f t="shared" si="101"/>
        <v>OK</v>
      </c>
      <c r="E6557" s="4" t="s">
        <v>1990</v>
      </c>
    </row>
    <row r="6558" spans="1:5" x14ac:dyDescent="0.2">
      <c r="A6558" s="126">
        <v>6497</v>
      </c>
      <c r="B6558" s="1816"/>
      <c r="D6558" s="2" t="str">
        <f t="shared" si="101"/>
        <v>OK</v>
      </c>
      <c r="E6558" s="4" t="s">
        <v>1990</v>
      </c>
    </row>
    <row r="6559" spans="1:5" x14ac:dyDescent="0.2">
      <c r="A6559" s="126">
        <v>6498</v>
      </c>
      <c r="B6559" s="1816"/>
      <c r="D6559" s="2" t="str">
        <f t="shared" si="101"/>
        <v>OK</v>
      </c>
      <c r="E6559" s="4" t="s">
        <v>1990</v>
      </c>
    </row>
    <row r="6560" spans="1:5" x14ac:dyDescent="0.2">
      <c r="A6560" s="126">
        <v>6499</v>
      </c>
      <c r="B6560" s="1816"/>
      <c r="D6560" s="2" t="str">
        <f t="shared" si="101"/>
        <v>OK</v>
      </c>
      <c r="E6560" s="4" t="s">
        <v>1990</v>
      </c>
    </row>
    <row r="6561" spans="1:5" x14ac:dyDescent="0.2">
      <c r="A6561" s="126">
        <v>6500</v>
      </c>
      <c r="B6561" s="1816"/>
      <c r="D6561" s="2" t="str">
        <f t="shared" si="101"/>
        <v>OK</v>
      </c>
      <c r="E6561" s="4" t="s">
        <v>1990</v>
      </c>
    </row>
    <row r="6562" spans="1:5" x14ac:dyDescent="0.2">
      <c r="A6562" s="126">
        <v>6501</v>
      </c>
      <c r="B6562" s="1816"/>
      <c r="D6562" s="2" t="str">
        <f t="shared" si="101"/>
        <v>OK</v>
      </c>
      <c r="E6562" s="4" t="s">
        <v>1990</v>
      </c>
    </row>
    <row r="6563" spans="1:5" x14ac:dyDescent="0.2">
      <c r="A6563" s="126">
        <v>6502</v>
      </c>
      <c r="B6563" s="1816"/>
      <c r="D6563" s="2" t="str">
        <f t="shared" si="101"/>
        <v>OK</v>
      </c>
      <c r="E6563" s="4" t="s">
        <v>1990</v>
      </c>
    </row>
    <row r="6564" spans="1:5" x14ac:dyDescent="0.2">
      <c r="A6564" s="126">
        <v>6503</v>
      </c>
      <c r="B6564" s="1816"/>
      <c r="D6564" s="2" t="str">
        <f t="shared" si="101"/>
        <v>OK</v>
      </c>
      <c r="E6564" s="4" t="s">
        <v>1990</v>
      </c>
    </row>
    <row r="6565" spans="1:5" x14ac:dyDescent="0.2">
      <c r="A6565" s="126">
        <v>6504</v>
      </c>
      <c r="B6565" s="1816"/>
      <c r="D6565" s="2" t="str">
        <f t="shared" si="101"/>
        <v>OK</v>
      </c>
      <c r="E6565" s="4" t="s">
        <v>1990</v>
      </c>
    </row>
    <row r="6566" spans="1:5" x14ac:dyDescent="0.2">
      <c r="A6566" s="126">
        <v>6505</v>
      </c>
      <c r="B6566" s="1816"/>
      <c r="D6566" s="2" t="str">
        <f t="shared" si="101"/>
        <v>OK</v>
      </c>
      <c r="E6566" s="4" t="s">
        <v>1990</v>
      </c>
    </row>
    <row r="6567" spans="1:5" x14ac:dyDescent="0.2">
      <c r="A6567" s="126">
        <v>6506</v>
      </c>
      <c r="B6567" s="1816"/>
      <c r="D6567" s="2" t="str">
        <f t="shared" si="101"/>
        <v>OK</v>
      </c>
      <c r="E6567" s="4" t="s">
        <v>1990</v>
      </c>
    </row>
    <row r="6568" spans="1:5" x14ac:dyDescent="0.2">
      <c r="A6568" s="126">
        <v>6507</v>
      </c>
      <c r="B6568" s="1816"/>
      <c r="D6568" s="2" t="str">
        <f t="shared" si="101"/>
        <v>OK</v>
      </c>
      <c r="E6568" s="4" t="s">
        <v>1990</v>
      </c>
    </row>
    <row r="6569" spans="1:5" x14ac:dyDescent="0.2">
      <c r="A6569" s="126">
        <v>6508</v>
      </c>
      <c r="B6569" s="1816"/>
      <c r="D6569" s="2" t="str">
        <f t="shared" si="101"/>
        <v>OK</v>
      </c>
      <c r="E6569" s="4" t="s">
        <v>1990</v>
      </c>
    </row>
    <row r="6570" spans="1:5" x14ac:dyDescent="0.2">
      <c r="A6570" s="126">
        <v>6509</v>
      </c>
      <c r="B6570" s="1816"/>
      <c r="D6570" s="2" t="str">
        <f t="shared" si="101"/>
        <v>OK</v>
      </c>
      <c r="E6570" s="4" t="s">
        <v>1990</v>
      </c>
    </row>
    <row r="6571" spans="1:5" x14ac:dyDescent="0.2">
      <c r="A6571" s="126">
        <v>6510</v>
      </c>
      <c r="B6571" s="1816"/>
      <c r="D6571" s="2" t="str">
        <f t="shared" si="101"/>
        <v>OK</v>
      </c>
      <c r="E6571" s="4" t="s">
        <v>1990</v>
      </c>
    </row>
    <row r="6572" spans="1:5" x14ac:dyDescent="0.2">
      <c r="A6572" s="126">
        <v>6511</v>
      </c>
      <c r="B6572" s="1816"/>
      <c r="D6572" s="2" t="str">
        <f t="shared" si="101"/>
        <v>OK</v>
      </c>
      <c r="E6572" s="4" t="s">
        <v>1990</v>
      </c>
    </row>
    <row r="6573" spans="1:5" x14ac:dyDescent="0.2">
      <c r="A6573" s="126">
        <v>6512</v>
      </c>
      <c r="B6573" s="1816"/>
      <c r="D6573" s="2" t="str">
        <f t="shared" si="101"/>
        <v>OK</v>
      </c>
      <c r="E6573" s="4" t="s">
        <v>1990</v>
      </c>
    </row>
    <row r="6574" spans="1:5" x14ac:dyDescent="0.2">
      <c r="A6574" s="126">
        <v>6513</v>
      </c>
      <c r="B6574" s="1816"/>
      <c r="D6574" s="2" t="str">
        <f t="shared" si="101"/>
        <v>OK</v>
      </c>
      <c r="E6574" s="4" t="s">
        <v>1990</v>
      </c>
    </row>
    <row r="6575" spans="1:5" x14ac:dyDescent="0.2">
      <c r="A6575" s="126">
        <v>6514</v>
      </c>
      <c r="B6575" s="1816"/>
      <c r="D6575" s="2" t="str">
        <f t="shared" si="101"/>
        <v>OK</v>
      </c>
      <c r="E6575" s="4" t="s">
        <v>1990</v>
      </c>
    </row>
    <row r="6576" spans="1:5" x14ac:dyDescent="0.2">
      <c r="A6576" s="126">
        <v>6515</v>
      </c>
      <c r="B6576" s="1816"/>
      <c r="D6576" s="2" t="str">
        <f t="shared" si="101"/>
        <v>OK</v>
      </c>
      <c r="E6576" s="4" t="s">
        <v>1990</v>
      </c>
    </row>
    <row r="6577" spans="1:5" x14ac:dyDescent="0.2">
      <c r="A6577" s="126">
        <v>6516</v>
      </c>
      <c r="B6577" s="1816"/>
      <c r="D6577" s="2" t="str">
        <f t="shared" si="101"/>
        <v>OK</v>
      </c>
      <c r="E6577" s="4" t="s">
        <v>1990</v>
      </c>
    </row>
    <row r="6578" spans="1:5" x14ac:dyDescent="0.2">
      <c r="A6578" s="126">
        <v>6517</v>
      </c>
      <c r="B6578" s="1816"/>
      <c r="D6578" s="2" t="str">
        <f t="shared" si="101"/>
        <v>OK</v>
      </c>
      <c r="E6578" s="4" t="s">
        <v>1990</v>
      </c>
    </row>
    <row r="6579" spans="1:5" x14ac:dyDescent="0.2">
      <c r="A6579" s="126">
        <v>6518</v>
      </c>
      <c r="B6579" s="1816"/>
      <c r="D6579" s="2" t="str">
        <f t="shared" si="101"/>
        <v>OK</v>
      </c>
      <c r="E6579" s="4" t="s">
        <v>1990</v>
      </c>
    </row>
    <row r="6580" spans="1:5" x14ac:dyDescent="0.2">
      <c r="A6580" s="126">
        <v>6519</v>
      </c>
      <c r="B6580" s="1816"/>
      <c r="D6580" s="2" t="str">
        <f t="shared" si="101"/>
        <v>OK</v>
      </c>
      <c r="E6580" s="4" t="s">
        <v>1990</v>
      </c>
    </row>
    <row r="6581" spans="1:5" x14ac:dyDescent="0.2">
      <c r="A6581" s="126">
        <v>6520</v>
      </c>
      <c r="B6581" s="1816"/>
      <c r="D6581" s="2" t="str">
        <f t="shared" si="101"/>
        <v>OK</v>
      </c>
      <c r="E6581" s="4" t="s">
        <v>1990</v>
      </c>
    </row>
    <row r="6582" spans="1:5" x14ac:dyDescent="0.2">
      <c r="A6582" s="126">
        <v>6521</v>
      </c>
      <c r="B6582" s="1816"/>
      <c r="D6582" s="2" t="str">
        <f t="shared" si="101"/>
        <v>OK</v>
      </c>
      <c r="E6582" s="4" t="s">
        <v>1990</v>
      </c>
    </row>
    <row r="6583" spans="1:5" x14ac:dyDescent="0.2">
      <c r="A6583" s="126">
        <v>6522</v>
      </c>
      <c r="B6583" s="1816"/>
      <c r="D6583" s="2" t="str">
        <f t="shared" si="101"/>
        <v>OK</v>
      </c>
      <c r="E6583" s="4" t="s">
        <v>1990</v>
      </c>
    </row>
    <row r="6584" spans="1:5" x14ac:dyDescent="0.2">
      <c r="A6584" s="126">
        <v>6523</v>
      </c>
      <c r="B6584" s="1816"/>
      <c r="D6584" s="2" t="str">
        <f t="shared" si="101"/>
        <v>OK</v>
      </c>
      <c r="E6584" s="4" t="s">
        <v>1990</v>
      </c>
    </row>
    <row r="6585" spans="1:5" x14ac:dyDescent="0.2">
      <c r="A6585" s="126">
        <v>6524</v>
      </c>
      <c r="B6585" s="1816"/>
      <c r="D6585" s="2" t="str">
        <f t="shared" si="101"/>
        <v>OK</v>
      </c>
      <c r="E6585" s="4" t="s">
        <v>1990</v>
      </c>
    </row>
    <row r="6586" spans="1:5" x14ac:dyDescent="0.2">
      <c r="A6586" s="126">
        <v>6525</v>
      </c>
      <c r="B6586" s="1816"/>
      <c r="D6586" s="2" t="str">
        <f t="shared" si="101"/>
        <v>OK</v>
      </c>
      <c r="E6586" s="4" t="s">
        <v>1990</v>
      </c>
    </row>
    <row r="6587" spans="1:5" x14ac:dyDescent="0.2">
      <c r="A6587" s="126">
        <v>6526</v>
      </c>
      <c r="B6587" s="1816"/>
      <c r="D6587" s="2" t="str">
        <f t="shared" si="101"/>
        <v>OK</v>
      </c>
      <c r="E6587" s="4" t="s">
        <v>1990</v>
      </c>
    </row>
    <row r="6588" spans="1:5" x14ac:dyDescent="0.2">
      <c r="A6588" s="126">
        <v>6527</v>
      </c>
      <c r="B6588" s="1816"/>
      <c r="D6588" s="2" t="str">
        <f t="shared" si="101"/>
        <v>OK</v>
      </c>
      <c r="E6588" s="4" t="s">
        <v>1990</v>
      </c>
    </row>
    <row r="6589" spans="1:5" x14ac:dyDescent="0.2">
      <c r="A6589" s="126">
        <v>6528</v>
      </c>
      <c r="B6589" s="1816"/>
      <c r="D6589" s="2" t="str">
        <f t="shared" si="101"/>
        <v>OK</v>
      </c>
      <c r="E6589" s="4" t="s">
        <v>1990</v>
      </c>
    </row>
    <row r="6590" spans="1:5" x14ac:dyDescent="0.2">
      <c r="A6590" s="126">
        <v>6529</v>
      </c>
      <c r="B6590" s="1816"/>
      <c r="D6590" s="2" t="str">
        <f t="shared" si="101"/>
        <v>OK</v>
      </c>
      <c r="E6590" s="4" t="s">
        <v>1990</v>
      </c>
    </row>
    <row r="6591" spans="1:5" x14ac:dyDescent="0.2">
      <c r="A6591" s="126">
        <v>6530</v>
      </c>
      <c r="B6591" s="1816"/>
      <c r="D6591" s="2" t="str">
        <f t="shared" ref="D6591:D6654" si="102">IF(ISBLANK(B6591),"OK",IF(A6591-B6591=0,"OK","Error?"))</f>
        <v>OK</v>
      </c>
      <c r="E6591" s="4" t="s">
        <v>1990</v>
      </c>
    </row>
    <row r="6592" spans="1:5" x14ac:dyDescent="0.2">
      <c r="A6592" s="126">
        <v>6531</v>
      </c>
      <c r="B6592" s="1816"/>
      <c r="D6592" s="2" t="str">
        <f t="shared" si="102"/>
        <v>OK</v>
      </c>
      <c r="E6592" s="4" t="s">
        <v>1990</v>
      </c>
    </row>
    <row r="6593" spans="1:5" x14ac:dyDescent="0.2">
      <c r="A6593" s="126">
        <v>6532</v>
      </c>
      <c r="B6593" s="1816"/>
      <c r="D6593" s="2" t="str">
        <f t="shared" si="102"/>
        <v>OK</v>
      </c>
      <c r="E6593" s="4" t="s">
        <v>1990</v>
      </c>
    </row>
    <row r="6594" spans="1:5" x14ac:dyDescent="0.2">
      <c r="A6594" s="126">
        <v>6533</v>
      </c>
      <c r="B6594" s="1816"/>
      <c r="D6594" s="2" t="str">
        <f t="shared" si="102"/>
        <v>OK</v>
      </c>
      <c r="E6594" s="4" t="s">
        <v>1990</v>
      </c>
    </row>
    <row r="6595" spans="1:5" x14ac:dyDescent="0.2">
      <c r="A6595" s="126">
        <v>6534</v>
      </c>
      <c r="B6595" s="1816"/>
      <c r="D6595" s="2" t="str">
        <f t="shared" si="102"/>
        <v>OK</v>
      </c>
      <c r="E6595" s="4" t="s">
        <v>1990</v>
      </c>
    </row>
    <row r="6596" spans="1:5" x14ac:dyDescent="0.2">
      <c r="A6596" s="126">
        <v>6535</v>
      </c>
      <c r="B6596" s="1816"/>
      <c r="D6596" s="2" t="str">
        <f t="shared" si="102"/>
        <v>OK</v>
      </c>
      <c r="E6596" s="4" t="s">
        <v>1990</v>
      </c>
    </row>
    <row r="6597" spans="1:5" x14ac:dyDescent="0.2">
      <c r="A6597" s="126">
        <v>6536</v>
      </c>
      <c r="B6597" s="1816"/>
      <c r="D6597" s="2" t="str">
        <f t="shared" si="102"/>
        <v>OK</v>
      </c>
      <c r="E6597" s="4" t="s">
        <v>1990</v>
      </c>
    </row>
    <row r="6598" spans="1:5" x14ac:dyDescent="0.2">
      <c r="A6598" s="126">
        <v>6537</v>
      </c>
      <c r="B6598" s="1816"/>
      <c r="D6598" s="2" t="str">
        <f t="shared" si="102"/>
        <v>OK</v>
      </c>
      <c r="E6598" s="4" t="s">
        <v>1990</v>
      </c>
    </row>
    <row r="6599" spans="1:5" x14ac:dyDescent="0.2">
      <c r="A6599" s="126">
        <v>6538</v>
      </c>
      <c r="B6599" s="1816"/>
      <c r="D6599" s="2" t="str">
        <f t="shared" si="102"/>
        <v>OK</v>
      </c>
      <c r="E6599" s="4" t="s">
        <v>1990</v>
      </c>
    </row>
    <row r="6600" spans="1:5" x14ac:dyDescent="0.2">
      <c r="A6600" s="126">
        <v>6539</v>
      </c>
      <c r="B6600" s="1816"/>
      <c r="D6600" s="2" t="str">
        <f t="shared" si="102"/>
        <v>OK</v>
      </c>
      <c r="E6600" s="4" t="s">
        <v>1990</v>
      </c>
    </row>
    <row r="6601" spans="1:5" x14ac:dyDescent="0.2">
      <c r="A6601" s="126">
        <v>6540</v>
      </c>
      <c r="B6601" s="1816"/>
      <c r="D6601" s="2" t="str">
        <f t="shared" si="102"/>
        <v>OK</v>
      </c>
      <c r="E6601" s="4" t="s">
        <v>1990</v>
      </c>
    </row>
    <row r="6602" spans="1:5" x14ac:dyDescent="0.2">
      <c r="A6602" s="126">
        <v>6541</v>
      </c>
      <c r="B6602" s="1816"/>
      <c r="D6602" s="2" t="str">
        <f t="shared" si="102"/>
        <v>OK</v>
      </c>
      <c r="E6602" s="4" t="s">
        <v>1990</v>
      </c>
    </row>
    <row r="6603" spans="1:5" x14ac:dyDescent="0.2">
      <c r="A6603" s="126">
        <v>6542</v>
      </c>
      <c r="B6603" s="1816"/>
      <c r="D6603" s="2" t="str">
        <f t="shared" si="102"/>
        <v>OK</v>
      </c>
      <c r="E6603" s="4" t="s">
        <v>1990</v>
      </c>
    </row>
    <row r="6604" spans="1:5" x14ac:dyDescent="0.2">
      <c r="A6604" s="126">
        <v>6543</v>
      </c>
      <c r="B6604" s="1816"/>
      <c r="D6604" s="2" t="str">
        <f t="shared" si="102"/>
        <v>OK</v>
      </c>
      <c r="E6604" s="4" t="s">
        <v>1990</v>
      </c>
    </row>
    <row r="6605" spans="1:5" x14ac:dyDescent="0.2">
      <c r="A6605" s="126">
        <v>6544</v>
      </c>
      <c r="B6605" s="1816"/>
      <c r="D6605" s="2" t="str">
        <f t="shared" si="102"/>
        <v>OK</v>
      </c>
      <c r="E6605" s="4" t="s">
        <v>1990</v>
      </c>
    </row>
    <row r="6606" spans="1:5" x14ac:dyDescent="0.2">
      <c r="A6606" s="126">
        <v>6545</v>
      </c>
      <c r="B6606" s="1816"/>
      <c r="D6606" s="2" t="str">
        <f t="shared" si="102"/>
        <v>OK</v>
      </c>
      <c r="E6606" s="4" t="s">
        <v>1990</v>
      </c>
    </row>
    <row r="6607" spans="1:5" x14ac:dyDescent="0.2">
      <c r="A6607" s="126">
        <v>6546</v>
      </c>
      <c r="B6607" s="1816"/>
      <c r="D6607" s="2" t="str">
        <f t="shared" si="102"/>
        <v>OK</v>
      </c>
      <c r="E6607" s="4" t="s">
        <v>1990</v>
      </c>
    </row>
    <row r="6608" spans="1:5" x14ac:dyDescent="0.2">
      <c r="A6608" s="126">
        <v>6547</v>
      </c>
      <c r="B6608" s="1816"/>
      <c r="D6608" s="2" t="str">
        <f t="shared" si="102"/>
        <v>OK</v>
      </c>
      <c r="E6608" s="4" t="s">
        <v>1990</v>
      </c>
    </row>
    <row r="6609" spans="1:5" x14ac:dyDescent="0.2">
      <c r="A6609" s="126">
        <v>6548</v>
      </c>
      <c r="B6609" s="1816"/>
      <c r="D6609" s="2" t="str">
        <f t="shared" si="102"/>
        <v>OK</v>
      </c>
      <c r="E6609" s="4" t="s">
        <v>1990</v>
      </c>
    </row>
    <row r="6610" spans="1:5" x14ac:dyDescent="0.2">
      <c r="A6610" s="126">
        <v>6549</v>
      </c>
      <c r="B6610" s="1816"/>
      <c r="D6610" s="2" t="str">
        <f t="shared" si="102"/>
        <v>OK</v>
      </c>
      <c r="E6610" s="4" t="s">
        <v>1990</v>
      </c>
    </row>
    <row r="6611" spans="1:5" x14ac:dyDescent="0.2">
      <c r="A6611" s="126">
        <v>6550</v>
      </c>
      <c r="B6611" s="1816"/>
      <c r="D6611" s="2" t="str">
        <f t="shared" si="102"/>
        <v>OK</v>
      </c>
      <c r="E6611" s="4" t="s">
        <v>1990</v>
      </c>
    </row>
    <row r="6612" spans="1:5" x14ac:dyDescent="0.2">
      <c r="A6612" s="126">
        <v>6551</v>
      </c>
      <c r="B6612" s="1816"/>
      <c r="D6612" s="2" t="str">
        <f t="shared" si="102"/>
        <v>OK</v>
      </c>
      <c r="E6612" s="4" t="s">
        <v>1990</v>
      </c>
    </row>
    <row r="6613" spans="1:5" x14ac:dyDescent="0.2">
      <c r="A6613" s="126">
        <v>6552</v>
      </c>
      <c r="B6613" s="1816"/>
      <c r="D6613" s="2" t="str">
        <f t="shared" si="102"/>
        <v>OK</v>
      </c>
      <c r="E6613" s="4" t="s">
        <v>1990</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0</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1894</v>
      </c>
    </row>
    <row r="6842" spans="1:5" x14ac:dyDescent="0.2">
      <c r="A6842" s="126">
        <v>6781</v>
      </c>
      <c r="B6842" s="1816"/>
      <c r="D6842" s="2" t="str">
        <f t="shared" si="105"/>
        <v>OK</v>
      </c>
      <c r="E6842" s="1" t="s">
        <v>1894</v>
      </c>
    </row>
    <row r="6843" spans="1:5" x14ac:dyDescent="0.2">
      <c r="A6843" s="126">
        <v>6782</v>
      </c>
      <c r="B6843" s="1816"/>
      <c r="D6843" s="2" t="str">
        <f t="shared" si="105"/>
        <v>OK</v>
      </c>
      <c r="E6843" s="1" t="s">
        <v>1894</v>
      </c>
    </row>
    <row r="6844" spans="1:5" x14ac:dyDescent="0.2">
      <c r="A6844">
        <v>6783</v>
      </c>
      <c r="B6844" s="1816">
        <f>'Expenditures 15-22'!I5</f>
        <v>9067</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0</v>
      </c>
      <c r="D6848" s="2" t="str">
        <f t="shared" si="106"/>
        <v>Error?</v>
      </c>
    </row>
    <row r="6849" spans="1:4" x14ac:dyDescent="0.2">
      <c r="A6849">
        <v>6788</v>
      </c>
      <c r="B6849" s="1816">
        <f>'Expenditures 15-22'!I8</f>
        <v>7244</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411492</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0</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479810</v>
      </c>
      <c r="D6880" s="2" t="str">
        <f t="shared" si="106"/>
        <v>Error?</v>
      </c>
    </row>
    <row r="6881" spans="1:4" x14ac:dyDescent="0.2">
      <c r="A6881">
        <v>6820</v>
      </c>
      <c r="B6881" s="1816">
        <f>'Expenditures 15-22'!K22</f>
        <v>479810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f>'Expenditures 15-22'!H29</f>
        <v>0</v>
      </c>
      <c r="D6894" s="2" t="str">
        <f t="shared" si="106"/>
        <v>Error?</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16311</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903</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903</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251854</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251854</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134783</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134783</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135686</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0</v>
      </c>
      <c r="D6983" s="2" t="str">
        <f t="shared" si="108"/>
        <v>Error?</v>
      </c>
    </row>
    <row r="6984" spans="1:4" x14ac:dyDescent="0.2">
      <c r="A6984">
        <v>6923</v>
      </c>
      <c r="B6984" s="1816">
        <f>'Expenditures 15-22'!K86</f>
        <v>0</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0</v>
      </c>
      <c r="D6987" s="2" t="str">
        <f t="shared" si="108"/>
        <v>Error?</v>
      </c>
    </row>
    <row r="6988" spans="1:4" x14ac:dyDescent="0.2">
      <c r="A6988">
        <v>6927</v>
      </c>
      <c r="B6988" s="1816">
        <f>'Expenditures 15-22'!K88</f>
        <v>0</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0</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151997</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36927</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36927</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36927</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0</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36927</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0</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483</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483</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483</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0</v>
      </c>
      <c r="D7073" s="2" t="str">
        <f t="shared" si="109"/>
        <v>Error?</v>
      </c>
    </row>
    <row r="7074" spans="1:4" x14ac:dyDescent="0.2">
      <c r="A7074">
        <v>7013</v>
      </c>
      <c r="B7074" s="1816">
        <f>'Expenditures 15-22'!K216</f>
        <v>0</v>
      </c>
      <c r="D7074" s="2" t="str">
        <f t="shared" si="109"/>
        <v>Error?</v>
      </c>
    </row>
    <row r="7075" spans="1:4" x14ac:dyDescent="0.2">
      <c r="A7075">
        <v>7014</v>
      </c>
      <c r="B7075" s="1816">
        <f>'Expenditures 15-22'!D218</f>
        <v>20919</v>
      </c>
      <c r="D7075" s="2" t="str">
        <f t="shared" si="109"/>
        <v>Error?</v>
      </c>
    </row>
    <row r="7076" spans="1:4" x14ac:dyDescent="0.2">
      <c r="A7076">
        <v>7015</v>
      </c>
      <c r="B7076" s="1816">
        <f>'Expenditures 15-22'!K218</f>
        <v>20919</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0</v>
      </c>
      <c r="D7079" s="2" t="str">
        <f t="shared" si="109"/>
        <v>Error?</v>
      </c>
    </row>
    <row r="7080" spans="1:4" x14ac:dyDescent="0.2">
      <c r="A7080">
        <v>7019</v>
      </c>
      <c r="B7080" s="1816">
        <f>'Expenditures 15-22'!K226</f>
        <v>0</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f>'Expenditures 15-22'!E306</f>
        <v>0</v>
      </c>
      <c r="D7105" s="2" t="str">
        <f t="shared" si="110"/>
        <v>Error?</v>
      </c>
    </row>
    <row r="7106" spans="1:4" x14ac:dyDescent="0.2">
      <c r="A7106">
        <v>7045</v>
      </c>
      <c r="B7106" s="1816">
        <f>'Expenditures 15-22'!H306</f>
        <v>0</v>
      </c>
      <c r="D7106" s="2" t="str">
        <f t="shared" si="110"/>
        <v>Error?</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0</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0</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0</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0</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0</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0</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0</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0</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0</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0</v>
      </c>
      <c r="D7224" s="2" t="str">
        <f t="shared" si="111"/>
        <v>Error?</v>
      </c>
    </row>
    <row r="7225" spans="1:4" x14ac:dyDescent="0.2">
      <c r="A7225">
        <v>7164</v>
      </c>
      <c r="B7225" s="1816">
        <f>'Expenditures 15-22'!K343</f>
        <v>0</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0</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0</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347628</v>
      </c>
      <c r="D7251" s="2" t="str">
        <f t="shared" si="112"/>
        <v>Error?</v>
      </c>
    </row>
    <row r="7252" spans="1:4" x14ac:dyDescent="0.2">
      <c r="A7252">
        <f t="shared" si="113"/>
        <v>7191</v>
      </c>
      <c r="B7252" s="1816">
        <f>'Expenditures 15-22'!D9</f>
        <v>60476</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3388</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0</v>
      </c>
      <c r="D7263" s="2" t="str">
        <f t="shared" si="112"/>
        <v>Error?</v>
      </c>
    </row>
    <row r="7264" spans="1:4" x14ac:dyDescent="0.2">
      <c r="A7264">
        <f t="shared" si="113"/>
        <v>7203</v>
      </c>
      <c r="B7264" s="1816">
        <f>'Expenditures 15-22'!D17</f>
        <v>0</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189407</v>
      </c>
      <c r="D7624" s="2" t="str">
        <f t="shared" si="124"/>
        <v>Error?</v>
      </c>
      <c r="E7624" s="2" t="s">
        <v>19</v>
      </c>
    </row>
    <row r="7625" spans="1:5" x14ac:dyDescent="0.2">
      <c r="A7625">
        <f t="shared" si="123"/>
        <v>7564</v>
      </c>
      <c r="B7625" s="1816">
        <f>'Cap Outlay Deprec 26'!I17</f>
        <v>18940.7</v>
      </c>
      <c r="D7625" s="2" t="str">
        <f t="shared" si="124"/>
        <v>Error?</v>
      </c>
      <c r="E7625" s="2" t="s">
        <v>19</v>
      </c>
    </row>
    <row r="7626" spans="1:5" x14ac:dyDescent="0.2">
      <c r="A7626" s="126">
        <f t="shared" si="123"/>
        <v>7565</v>
      </c>
      <c r="B7626" s="1816"/>
      <c r="D7626" s="2" t="str">
        <f t="shared" si="124"/>
        <v>OK</v>
      </c>
      <c r="E7626" s="4" t="s">
        <v>1321</v>
      </c>
    </row>
    <row r="7627" spans="1:5" x14ac:dyDescent="0.2">
      <c r="A7627" s="126">
        <f t="shared" si="123"/>
        <v>7566</v>
      </c>
      <c r="B7627" s="1816"/>
      <c r="D7627" s="2" t="str">
        <f t="shared" si="124"/>
        <v>OK</v>
      </c>
      <c r="E7627" s="4" t="s">
        <v>1321</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1321</v>
      </c>
    </row>
    <row r="7630" spans="1:5" x14ac:dyDescent="0.2">
      <c r="A7630" s="126">
        <f t="shared" ref="A7630:A7650" si="125">A7629+1</f>
        <v>7569</v>
      </c>
      <c r="B7630" s="1816"/>
      <c r="D7630" s="2" t="str">
        <f t="shared" si="124"/>
        <v>OK</v>
      </c>
      <c r="E7630" s="4" t="s">
        <v>1321</v>
      </c>
    </row>
    <row r="7631" spans="1:5" x14ac:dyDescent="0.2">
      <c r="A7631">
        <f t="shared" si="125"/>
        <v>7570</v>
      </c>
      <c r="B7631" s="1816">
        <f>'Cap Outlay Deprec 26'!I18</f>
        <v>1697992.7</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1321</v>
      </c>
    </row>
    <row r="7634" spans="1:6" x14ac:dyDescent="0.2">
      <c r="A7634" s="126">
        <f t="shared" si="125"/>
        <v>7573</v>
      </c>
      <c r="B7634" s="1816"/>
      <c r="D7634" s="2" t="str">
        <f t="shared" si="124"/>
        <v>OK</v>
      </c>
      <c r="E7634" s="4" t="s">
        <v>1321</v>
      </c>
    </row>
    <row r="7635" spans="1:6" x14ac:dyDescent="0.2">
      <c r="A7635" s="126">
        <f t="shared" si="125"/>
        <v>7574</v>
      </c>
      <c r="B7635" s="1817"/>
      <c r="D7635" s="2" t="str">
        <f t="shared" si="124"/>
        <v>OK</v>
      </c>
      <c r="E7635" s="4" t="s">
        <v>1991</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1991</v>
      </c>
    </row>
    <row r="7641" spans="1:6" x14ac:dyDescent="0.2">
      <c r="A7641" s="126">
        <f t="shared" si="125"/>
        <v>7580</v>
      </c>
      <c r="B7641" s="1817"/>
      <c r="D7641" s="2" t="str">
        <f t="shared" si="124"/>
        <v>OK</v>
      </c>
      <c r="E7641" s="4" t="s">
        <v>1991</v>
      </c>
    </row>
    <row r="7642" spans="1:6" x14ac:dyDescent="0.2">
      <c r="A7642" s="126">
        <f t="shared" si="125"/>
        <v>7581</v>
      </c>
      <c r="B7642" s="1817"/>
      <c r="D7642" s="2" t="str">
        <f t="shared" si="124"/>
        <v>OK</v>
      </c>
      <c r="E7642" s="4" t="s">
        <v>1991</v>
      </c>
    </row>
    <row r="7643" spans="1:6" x14ac:dyDescent="0.2">
      <c r="A7643" s="126">
        <f t="shared" si="125"/>
        <v>7582</v>
      </c>
      <c r="B7643" s="1817"/>
      <c r="D7643" s="2" t="str">
        <f t="shared" si="124"/>
        <v>OK</v>
      </c>
      <c r="E7643" s="4" t="s">
        <v>1991</v>
      </c>
    </row>
    <row r="7644" spans="1:6" x14ac:dyDescent="0.2">
      <c r="A7644" s="126">
        <f t="shared" si="125"/>
        <v>7583</v>
      </c>
      <c r="B7644" s="1817"/>
      <c r="D7644" s="2" t="str">
        <f t="shared" si="124"/>
        <v>OK</v>
      </c>
      <c r="E7644" s="4" t="s">
        <v>1991</v>
      </c>
    </row>
    <row r="7645" spans="1:6" x14ac:dyDescent="0.2">
      <c r="A7645" s="126">
        <f t="shared" si="125"/>
        <v>7584</v>
      </c>
      <c r="B7645" s="1817"/>
      <c r="D7645" s="2" t="str">
        <f t="shared" si="124"/>
        <v>OK</v>
      </c>
      <c r="E7645" s="4" t="s">
        <v>1991</v>
      </c>
    </row>
    <row r="7646" spans="1:6" x14ac:dyDescent="0.2">
      <c r="A7646" s="126">
        <f t="shared" si="125"/>
        <v>7585</v>
      </c>
      <c r="B7646" s="1817"/>
      <c r="D7646" s="2" t="str">
        <f t="shared" si="124"/>
        <v>OK</v>
      </c>
      <c r="E7646" s="4" t="s">
        <v>1991</v>
      </c>
    </row>
    <row r="7647" spans="1:6" x14ac:dyDescent="0.2">
      <c r="A7647" s="126">
        <f t="shared" si="125"/>
        <v>7586</v>
      </c>
      <c r="B7647" s="1817"/>
      <c r="D7647" s="2" t="str">
        <f t="shared" si="124"/>
        <v>OK</v>
      </c>
      <c r="E7647" s="4" t="s">
        <v>1991</v>
      </c>
    </row>
    <row r="7648" spans="1:6" x14ac:dyDescent="0.2">
      <c r="A7648" s="126">
        <f t="shared" si="125"/>
        <v>7587</v>
      </c>
      <c r="B7648" s="1817"/>
      <c r="D7648" s="2" t="str">
        <f t="shared" si="124"/>
        <v>OK</v>
      </c>
      <c r="E7648" s="4" t="s">
        <v>1991</v>
      </c>
    </row>
    <row r="7649" spans="1:5" x14ac:dyDescent="0.2">
      <c r="A7649" s="126">
        <f t="shared" si="125"/>
        <v>7588</v>
      </c>
      <c r="B7649" s="1817"/>
      <c r="D7649" s="2" t="str">
        <f t="shared" si="124"/>
        <v>OK</v>
      </c>
      <c r="E7649" s="4" t="s">
        <v>1991</v>
      </c>
    </row>
    <row r="7650" spans="1:5" x14ac:dyDescent="0.2">
      <c r="A7650" s="126">
        <f t="shared" si="125"/>
        <v>7589</v>
      </c>
      <c r="B7650" s="1817"/>
      <c r="D7650" s="2" t="str">
        <f t="shared" si="124"/>
        <v>OK</v>
      </c>
      <c r="E7650" s="4" t="s">
        <v>1991</v>
      </c>
    </row>
    <row r="7651" spans="1:5" x14ac:dyDescent="0.2">
      <c r="A7651">
        <v>7590</v>
      </c>
      <c r="B7651" s="1816">
        <f>'Acct Summary 7-8'!C55</f>
        <v>0</v>
      </c>
      <c r="D7651" s="2" t="str">
        <f t="shared" si="124"/>
        <v>Error?</v>
      </c>
      <c r="E7651" s="2" t="s">
        <v>820</v>
      </c>
    </row>
    <row r="7652" spans="1:5" x14ac:dyDescent="0.2">
      <c r="A7652">
        <v>7591</v>
      </c>
      <c r="B7652" s="1816">
        <f>'Acct Summary 7-8'!D55</f>
        <v>0</v>
      </c>
      <c r="D7652" s="2" t="str">
        <f t="shared" si="124"/>
        <v>Error?</v>
      </c>
      <c r="E7652" s="2" t="s">
        <v>820</v>
      </c>
    </row>
    <row r="7653" spans="1:5" x14ac:dyDescent="0.2">
      <c r="A7653">
        <v>7592</v>
      </c>
      <c r="B7653" s="1816">
        <f>'Acct Summary 7-8'!H55</f>
        <v>0</v>
      </c>
      <c r="D7653" s="2" t="str">
        <f t="shared" si="124"/>
        <v>Error?</v>
      </c>
      <c r="E7653" s="2" t="s">
        <v>820</v>
      </c>
    </row>
    <row r="7654" spans="1:5" x14ac:dyDescent="0.2">
      <c r="A7654">
        <v>7593</v>
      </c>
      <c r="B7654" s="1816">
        <f>'Acct Summary 7-8'!C56</f>
        <v>0</v>
      </c>
      <c r="D7654" s="2" t="str">
        <f t="shared" si="124"/>
        <v>Error?</v>
      </c>
      <c r="E7654" s="2" t="s">
        <v>820</v>
      </c>
    </row>
    <row r="7655" spans="1:5" x14ac:dyDescent="0.2">
      <c r="A7655">
        <v>7594</v>
      </c>
      <c r="B7655" s="1816">
        <f>'Acct Summary 7-8'!D56</f>
        <v>0</v>
      </c>
      <c r="D7655" s="2" t="str">
        <f t="shared" si="124"/>
        <v>Error?</v>
      </c>
      <c r="E7655" s="2" t="s">
        <v>820</v>
      </c>
    </row>
    <row r="7656" spans="1:5" x14ac:dyDescent="0.2">
      <c r="A7656">
        <v>7595</v>
      </c>
      <c r="B7656" s="1816">
        <f>'Acct Summary 7-8'!H56</f>
        <v>0</v>
      </c>
      <c r="D7656" s="2" t="str">
        <f t="shared" si="124"/>
        <v>Error?</v>
      </c>
      <c r="E7656" s="2" t="s">
        <v>820</v>
      </c>
    </row>
    <row r="7657" spans="1:5" x14ac:dyDescent="0.2">
      <c r="A7657">
        <v>7596</v>
      </c>
      <c r="B7657" s="1816">
        <f>'Acct Summary 7-8'!C57</f>
        <v>0</v>
      </c>
      <c r="D7657" s="2" t="str">
        <f t="shared" si="124"/>
        <v>Error?</v>
      </c>
      <c r="E7657" s="2" t="s">
        <v>820</v>
      </c>
    </row>
    <row r="7658" spans="1:5" x14ac:dyDescent="0.2">
      <c r="A7658">
        <v>7597</v>
      </c>
      <c r="B7658" s="1816">
        <f>'Acct Summary 7-8'!D57</f>
        <v>0</v>
      </c>
      <c r="D7658" s="2" t="str">
        <f t="shared" si="124"/>
        <v>Error?</v>
      </c>
      <c r="E7658" s="2" t="s">
        <v>820</v>
      </c>
    </row>
    <row r="7659" spans="1:5" x14ac:dyDescent="0.2">
      <c r="A7659">
        <v>7598</v>
      </c>
      <c r="B7659" s="1816">
        <f>'Acct Summary 7-8'!H57</f>
        <v>0</v>
      </c>
      <c r="D7659" s="2" t="str">
        <f t="shared" si="124"/>
        <v>Error?</v>
      </c>
      <c r="E7659" s="2" t="s">
        <v>820</v>
      </c>
    </row>
    <row r="7660" spans="1:5" x14ac:dyDescent="0.2">
      <c r="A7660">
        <v>7599</v>
      </c>
      <c r="B7660" s="1816">
        <f>'Acct Summary 7-8'!C59</f>
        <v>0</v>
      </c>
      <c r="D7660" s="2" t="str">
        <f t="shared" si="124"/>
        <v>Error?</v>
      </c>
      <c r="E7660" s="2" t="s">
        <v>820</v>
      </c>
    </row>
    <row r="7661" spans="1:5" x14ac:dyDescent="0.2">
      <c r="A7661">
        <v>7600</v>
      </c>
      <c r="B7661" s="1816">
        <f>'Acct Summary 7-8'!D59</f>
        <v>0</v>
      </c>
      <c r="D7661" s="2" t="str">
        <f t="shared" si="124"/>
        <v>Error?</v>
      </c>
      <c r="E7661" s="2" t="s">
        <v>820</v>
      </c>
    </row>
    <row r="7662" spans="1:5" x14ac:dyDescent="0.2">
      <c r="A7662">
        <v>7601</v>
      </c>
      <c r="B7662" s="1816">
        <f>'Acct Summary 7-8'!H59</f>
        <v>0</v>
      </c>
      <c r="D7662" s="2" t="str">
        <f t="shared" si="124"/>
        <v>Error?</v>
      </c>
      <c r="E7662" s="2" t="s">
        <v>820</v>
      </c>
    </row>
    <row r="7663" spans="1:5" x14ac:dyDescent="0.2">
      <c r="A7663">
        <v>7602</v>
      </c>
      <c r="B7663" s="1816">
        <f>'Acct Summary 7-8'!C60</f>
        <v>0</v>
      </c>
      <c r="D7663" s="2" t="str">
        <f t="shared" si="124"/>
        <v>Error?</v>
      </c>
      <c r="E7663" s="2" t="s">
        <v>820</v>
      </c>
    </row>
    <row r="7664" spans="1:5" x14ac:dyDescent="0.2">
      <c r="A7664">
        <v>7603</v>
      </c>
      <c r="B7664" s="1816">
        <f>'Acct Summary 7-8'!D60</f>
        <v>0</v>
      </c>
      <c r="D7664" s="2" t="str">
        <f t="shared" si="124"/>
        <v>Error?</v>
      </c>
      <c r="E7664" s="2" t="s">
        <v>820</v>
      </c>
    </row>
    <row r="7665" spans="1:5" x14ac:dyDescent="0.2">
      <c r="A7665">
        <v>7604</v>
      </c>
      <c r="B7665" s="1816">
        <f>'Acct Summary 7-8'!H60</f>
        <v>0</v>
      </c>
      <c r="D7665" s="2" t="str">
        <f t="shared" si="124"/>
        <v>Error?</v>
      </c>
      <c r="E7665" s="2" t="s">
        <v>820</v>
      </c>
    </row>
    <row r="7666" spans="1:5" x14ac:dyDescent="0.2">
      <c r="A7666">
        <v>7605</v>
      </c>
      <c r="B7666" s="1816">
        <f>'Acct Summary 7-8'!C61</f>
        <v>0</v>
      </c>
      <c r="D7666" s="2" t="str">
        <f t="shared" si="124"/>
        <v>Error?</v>
      </c>
      <c r="E7666" s="2" t="s">
        <v>820</v>
      </c>
    </row>
    <row r="7667" spans="1:5" x14ac:dyDescent="0.2">
      <c r="A7667">
        <v>7606</v>
      </c>
      <c r="B7667" s="1816">
        <f>'Acct Summary 7-8'!D61</f>
        <v>0</v>
      </c>
      <c r="D7667" s="2" t="str">
        <f t="shared" si="124"/>
        <v>Error?</v>
      </c>
      <c r="E7667" s="2" t="s">
        <v>820</v>
      </c>
    </row>
    <row r="7668" spans="1:5" x14ac:dyDescent="0.2">
      <c r="A7668">
        <v>7607</v>
      </c>
      <c r="B7668" s="1816">
        <f>'Acct Summary 7-8'!H61</f>
        <v>0</v>
      </c>
      <c r="D7668" s="2" t="str">
        <f t="shared" si="124"/>
        <v>Error?</v>
      </c>
      <c r="E7668" s="2" t="s">
        <v>820</v>
      </c>
    </row>
    <row r="7669" spans="1:5" x14ac:dyDescent="0.2">
      <c r="A7669">
        <v>7608</v>
      </c>
      <c r="B7669" s="1816">
        <f>'Acct Summary 7-8'!C63</f>
        <v>0</v>
      </c>
      <c r="D7669" s="2" t="str">
        <f t="shared" si="124"/>
        <v>Error?</v>
      </c>
      <c r="E7669" s="2" t="s">
        <v>820</v>
      </c>
    </row>
    <row r="7670" spans="1:5" x14ac:dyDescent="0.2">
      <c r="A7670">
        <v>7609</v>
      </c>
      <c r="B7670" s="1816">
        <f>'Acct Summary 7-8'!D63</f>
        <v>0</v>
      </c>
      <c r="D7670" s="2" t="str">
        <f t="shared" si="124"/>
        <v>Error?</v>
      </c>
      <c r="E7670" s="2" t="s">
        <v>820</v>
      </c>
    </row>
    <row r="7671" spans="1:5" x14ac:dyDescent="0.2">
      <c r="A7671">
        <v>7610</v>
      </c>
      <c r="B7671" s="1816">
        <f>'Acct Summary 7-8'!C64</f>
        <v>0</v>
      </c>
      <c r="D7671" s="2" t="str">
        <f t="shared" si="124"/>
        <v>Error?</v>
      </c>
      <c r="E7671" s="2" t="s">
        <v>820</v>
      </c>
    </row>
    <row r="7672" spans="1:5" x14ac:dyDescent="0.2">
      <c r="A7672">
        <v>7611</v>
      </c>
      <c r="B7672" s="1816">
        <f>'Acct Summary 7-8'!D64</f>
        <v>0</v>
      </c>
      <c r="D7672" s="2" t="str">
        <f t="shared" si="124"/>
        <v>Error?</v>
      </c>
      <c r="E7672" s="2" t="s">
        <v>820</v>
      </c>
    </row>
    <row r="7673" spans="1:5" x14ac:dyDescent="0.2">
      <c r="A7673">
        <v>7612</v>
      </c>
      <c r="B7673" s="1816">
        <f>'Acct Summary 7-8'!C65</f>
        <v>0</v>
      </c>
      <c r="D7673" s="2" t="str">
        <f t="shared" si="124"/>
        <v>Error?</v>
      </c>
      <c r="E7673" s="2" t="s">
        <v>820</v>
      </c>
    </row>
    <row r="7674" spans="1:5" x14ac:dyDescent="0.2">
      <c r="A7674">
        <v>7613</v>
      </c>
      <c r="B7674" s="1816">
        <f>'Acct Summary 7-8'!D65</f>
        <v>0</v>
      </c>
      <c r="D7674" s="2" t="str">
        <f t="shared" si="124"/>
        <v>Error?</v>
      </c>
      <c r="E7674" s="2" t="s">
        <v>820</v>
      </c>
    </row>
    <row r="7675" spans="1:5" x14ac:dyDescent="0.2">
      <c r="A7675">
        <v>7614</v>
      </c>
      <c r="B7675" s="1816">
        <f>'Acct Summary 7-8'!C67</f>
        <v>0</v>
      </c>
      <c r="D7675" s="2" t="str">
        <f t="shared" si="124"/>
        <v>Error?</v>
      </c>
      <c r="E7675" s="2" t="s">
        <v>820</v>
      </c>
    </row>
    <row r="7676" spans="1:5" x14ac:dyDescent="0.2">
      <c r="A7676">
        <v>7615</v>
      </c>
      <c r="B7676" s="1816">
        <f>'Acct Summary 7-8'!D67</f>
        <v>0</v>
      </c>
      <c r="D7676" s="2" t="str">
        <f t="shared" si="124"/>
        <v>Error?</v>
      </c>
      <c r="E7676" s="2" t="s">
        <v>820</v>
      </c>
    </row>
    <row r="7677" spans="1:5" x14ac:dyDescent="0.2">
      <c r="A7677">
        <v>7616</v>
      </c>
      <c r="B7677" s="1816">
        <f>'Acct Summary 7-8'!C68</f>
        <v>0</v>
      </c>
      <c r="D7677" s="2" t="str">
        <f t="shared" si="124"/>
        <v>Error?</v>
      </c>
      <c r="E7677" s="2" t="s">
        <v>820</v>
      </c>
    </row>
    <row r="7678" spans="1:5" x14ac:dyDescent="0.2">
      <c r="A7678">
        <v>7617</v>
      </c>
      <c r="B7678" s="1816">
        <f>'Acct Summary 7-8'!D68</f>
        <v>0</v>
      </c>
      <c r="D7678" s="2" t="str">
        <f t="shared" si="124"/>
        <v>Error?</v>
      </c>
      <c r="E7678" s="2" t="s">
        <v>820</v>
      </c>
    </row>
    <row r="7679" spans="1:5" x14ac:dyDescent="0.2">
      <c r="A7679">
        <v>7618</v>
      </c>
      <c r="B7679" s="1816">
        <f>'Acct Summary 7-8'!C69</f>
        <v>0</v>
      </c>
      <c r="D7679" s="2" t="str">
        <f t="shared" ref="D7679:D7742" si="126">IF(ISBLANK(B7679),"OK",IF(A7679-B7679=0,"OK","Error?"))</f>
        <v>Error?</v>
      </c>
      <c r="E7679" s="2" t="s">
        <v>820</v>
      </c>
    </row>
    <row r="7680" spans="1:5" x14ac:dyDescent="0.2">
      <c r="A7680">
        <v>7619</v>
      </c>
      <c r="B7680" s="1816">
        <f>'Acct Summary 7-8'!D69</f>
        <v>0</v>
      </c>
      <c r="D7680" s="2" t="str">
        <f t="shared" si="126"/>
        <v>Error?</v>
      </c>
      <c r="E7680" s="2" t="s">
        <v>820</v>
      </c>
    </row>
    <row r="7681" spans="1:5" x14ac:dyDescent="0.2">
      <c r="A7681">
        <v>7620</v>
      </c>
      <c r="B7681" s="1816">
        <f>'Acct Summary 7-8'!C71</f>
        <v>0</v>
      </c>
      <c r="D7681" s="2" t="str">
        <f t="shared" si="126"/>
        <v>Error?</v>
      </c>
      <c r="E7681" s="2" t="s">
        <v>820</v>
      </c>
    </row>
    <row r="7682" spans="1:5" x14ac:dyDescent="0.2">
      <c r="A7682">
        <v>7621</v>
      </c>
      <c r="B7682" s="1816">
        <f>'Acct Summary 7-8'!D71</f>
        <v>0</v>
      </c>
      <c r="D7682" s="2" t="str">
        <f t="shared" si="126"/>
        <v>Error?</v>
      </c>
      <c r="E7682" s="2" t="s">
        <v>820</v>
      </c>
    </row>
    <row r="7683" spans="1:5" x14ac:dyDescent="0.2">
      <c r="A7683">
        <v>7622</v>
      </c>
      <c r="B7683" s="1816">
        <f>'Acct Summary 7-8'!C72</f>
        <v>0</v>
      </c>
      <c r="D7683" s="2" t="str">
        <f t="shared" si="126"/>
        <v>Error?</v>
      </c>
      <c r="E7683" s="2" t="s">
        <v>820</v>
      </c>
    </row>
    <row r="7684" spans="1:5" x14ac:dyDescent="0.2">
      <c r="A7684">
        <v>7623</v>
      </c>
      <c r="B7684" s="1816">
        <f>'Acct Summary 7-8'!D72</f>
        <v>0</v>
      </c>
      <c r="D7684" s="2" t="str">
        <f t="shared" si="126"/>
        <v>Error?</v>
      </c>
      <c r="E7684" s="2" t="s">
        <v>820</v>
      </c>
    </row>
    <row r="7685" spans="1:5" x14ac:dyDescent="0.2">
      <c r="A7685">
        <v>7624</v>
      </c>
      <c r="B7685" s="1816">
        <f>'Acct Summary 7-8'!C73</f>
        <v>0</v>
      </c>
      <c r="D7685" s="2" t="str">
        <f t="shared" si="126"/>
        <v>Error?</v>
      </c>
      <c r="E7685" s="2" t="s">
        <v>820</v>
      </c>
    </row>
    <row r="7686" spans="1:5" x14ac:dyDescent="0.2">
      <c r="A7686">
        <v>7625</v>
      </c>
      <c r="B7686" s="1816">
        <f>'Acct Summary 7-8'!D73</f>
        <v>3925000</v>
      </c>
      <c r="D7686" s="2" t="str">
        <f t="shared" si="126"/>
        <v>Error?</v>
      </c>
      <c r="E7686" s="2" t="s">
        <v>820</v>
      </c>
    </row>
    <row r="7687" spans="1:5" x14ac:dyDescent="0.2">
      <c r="A7687">
        <v>7626</v>
      </c>
      <c r="B7687" s="1816">
        <f>'Revenues 9-14'!C196</f>
        <v>0</v>
      </c>
      <c r="D7687" s="2" t="str">
        <f t="shared" si="126"/>
        <v>Error?</v>
      </c>
      <c r="E7687" s="2" t="s">
        <v>820</v>
      </c>
    </row>
    <row r="7688" spans="1:5" x14ac:dyDescent="0.2">
      <c r="A7688">
        <v>7627</v>
      </c>
      <c r="B7688" s="1816">
        <f>'Expenditures 15-22'!C328</f>
        <v>0</v>
      </c>
      <c r="D7688" s="2" t="str">
        <f t="shared" si="126"/>
        <v>Error?</v>
      </c>
      <c r="E7688" s="2" t="s">
        <v>820</v>
      </c>
    </row>
    <row r="7689" spans="1:5" x14ac:dyDescent="0.2">
      <c r="A7689">
        <v>7628</v>
      </c>
      <c r="B7689" s="1816">
        <f>'Expenditures 15-22'!D328</f>
        <v>0</v>
      </c>
      <c r="D7689" s="2" t="str">
        <f t="shared" si="126"/>
        <v>Error?</v>
      </c>
      <c r="E7689" s="2" t="s">
        <v>820</v>
      </c>
    </row>
    <row r="7690" spans="1:5" x14ac:dyDescent="0.2">
      <c r="A7690">
        <v>7629</v>
      </c>
      <c r="B7690" s="1816">
        <f>'Expenditures 15-22'!E328</f>
        <v>0</v>
      </c>
      <c r="D7690" s="2" t="str">
        <f t="shared" si="126"/>
        <v>Error?</v>
      </c>
      <c r="E7690" s="2" t="s">
        <v>820</v>
      </c>
    </row>
    <row r="7691" spans="1:5" x14ac:dyDescent="0.2">
      <c r="A7691">
        <v>7630</v>
      </c>
      <c r="B7691" s="1816">
        <f>'Expenditures 15-22'!F328</f>
        <v>0</v>
      </c>
      <c r="D7691" s="2" t="str">
        <f t="shared" si="126"/>
        <v>Error?</v>
      </c>
      <c r="E7691" s="2" t="s">
        <v>820</v>
      </c>
    </row>
    <row r="7692" spans="1:5" x14ac:dyDescent="0.2">
      <c r="A7692">
        <v>7631</v>
      </c>
      <c r="B7692" s="1816">
        <f>'Expenditures 15-22'!G328</f>
        <v>0</v>
      </c>
      <c r="D7692" s="2" t="str">
        <f t="shared" si="126"/>
        <v>Error?</v>
      </c>
      <c r="E7692" s="2" t="s">
        <v>820</v>
      </c>
    </row>
    <row r="7693" spans="1:5" x14ac:dyDescent="0.2">
      <c r="A7693">
        <v>7632</v>
      </c>
      <c r="B7693" s="1816">
        <f>'Expenditures 15-22'!H328</f>
        <v>0</v>
      </c>
      <c r="D7693" s="2" t="str">
        <f t="shared" si="126"/>
        <v>Error?</v>
      </c>
      <c r="E7693" s="2" t="s">
        <v>820</v>
      </c>
    </row>
    <row r="7694" spans="1:5" x14ac:dyDescent="0.2">
      <c r="A7694">
        <v>7633</v>
      </c>
      <c r="B7694" s="1816">
        <f>'Expenditures 15-22'!I328</f>
        <v>0</v>
      </c>
      <c r="D7694" s="2" t="str">
        <f t="shared" si="126"/>
        <v>Error?</v>
      </c>
      <c r="E7694" s="2" t="s">
        <v>820</v>
      </c>
    </row>
    <row r="7695" spans="1:5" x14ac:dyDescent="0.2">
      <c r="A7695">
        <v>7634</v>
      </c>
      <c r="B7695" s="1816">
        <f>'Expenditures 15-22'!J328</f>
        <v>0</v>
      </c>
      <c r="D7695" s="2" t="str">
        <f t="shared" si="126"/>
        <v>Error?</v>
      </c>
      <c r="E7695" s="2" t="s">
        <v>820</v>
      </c>
    </row>
    <row r="7696" spans="1:5" x14ac:dyDescent="0.2">
      <c r="A7696">
        <v>7635</v>
      </c>
      <c r="B7696" s="1816">
        <f>'Expenditures 15-22'!K328</f>
        <v>0</v>
      </c>
      <c r="D7696" s="2" t="str">
        <f t="shared" si="126"/>
        <v>Error?</v>
      </c>
      <c r="E7696" s="2" t="s">
        <v>820</v>
      </c>
    </row>
    <row r="7697" spans="1:5" x14ac:dyDescent="0.2">
      <c r="A7697">
        <v>7636</v>
      </c>
      <c r="B7697" s="1816">
        <f>'Expenditures 15-22'!C329</f>
        <v>0</v>
      </c>
      <c r="D7697" s="2" t="str">
        <f t="shared" si="126"/>
        <v>Error?</v>
      </c>
      <c r="E7697" s="2" t="s">
        <v>820</v>
      </c>
    </row>
    <row r="7698" spans="1:5" x14ac:dyDescent="0.2">
      <c r="A7698">
        <v>7637</v>
      </c>
      <c r="B7698" s="1816">
        <f>'Expenditures 15-22'!D329</f>
        <v>0</v>
      </c>
      <c r="D7698" s="2" t="str">
        <f t="shared" si="126"/>
        <v>Error?</v>
      </c>
      <c r="E7698" s="2" t="s">
        <v>820</v>
      </c>
    </row>
    <row r="7699" spans="1:5" x14ac:dyDescent="0.2">
      <c r="A7699">
        <v>7638</v>
      </c>
      <c r="B7699" s="1816">
        <f>'Expenditures 15-22'!E329</f>
        <v>0</v>
      </c>
      <c r="D7699" s="2" t="str">
        <f t="shared" si="126"/>
        <v>Error?</v>
      </c>
      <c r="E7699" s="2" t="s">
        <v>820</v>
      </c>
    </row>
    <row r="7700" spans="1:5" x14ac:dyDescent="0.2">
      <c r="A7700">
        <v>7639</v>
      </c>
      <c r="B7700" s="1816">
        <f>'Expenditures 15-22'!F329</f>
        <v>0</v>
      </c>
      <c r="D7700" s="2" t="str">
        <f t="shared" si="126"/>
        <v>Error?</v>
      </c>
      <c r="E7700" s="2" t="s">
        <v>820</v>
      </c>
    </row>
    <row r="7701" spans="1:5" x14ac:dyDescent="0.2">
      <c r="A7701">
        <v>7640</v>
      </c>
      <c r="B7701" s="1816">
        <f>'Expenditures 15-22'!G329</f>
        <v>0</v>
      </c>
      <c r="D7701" s="2" t="str">
        <f t="shared" si="126"/>
        <v>Error?</v>
      </c>
      <c r="E7701" s="2" t="s">
        <v>820</v>
      </c>
    </row>
    <row r="7702" spans="1:5" x14ac:dyDescent="0.2">
      <c r="A7702">
        <v>7641</v>
      </c>
      <c r="B7702" s="1816">
        <f>'Expenditures 15-22'!H329</f>
        <v>0</v>
      </c>
      <c r="D7702" s="2" t="str">
        <f t="shared" si="126"/>
        <v>Error?</v>
      </c>
      <c r="E7702" s="2" t="s">
        <v>820</v>
      </c>
    </row>
    <row r="7703" spans="1:5" x14ac:dyDescent="0.2">
      <c r="A7703">
        <v>7642</v>
      </c>
      <c r="B7703" s="1816">
        <f>'Expenditures 15-22'!I329</f>
        <v>0</v>
      </c>
      <c r="D7703" s="2" t="str">
        <f t="shared" si="126"/>
        <v>Error?</v>
      </c>
      <c r="E7703" s="2" t="s">
        <v>820</v>
      </c>
    </row>
    <row r="7704" spans="1:5" x14ac:dyDescent="0.2">
      <c r="A7704">
        <v>7643</v>
      </c>
      <c r="B7704" s="1816">
        <f>'Expenditures 15-22'!J329</f>
        <v>0</v>
      </c>
      <c r="D7704" s="2" t="str">
        <f t="shared" si="126"/>
        <v>Error?</v>
      </c>
      <c r="E7704" s="2" t="s">
        <v>820</v>
      </c>
    </row>
    <row r="7705" spans="1:5" x14ac:dyDescent="0.2">
      <c r="A7705">
        <v>7644</v>
      </c>
      <c r="B7705" s="1816">
        <f>'Expenditures 15-22'!K329</f>
        <v>0</v>
      </c>
      <c r="D7705" s="2" t="str">
        <f t="shared" si="126"/>
        <v>Error?</v>
      </c>
      <c r="E7705" s="2" t="s">
        <v>820</v>
      </c>
    </row>
    <row r="7706" spans="1:5" x14ac:dyDescent="0.2">
      <c r="A7706">
        <v>7645</v>
      </c>
      <c r="B7706" s="1816">
        <f>'Revenues 9-14'!H167</f>
        <v>0</v>
      </c>
      <c r="D7706" s="2" t="str">
        <f t="shared" si="126"/>
        <v>Error?</v>
      </c>
      <c r="E7706" s="2" t="s">
        <v>820</v>
      </c>
    </row>
    <row r="7707" spans="1:5" x14ac:dyDescent="0.2">
      <c r="A7707">
        <v>7646</v>
      </c>
      <c r="B7707" s="1816">
        <f>'Expenditures 15-22'!I64</f>
        <v>0</v>
      </c>
      <c r="D7707" s="2" t="str">
        <f t="shared" si="126"/>
        <v>Error?</v>
      </c>
      <c r="E7707" s="2" t="s">
        <v>820</v>
      </c>
    </row>
    <row r="7708" spans="1:5" x14ac:dyDescent="0.2">
      <c r="A7708">
        <v>7647</v>
      </c>
      <c r="B7708" s="1816">
        <f>'Rest Tax Levies-Tort Im 25'!J3</f>
        <v>0</v>
      </c>
      <c r="D7708" s="2" t="str">
        <f t="shared" si="126"/>
        <v>Error?</v>
      </c>
      <c r="E7708" s="2" t="s">
        <v>820</v>
      </c>
    </row>
    <row r="7709" spans="1:5" x14ac:dyDescent="0.2">
      <c r="A7709">
        <v>7648</v>
      </c>
      <c r="B7709" s="1816">
        <f>'Rest Tax Levies-Tort Im 25'!K3</f>
        <v>0</v>
      </c>
      <c r="D7709" s="2" t="str">
        <f t="shared" si="126"/>
        <v>Error?</v>
      </c>
      <c r="E7709" s="2" t="s">
        <v>820</v>
      </c>
    </row>
    <row r="7710" spans="1:5" x14ac:dyDescent="0.2">
      <c r="A7710">
        <v>7649</v>
      </c>
      <c r="B7710" s="1816">
        <f>'Rest Tax Levies-Tort Im 25'!J6</f>
        <v>0</v>
      </c>
      <c r="D7710" s="2" t="str">
        <f t="shared" si="126"/>
        <v>Error?</v>
      </c>
      <c r="E7710" s="2" t="s">
        <v>820</v>
      </c>
    </row>
    <row r="7711" spans="1:5" x14ac:dyDescent="0.2">
      <c r="A7711">
        <v>7650</v>
      </c>
      <c r="B7711" s="1816">
        <f>'Rest Tax Levies-Tort Im 25'!K6</f>
        <v>0</v>
      </c>
      <c r="D7711" s="2" t="str">
        <f t="shared" si="126"/>
        <v>Error?</v>
      </c>
      <c r="E7711" s="2" t="s">
        <v>820</v>
      </c>
    </row>
    <row r="7712" spans="1:5" x14ac:dyDescent="0.2">
      <c r="A7712">
        <v>7651</v>
      </c>
      <c r="B7712" s="1816">
        <f>'Rest Tax Levies-Tort Im 25'!K7</f>
        <v>0</v>
      </c>
      <c r="D7712" s="2" t="str">
        <f t="shared" si="126"/>
        <v>Error?</v>
      </c>
      <c r="E7712" s="2" t="s">
        <v>820</v>
      </c>
    </row>
    <row r="7713" spans="1:6" x14ac:dyDescent="0.2">
      <c r="A7713">
        <v>7652</v>
      </c>
      <c r="B7713" s="1816">
        <f>'Rest Tax Levies-Tort Im 25'!J8</f>
        <v>0</v>
      </c>
      <c r="D7713" s="2" t="str">
        <f t="shared" si="126"/>
        <v>Error?</v>
      </c>
      <c r="E7713" s="2" t="s">
        <v>820</v>
      </c>
    </row>
    <row r="7714" spans="1:6" x14ac:dyDescent="0.2">
      <c r="A7714">
        <v>7653</v>
      </c>
      <c r="B7714" s="1816">
        <f>'Rest Tax Levies-Tort Im 25'!K9</f>
        <v>0</v>
      </c>
      <c r="D7714" s="2" t="str">
        <f t="shared" si="126"/>
        <v>Error?</v>
      </c>
      <c r="E7714" s="2" t="s">
        <v>820</v>
      </c>
    </row>
    <row r="7715" spans="1:6" x14ac:dyDescent="0.2">
      <c r="A7715">
        <v>7654</v>
      </c>
      <c r="B7715" s="1816">
        <f>'Rest Tax Levies-Tort Im 25'!J10</f>
        <v>0</v>
      </c>
      <c r="D7715" s="2" t="str">
        <f t="shared" si="126"/>
        <v>Error?</v>
      </c>
      <c r="E7715" s="2" t="s">
        <v>820</v>
      </c>
    </row>
    <row r="7716" spans="1:6" x14ac:dyDescent="0.2">
      <c r="A7716">
        <v>7655</v>
      </c>
      <c r="B7716" s="1816">
        <f>'Rest Tax Levies-Tort Im 25'!K10</f>
        <v>0</v>
      </c>
      <c r="D7716" s="2" t="str">
        <f t="shared" si="126"/>
        <v>Error?</v>
      </c>
      <c r="E7716" s="2" t="s">
        <v>820</v>
      </c>
    </row>
    <row r="7717" spans="1:6" x14ac:dyDescent="0.2">
      <c r="A7717">
        <v>7656</v>
      </c>
      <c r="B7717" s="1816">
        <f>'Rest Tax Levies-Tort Im 25'!J11</f>
        <v>0</v>
      </c>
      <c r="D7717" s="2" t="str">
        <f t="shared" si="126"/>
        <v>Error?</v>
      </c>
      <c r="E7717" s="2" t="s">
        <v>820</v>
      </c>
    </row>
    <row r="7718" spans="1:6" x14ac:dyDescent="0.2">
      <c r="A7718">
        <v>7657</v>
      </c>
      <c r="B7718" s="1816">
        <f>'Rest Tax Levies-Tort Im 25'!J12</f>
        <v>0</v>
      </c>
      <c r="D7718" s="2" t="str">
        <f t="shared" si="126"/>
        <v>Error?</v>
      </c>
      <c r="E7718" s="2" t="s">
        <v>820</v>
      </c>
    </row>
    <row r="7719" spans="1:6" x14ac:dyDescent="0.2">
      <c r="A7719">
        <v>7658</v>
      </c>
      <c r="B7719" s="1816">
        <f>'Rest Tax Levies-Tort Im 25'!K12</f>
        <v>0</v>
      </c>
      <c r="D7719" s="2" t="str">
        <f t="shared" si="126"/>
        <v>Error?</v>
      </c>
      <c r="E7719" s="2" t="s">
        <v>820</v>
      </c>
    </row>
    <row r="7720" spans="1:6" x14ac:dyDescent="0.2">
      <c r="A7720">
        <v>7659</v>
      </c>
      <c r="B7720" s="1816">
        <f>'Rest Tax Levies-Tort Im 25'!H14</f>
        <v>0</v>
      </c>
      <c r="D7720" s="2" t="str">
        <f t="shared" si="126"/>
        <v>Error?</v>
      </c>
      <c r="E7720" s="2" t="s">
        <v>820</v>
      </c>
    </row>
    <row r="7721" spans="1:6" x14ac:dyDescent="0.2">
      <c r="A7721">
        <v>7660</v>
      </c>
      <c r="B7721" s="1816">
        <f>'Rest Tax Levies-Tort Im 25'!K14</f>
        <v>0</v>
      </c>
      <c r="D7721" s="2" t="str">
        <f t="shared" si="126"/>
        <v>Error?</v>
      </c>
      <c r="E7721" s="2" t="s">
        <v>820</v>
      </c>
    </row>
    <row r="7722" spans="1:6" x14ac:dyDescent="0.2">
      <c r="A7722">
        <v>7661</v>
      </c>
      <c r="B7722" s="1816">
        <f>'Rest Tax Levies-Tort Im 25'!J15</f>
        <v>0</v>
      </c>
      <c r="D7722" s="2" t="str">
        <f t="shared" si="126"/>
        <v>Error?</v>
      </c>
      <c r="E7722" s="2" t="s">
        <v>820</v>
      </c>
    </row>
    <row r="7723" spans="1:6" x14ac:dyDescent="0.2">
      <c r="A7723">
        <v>7662</v>
      </c>
      <c r="B7723" s="1816">
        <f>'Rest Tax Levies-Tort Im 25'!K15</f>
        <v>0</v>
      </c>
      <c r="D7723" s="2" t="str">
        <f t="shared" si="126"/>
        <v>Error?</v>
      </c>
      <c r="E7723" s="2" t="s">
        <v>820</v>
      </c>
    </row>
    <row r="7724" spans="1:6" x14ac:dyDescent="0.2">
      <c r="A7724">
        <v>7663</v>
      </c>
      <c r="B7724" s="1816">
        <f>'Rest Tax Levies-Tort Im 25'!J18</f>
        <v>0</v>
      </c>
      <c r="D7724" s="2" t="str">
        <f t="shared" si="126"/>
        <v>Error?</v>
      </c>
      <c r="E7724" s="2" t="s">
        <v>820</v>
      </c>
      <c r="F7724" s="2"/>
    </row>
    <row r="7725" spans="1:6" x14ac:dyDescent="0.2">
      <c r="A7725">
        <v>7664</v>
      </c>
      <c r="B7725" s="1816">
        <f>'Rest Tax Levies-Tort Im 25'!J19</f>
        <v>0</v>
      </c>
      <c r="D7725" s="2" t="str">
        <f t="shared" si="126"/>
        <v>Error?</v>
      </c>
      <c r="E7725" s="2" t="s">
        <v>820</v>
      </c>
    </row>
    <row r="7726" spans="1:6" x14ac:dyDescent="0.2">
      <c r="A7726">
        <v>7665</v>
      </c>
      <c r="B7726" s="1816">
        <f>'Rest Tax Levies-Tort Im 25'!J20</f>
        <v>0</v>
      </c>
      <c r="D7726" s="2" t="str">
        <f t="shared" si="126"/>
        <v>Error?</v>
      </c>
      <c r="E7726" s="2" t="s">
        <v>820</v>
      </c>
    </row>
    <row r="7727" spans="1:6" x14ac:dyDescent="0.2">
      <c r="A7727">
        <v>7666</v>
      </c>
      <c r="B7727" s="1816">
        <f>'Rest Tax Levies-Tort Im 25'!J21</f>
        <v>0</v>
      </c>
      <c r="D7727" s="2" t="str">
        <f t="shared" si="126"/>
        <v>Error?</v>
      </c>
      <c r="E7727" s="2" t="s">
        <v>820</v>
      </c>
    </row>
    <row r="7728" spans="1:6" x14ac:dyDescent="0.2">
      <c r="A7728">
        <v>7667</v>
      </c>
      <c r="B7728" s="1816">
        <f>'Revenues 9-14'!E103</f>
        <v>0</v>
      </c>
      <c r="D7728" s="2" t="str">
        <f t="shared" si="126"/>
        <v>Error?</v>
      </c>
      <c r="E7728" s="2" t="s">
        <v>820</v>
      </c>
    </row>
    <row r="7729" spans="1:6" x14ac:dyDescent="0.2">
      <c r="A7729">
        <v>7668</v>
      </c>
      <c r="B7729" s="1816">
        <f>'Rest Tax Levies-Tort Im 25'!K22</f>
        <v>0</v>
      </c>
      <c r="D7729" s="2" t="str">
        <f t="shared" si="126"/>
        <v>Error?</v>
      </c>
      <c r="E7729" s="2" t="s">
        <v>820</v>
      </c>
    </row>
    <row r="7730" spans="1:6" x14ac:dyDescent="0.2">
      <c r="A7730">
        <v>7669</v>
      </c>
      <c r="B7730" s="1816">
        <f>'Rest Tax Levies-Tort Im 25'!J23</f>
        <v>0</v>
      </c>
      <c r="D7730" s="2" t="str">
        <f t="shared" si="126"/>
        <v>Error?</v>
      </c>
      <c r="E7730" s="2" t="s">
        <v>820</v>
      </c>
    </row>
    <row r="7731" spans="1:6" x14ac:dyDescent="0.2">
      <c r="A7731">
        <v>7670</v>
      </c>
      <c r="B7731" s="1816">
        <f>'Revenues 9-14'!H103</f>
        <v>0</v>
      </c>
      <c r="D7731" s="2" t="str">
        <f t="shared" si="126"/>
        <v>Error?</v>
      </c>
      <c r="E7731" s="2" t="s">
        <v>820</v>
      </c>
    </row>
    <row r="7732" spans="1:6" x14ac:dyDescent="0.2">
      <c r="A7732">
        <v>7671</v>
      </c>
      <c r="B7732" s="1816">
        <f>'Rest Tax Levies-Tort Im 25'!J24</f>
        <v>0</v>
      </c>
      <c r="D7732" s="2" t="str">
        <f t="shared" si="126"/>
        <v>Error?</v>
      </c>
      <c r="E7732" s="2" t="s">
        <v>820</v>
      </c>
    </row>
    <row r="7733" spans="1:6" x14ac:dyDescent="0.2">
      <c r="A7733">
        <v>7672</v>
      </c>
      <c r="B7733" s="1816">
        <f>'Rest Tax Levies-Tort Im 25'!K24</f>
        <v>0</v>
      </c>
      <c r="D7733" s="2" t="str">
        <f t="shared" si="126"/>
        <v>Error?</v>
      </c>
      <c r="E7733" s="2" t="s">
        <v>820</v>
      </c>
    </row>
    <row r="7734" spans="1:6" x14ac:dyDescent="0.2">
      <c r="A7734">
        <v>7673</v>
      </c>
      <c r="B7734" s="1816">
        <f>'Rest Tax Levies-Tort Im 25'!G25</f>
        <v>0</v>
      </c>
      <c r="D7734" s="2" t="str">
        <f t="shared" si="126"/>
        <v>Error?</v>
      </c>
      <c r="E7734" s="2" t="s">
        <v>820</v>
      </c>
    </row>
    <row r="7735" spans="1:6" x14ac:dyDescent="0.2">
      <c r="A7735">
        <v>7674</v>
      </c>
      <c r="B7735" s="1816">
        <f>'Rest Tax Levies-Tort Im 25'!H25</f>
        <v>0</v>
      </c>
      <c r="D7735" s="2" t="str">
        <f t="shared" si="126"/>
        <v>Error?</v>
      </c>
      <c r="E7735" s="2" t="s">
        <v>820</v>
      </c>
    </row>
    <row r="7736" spans="1:6" x14ac:dyDescent="0.2">
      <c r="A7736">
        <v>7675</v>
      </c>
      <c r="B7736" s="1816">
        <f>'Rest Tax Levies-Tort Im 25'!I25</f>
        <v>0</v>
      </c>
      <c r="D7736" s="2" t="str">
        <f t="shared" si="126"/>
        <v>Error?</v>
      </c>
      <c r="E7736" s="2" t="s">
        <v>820</v>
      </c>
    </row>
    <row r="7737" spans="1:6" x14ac:dyDescent="0.2">
      <c r="A7737">
        <v>7676</v>
      </c>
      <c r="B7737" s="1816">
        <f>'Rest Tax Levies-Tort Im 25'!J25</f>
        <v>0</v>
      </c>
      <c r="D7737" s="2" t="str">
        <f t="shared" si="126"/>
        <v>Error?</v>
      </c>
      <c r="E7737" s="2" t="s">
        <v>820</v>
      </c>
    </row>
    <row r="7738" spans="1:6" x14ac:dyDescent="0.2">
      <c r="A7738">
        <v>7677</v>
      </c>
      <c r="B7738" s="1816">
        <f>'Rest Tax Levies-Tort Im 25'!K25</f>
        <v>0</v>
      </c>
      <c r="D7738" s="2" t="str">
        <f t="shared" si="126"/>
        <v>Error?</v>
      </c>
      <c r="E7738" s="2" t="s">
        <v>820</v>
      </c>
    </row>
    <row r="7739" spans="1:6" x14ac:dyDescent="0.2">
      <c r="A7739">
        <v>7678</v>
      </c>
      <c r="B7739" s="1816">
        <f>'Rest Tax Levies-Tort Im 25'!G26</f>
        <v>0</v>
      </c>
      <c r="D7739" s="2" t="str">
        <f t="shared" si="126"/>
        <v>Error?</v>
      </c>
      <c r="E7739" s="2" t="s">
        <v>820</v>
      </c>
    </row>
    <row r="7740" spans="1:6" x14ac:dyDescent="0.2">
      <c r="A7740">
        <v>7679</v>
      </c>
      <c r="B7740" s="1816">
        <f>'Rest Tax Levies-Tort Im 25'!H26</f>
        <v>0</v>
      </c>
      <c r="D7740" s="2" t="str">
        <f t="shared" si="126"/>
        <v>Error?</v>
      </c>
      <c r="E7740" s="2" t="s">
        <v>820</v>
      </c>
    </row>
    <row r="7741" spans="1:6" x14ac:dyDescent="0.2">
      <c r="A7741">
        <v>7680</v>
      </c>
      <c r="B7741" s="1816">
        <f>'Rest Tax Levies-Tort Im 25'!I26</f>
        <v>0</v>
      </c>
      <c r="D7741" s="2" t="str">
        <f t="shared" si="126"/>
        <v>Error?</v>
      </c>
      <c r="E7741" s="2" t="s">
        <v>820</v>
      </c>
    </row>
    <row r="7742" spans="1:6" x14ac:dyDescent="0.2">
      <c r="A7742">
        <v>7681</v>
      </c>
      <c r="B7742" s="1816">
        <f>'Rest Tax Levies-Tort Im 25'!J26</f>
        <v>0</v>
      </c>
      <c r="D7742" s="2" t="str">
        <f t="shared" si="126"/>
        <v>Error?</v>
      </c>
      <c r="E7742" s="2" t="s">
        <v>820</v>
      </c>
    </row>
    <row r="7743" spans="1:6" x14ac:dyDescent="0.2">
      <c r="A7743">
        <v>7682</v>
      </c>
      <c r="B7743" s="1816">
        <f>'Rest Tax Levies-Tort Im 25'!K26</f>
        <v>0</v>
      </c>
      <c r="D7743" s="2" t="str">
        <f t="shared" ref="D7743:D7806" si="127">IF(ISBLANK(B7743),"OK",IF(A7743-B7743=0,"OK","Error?"))</f>
        <v>Error?</v>
      </c>
      <c r="E7743" s="2" t="s">
        <v>820</v>
      </c>
    </row>
    <row r="7744" spans="1:6" x14ac:dyDescent="0.2">
      <c r="A7744" s="126">
        <v>7683</v>
      </c>
      <c r="B7744" s="1816"/>
      <c r="D7744" s="2" t="str">
        <f t="shared" si="127"/>
        <v>OK</v>
      </c>
      <c r="E7744" s="4" t="s">
        <v>1321</v>
      </c>
      <c r="F7744" s="1"/>
    </row>
    <row r="7745" spans="1:6" x14ac:dyDescent="0.2">
      <c r="A7745">
        <v>7684</v>
      </c>
      <c r="B7745" s="1816">
        <f>'Expenditures 15-22'!H364</f>
        <v>0</v>
      </c>
      <c r="D7745" s="2" t="str">
        <f t="shared" si="127"/>
        <v>Error?</v>
      </c>
      <c r="E7745" s="2" t="s">
        <v>820</v>
      </c>
    </row>
    <row r="7746" spans="1:6" x14ac:dyDescent="0.2">
      <c r="A7746">
        <v>7685</v>
      </c>
      <c r="B7746" s="1816">
        <f>'Expenditures 15-22'!K364</f>
        <v>0</v>
      </c>
      <c r="D7746" s="2" t="str">
        <f t="shared" si="127"/>
        <v>Error?</v>
      </c>
      <c r="E7746" s="2" t="s">
        <v>820</v>
      </c>
    </row>
    <row r="7747" spans="1:6" x14ac:dyDescent="0.2">
      <c r="A7747">
        <v>7686</v>
      </c>
      <c r="B7747" s="1816">
        <f>'Revenues 9-14'!E266</f>
        <v>0</v>
      </c>
      <c r="D7747" s="2" t="str">
        <f t="shared" si="127"/>
        <v>Error?</v>
      </c>
      <c r="E7747" s="2" t="s">
        <v>820</v>
      </c>
      <c r="F7747" s="2" t="s">
        <v>821</v>
      </c>
    </row>
    <row r="7748" spans="1:6" x14ac:dyDescent="0.2">
      <c r="A7748">
        <v>7687</v>
      </c>
      <c r="B7748" s="1816">
        <f>'Acct Summary 7-8'!C25</f>
        <v>0</v>
      </c>
      <c r="D7748" s="2" t="str">
        <f t="shared" si="127"/>
        <v>Error?</v>
      </c>
      <c r="E7748" s="4" t="s">
        <v>1320</v>
      </c>
    </row>
    <row r="7749" spans="1:6" x14ac:dyDescent="0.2">
      <c r="A7749">
        <v>7688</v>
      </c>
      <c r="B7749" s="1816">
        <f>'Acct Summary 7-8'!D25</f>
        <v>0</v>
      </c>
      <c r="D7749" s="2" t="str">
        <f t="shared" si="127"/>
        <v>Error?</v>
      </c>
      <c r="E7749" s="4" t="s">
        <v>1320</v>
      </c>
    </row>
    <row r="7750" spans="1:6" x14ac:dyDescent="0.2">
      <c r="A7750">
        <v>7689</v>
      </c>
      <c r="B7750" s="1816">
        <f>'Acct Summary 7-8'!E25</f>
        <v>0</v>
      </c>
      <c r="D7750" s="2" t="str">
        <f t="shared" si="127"/>
        <v>Error?</v>
      </c>
      <c r="E7750" s="4" t="s">
        <v>1320</v>
      </c>
    </row>
    <row r="7751" spans="1:6" x14ac:dyDescent="0.2">
      <c r="A7751">
        <v>7690</v>
      </c>
      <c r="B7751" s="1816">
        <f>'Acct Summary 7-8'!F25</f>
        <v>0</v>
      </c>
      <c r="D7751" s="2" t="str">
        <f t="shared" si="127"/>
        <v>Error?</v>
      </c>
      <c r="E7751" s="4" t="s">
        <v>1320</v>
      </c>
    </row>
    <row r="7752" spans="1:6" x14ac:dyDescent="0.2">
      <c r="A7752">
        <v>7691</v>
      </c>
      <c r="B7752" s="1816">
        <f>'Acct Summary 7-8'!G25</f>
        <v>0</v>
      </c>
      <c r="D7752" s="2" t="str">
        <f t="shared" si="127"/>
        <v>Error?</v>
      </c>
      <c r="E7752" s="4" t="s">
        <v>1320</v>
      </c>
    </row>
    <row r="7753" spans="1:6" x14ac:dyDescent="0.2">
      <c r="A7753">
        <v>7692</v>
      </c>
      <c r="B7753" s="1816">
        <f>'Acct Summary 7-8'!H25</f>
        <v>0</v>
      </c>
      <c r="D7753" s="2" t="str">
        <f t="shared" si="127"/>
        <v>Error?</v>
      </c>
      <c r="E7753" s="4" t="s">
        <v>1320</v>
      </c>
    </row>
    <row r="7754" spans="1:6" x14ac:dyDescent="0.2">
      <c r="A7754">
        <v>7693</v>
      </c>
      <c r="B7754" s="1816">
        <f>'Acct Summary 7-8'!J25</f>
        <v>0</v>
      </c>
      <c r="D7754" s="2" t="str">
        <f t="shared" si="127"/>
        <v>Error?</v>
      </c>
      <c r="E7754" s="4" t="s">
        <v>1320</v>
      </c>
    </row>
    <row r="7755" spans="1:6" x14ac:dyDescent="0.2">
      <c r="A7755">
        <v>7694</v>
      </c>
      <c r="B7755" s="1816">
        <f>'Acct Summary 7-8'!K25</f>
        <v>0</v>
      </c>
      <c r="D7755" s="2" t="str">
        <f t="shared" si="127"/>
        <v>Error?</v>
      </c>
      <c r="E7755" s="4" t="s">
        <v>1320</v>
      </c>
    </row>
    <row r="7756" spans="1:6" x14ac:dyDescent="0.2">
      <c r="A7756" s="126">
        <v>7695</v>
      </c>
      <c r="B7756" s="1816"/>
      <c r="D7756" s="2" t="str">
        <f t="shared" si="127"/>
        <v>OK</v>
      </c>
      <c r="E7756" s="4" t="s">
        <v>1320</v>
      </c>
      <c r="F7756" t="s">
        <v>1424</v>
      </c>
    </row>
    <row r="7757" spans="1:6" x14ac:dyDescent="0.2">
      <c r="A7757" s="126">
        <v>7696</v>
      </c>
      <c r="B7757" s="1816"/>
      <c r="D7757" s="2" t="str">
        <f t="shared" si="127"/>
        <v>OK</v>
      </c>
      <c r="E7757" s="4" t="s">
        <v>1320</v>
      </c>
      <c r="F7757" t="s">
        <v>1424</v>
      </c>
    </row>
    <row r="7758" spans="1:6" x14ac:dyDescent="0.2">
      <c r="A7758">
        <v>7697</v>
      </c>
      <c r="B7758" s="1816">
        <f>'Aud Quest 2'!J85</f>
        <v>0</v>
      </c>
      <c r="D7758" s="2" t="str">
        <f t="shared" si="127"/>
        <v>Error?</v>
      </c>
      <c r="E7758" s="4" t="s">
        <v>1320</v>
      </c>
    </row>
    <row r="7759" spans="1:6" x14ac:dyDescent="0.2">
      <c r="A7759">
        <v>7698</v>
      </c>
      <c r="B7759" s="1816">
        <f>'Aud Quest 2'!J88</f>
        <v>0</v>
      </c>
      <c r="D7759" s="2" t="str">
        <f t="shared" si="127"/>
        <v>Error?</v>
      </c>
      <c r="E7759" s="4" t="s">
        <v>1320</v>
      </c>
    </row>
    <row r="7760" spans="1:6" x14ac:dyDescent="0.2">
      <c r="A7760">
        <v>7699</v>
      </c>
      <c r="B7760" s="1816">
        <f>'Aud Quest 2'!J90</f>
        <v>0</v>
      </c>
      <c r="D7760" s="2" t="str">
        <f t="shared" si="127"/>
        <v>Error?</v>
      </c>
      <c r="E7760" s="4" t="s">
        <v>1320</v>
      </c>
    </row>
    <row r="7761" spans="1:5" x14ac:dyDescent="0.2">
      <c r="A7761">
        <v>7700</v>
      </c>
      <c r="B7761" s="1816">
        <f>'Revenues 9-14'!C253</f>
        <v>0</v>
      </c>
      <c r="D7761" s="2" t="str">
        <f t="shared" si="127"/>
        <v>Error?</v>
      </c>
      <c r="E7761" s="4" t="s">
        <v>1401</v>
      </c>
    </row>
    <row r="7762" spans="1:5" x14ac:dyDescent="0.2">
      <c r="A7762">
        <v>7701</v>
      </c>
      <c r="B7762" s="1816">
        <f>'Expenditures 15-22'!E6</f>
        <v>0</v>
      </c>
      <c r="D7762" s="2" t="str">
        <f t="shared" si="127"/>
        <v>Error?</v>
      </c>
      <c r="E7762" s="4" t="s">
        <v>1411</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1439</v>
      </c>
    </row>
    <row r="7765" spans="1:5" x14ac:dyDescent="0.2">
      <c r="A7765">
        <v>7704</v>
      </c>
      <c r="B7765" s="1816">
        <f>'Revenues 9-14'!C254</f>
        <v>0</v>
      </c>
      <c r="D7765" s="2" t="str">
        <f t="shared" si="127"/>
        <v>Error?</v>
      </c>
      <c r="E7765" s="4" t="s">
        <v>1443</v>
      </c>
    </row>
    <row r="7766" spans="1:5" x14ac:dyDescent="0.2">
      <c r="A7766">
        <v>7705</v>
      </c>
      <c r="B7766" s="1816">
        <f>'Revenues 9-14'!D254</f>
        <v>0</v>
      </c>
      <c r="D7766" s="2" t="str">
        <f t="shared" si="127"/>
        <v>Error?</v>
      </c>
      <c r="E7766" s="4" t="s">
        <v>1443</v>
      </c>
    </row>
    <row r="7767" spans="1:5" x14ac:dyDescent="0.2">
      <c r="A7767" s="126">
        <v>7706</v>
      </c>
      <c r="B7767" s="1816"/>
      <c r="D7767" s="4" t="s">
        <v>1993</v>
      </c>
      <c r="E7767" s="4"/>
    </row>
    <row r="7768" spans="1:5" x14ac:dyDescent="0.2">
      <c r="A7768">
        <v>7707</v>
      </c>
      <c r="B7768" s="1816">
        <f>'Revenues 9-14'!F254</f>
        <v>0</v>
      </c>
      <c r="D7768" s="2" t="str">
        <f t="shared" si="127"/>
        <v>Error?</v>
      </c>
      <c r="E7768" s="4" t="s">
        <v>1443</v>
      </c>
    </row>
    <row r="7769" spans="1:5" x14ac:dyDescent="0.2">
      <c r="A7769">
        <v>7708</v>
      </c>
      <c r="B7769" s="1816">
        <f>'Revenues 9-14'!G254</f>
        <v>0</v>
      </c>
      <c r="D7769" s="2" t="str">
        <f t="shared" si="127"/>
        <v>Error?</v>
      </c>
      <c r="E7769" s="4" t="s">
        <v>1443</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1444</v>
      </c>
    </row>
    <row r="7773" spans="1:5" x14ac:dyDescent="0.2">
      <c r="A7773">
        <v>7712</v>
      </c>
      <c r="B7773" s="1816">
        <f>'Rest Tax Levies-Tort Im 25'!J22</f>
        <v>0</v>
      </c>
      <c r="D7773" s="2" t="str">
        <f t="shared" si="127"/>
        <v>Error?</v>
      </c>
      <c r="E7773" s="4" t="s">
        <v>1532</v>
      </c>
    </row>
    <row r="7774" spans="1:5" x14ac:dyDescent="0.2">
      <c r="A7774">
        <v>7713</v>
      </c>
      <c r="B7774" s="1816">
        <f>'Expenditures 15-22'!E133</f>
        <v>0</v>
      </c>
      <c r="D7774" s="2" t="str">
        <f t="shared" si="127"/>
        <v>Error?</v>
      </c>
      <c r="E7774" s="4" t="s">
        <v>1822</v>
      </c>
    </row>
    <row r="7775" spans="1:5" x14ac:dyDescent="0.2">
      <c r="A7775">
        <v>7714</v>
      </c>
      <c r="B7775" s="1816">
        <f>'Expenditures 15-22'!H133</f>
        <v>0</v>
      </c>
      <c r="D7775" s="2" t="str">
        <f t="shared" si="127"/>
        <v>Error?</v>
      </c>
      <c r="E7775" s="4" t="s">
        <v>1822</v>
      </c>
    </row>
    <row r="7776" spans="1:5" x14ac:dyDescent="0.2">
      <c r="A7776">
        <v>7715</v>
      </c>
      <c r="B7776" s="1816">
        <f>'Expenditures 15-22'!K133</f>
        <v>0</v>
      </c>
      <c r="D7776" s="2" t="str">
        <f t="shared" si="127"/>
        <v>Error?</v>
      </c>
      <c r="E7776" s="4" t="s">
        <v>1822</v>
      </c>
    </row>
    <row r="7777" spans="1:5" x14ac:dyDescent="0.2">
      <c r="A7777">
        <v>7716</v>
      </c>
      <c r="B7777" s="1816">
        <f>'Expenditures 15-22'!H157</f>
        <v>0</v>
      </c>
      <c r="D7777" s="2" t="str">
        <f t="shared" si="127"/>
        <v>Error?</v>
      </c>
      <c r="E7777" s="4" t="s">
        <v>1822</v>
      </c>
    </row>
    <row r="7778" spans="1:5" x14ac:dyDescent="0.2">
      <c r="A7778">
        <v>7717</v>
      </c>
      <c r="B7778" s="1816">
        <f>'Expenditures 15-22'!K157</f>
        <v>0</v>
      </c>
      <c r="D7778" s="2" t="str">
        <f t="shared" si="127"/>
        <v>Error?</v>
      </c>
      <c r="E7778" s="4" t="s">
        <v>1822</v>
      </c>
    </row>
    <row r="7779" spans="1:5" x14ac:dyDescent="0.2">
      <c r="A7779">
        <v>7718</v>
      </c>
      <c r="B7779" s="1816">
        <f>'Expenditures 15-22'!H158</f>
        <v>0</v>
      </c>
      <c r="D7779" s="2" t="str">
        <f t="shared" si="127"/>
        <v>Error?</v>
      </c>
      <c r="E7779" s="4" t="s">
        <v>1822</v>
      </c>
    </row>
    <row r="7780" spans="1:5" x14ac:dyDescent="0.2">
      <c r="A7780">
        <v>7719</v>
      </c>
      <c r="B7780" s="1816">
        <f>'Expenditures 15-22'!K158</f>
        <v>0</v>
      </c>
      <c r="D7780" s="2" t="str">
        <f t="shared" si="127"/>
        <v>Error?</v>
      </c>
      <c r="E7780" s="4" t="s">
        <v>1822</v>
      </c>
    </row>
    <row r="7781" spans="1:5" x14ac:dyDescent="0.2">
      <c r="A7781">
        <v>7720</v>
      </c>
      <c r="B7781" s="1816">
        <f>'Expenditures 15-22'!H159</f>
        <v>0</v>
      </c>
      <c r="D7781" s="2" t="str">
        <f t="shared" si="127"/>
        <v>Error?</v>
      </c>
      <c r="E7781" s="4" t="s">
        <v>1822</v>
      </c>
    </row>
    <row r="7782" spans="1:5" x14ac:dyDescent="0.2">
      <c r="A7782">
        <v>7721</v>
      </c>
      <c r="B7782" s="1816">
        <f>'Expenditures 15-22'!K159</f>
        <v>0</v>
      </c>
      <c r="D7782" s="2" t="str">
        <f t="shared" si="127"/>
        <v>Error?</v>
      </c>
      <c r="E7782" s="4" t="s">
        <v>1822</v>
      </c>
    </row>
    <row r="7783" spans="1:5" x14ac:dyDescent="0.2">
      <c r="A7783">
        <v>7722</v>
      </c>
      <c r="B7783" s="1816">
        <f>'Expenditures 15-22'!D282</f>
        <v>0</v>
      </c>
      <c r="D7783" s="2" t="str">
        <f t="shared" si="127"/>
        <v>Error?</v>
      </c>
      <c r="E7783" s="4" t="s">
        <v>1822</v>
      </c>
    </row>
    <row r="7784" spans="1:5" x14ac:dyDescent="0.2">
      <c r="A7784">
        <v>7723</v>
      </c>
      <c r="B7784" s="1816">
        <f>'Expenditures 15-22'!K282</f>
        <v>0</v>
      </c>
      <c r="D7784" s="2" t="str">
        <f t="shared" si="127"/>
        <v>Error?</v>
      </c>
      <c r="E7784" s="4" t="s">
        <v>1822</v>
      </c>
    </row>
    <row r="7785" spans="1:5" x14ac:dyDescent="0.2">
      <c r="A7785">
        <v>7724</v>
      </c>
      <c r="B7785" s="1816">
        <f>'Expenditures 15-22'!H332</f>
        <v>0</v>
      </c>
      <c r="D7785" s="2" t="str">
        <f t="shared" si="127"/>
        <v>Error?</v>
      </c>
      <c r="E7785" s="4" t="s">
        <v>1822</v>
      </c>
    </row>
    <row r="7786" spans="1:5" x14ac:dyDescent="0.2">
      <c r="A7786">
        <v>7725</v>
      </c>
      <c r="B7786" s="1816">
        <f>'Expenditures 15-22'!K332</f>
        <v>0</v>
      </c>
      <c r="D7786" s="2" t="str">
        <f t="shared" si="127"/>
        <v>Error?</v>
      </c>
      <c r="E7786" s="4" t="s">
        <v>1822</v>
      </c>
    </row>
    <row r="7787" spans="1:5" x14ac:dyDescent="0.2">
      <c r="A7787">
        <v>7726</v>
      </c>
      <c r="B7787" s="1816">
        <f>'Expenditures 15-22'!H333</f>
        <v>0</v>
      </c>
      <c r="D7787" s="2" t="str">
        <f t="shared" si="127"/>
        <v>Error?</v>
      </c>
      <c r="E7787" s="4" t="s">
        <v>1822</v>
      </c>
    </row>
    <row r="7788" spans="1:5" x14ac:dyDescent="0.2">
      <c r="A7788">
        <v>7727</v>
      </c>
      <c r="B7788" s="1816">
        <f>'Expenditures 15-22'!K333</f>
        <v>0</v>
      </c>
      <c r="D7788" s="2" t="str">
        <f t="shared" si="127"/>
        <v>Error?</v>
      </c>
      <c r="E7788" s="4" t="s">
        <v>1822</v>
      </c>
    </row>
    <row r="7789" spans="1:5" x14ac:dyDescent="0.2">
      <c r="A7789">
        <v>7728</v>
      </c>
      <c r="B7789" s="1816">
        <f>'Expenditures 15-22'!H334</f>
        <v>0</v>
      </c>
      <c r="D7789" s="2" t="str">
        <f t="shared" si="127"/>
        <v>Error?</v>
      </c>
      <c r="E7789" s="4" t="s">
        <v>1822</v>
      </c>
    </row>
    <row r="7790" spans="1:5" x14ac:dyDescent="0.2">
      <c r="A7790">
        <v>7729</v>
      </c>
      <c r="B7790" s="1816">
        <f>'Expenditures 15-22'!K334</f>
        <v>0</v>
      </c>
      <c r="D7790" s="2" t="str">
        <f t="shared" si="127"/>
        <v>Error?</v>
      </c>
      <c r="E7790" s="4" t="s">
        <v>1822</v>
      </c>
    </row>
    <row r="7791" spans="1:5" x14ac:dyDescent="0.2">
      <c r="A7791">
        <v>7730</v>
      </c>
      <c r="B7791" s="1816">
        <f>'Expenditures 15-22'!H354</f>
        <v>0</v>
      </c>
      <c r="D7791" s="2" t="str">
        <f t="shared" si="127"/>
        <v>Error?</v>
      </c>
      <c r="E7791" s="4" t="s">
        <v>1822</v>
      </c>
    </row>
    <row r="7792" spans="1:5" x14ac:dyDescent="0.2">
      <c r="A7792">
        <v>7731</v>
      </c>
      <c r="B7792" s="1816">
        <f>'Expenditures 15-22'!K354</f>
        <v>0</v>
      </c>
      <c r="D7792" s="2" t="str">
        <f t="shared" si="127"/>
        <v>Error?</v>
      </c>
      <c r="E7792" s="4" t="s">
        <v>1822</v>
      </c>
    </row>
    <row r="7793" spans="1:5" x14ac:dyDescent="0.2">
      <c r="A7793">
        <v>7732</v>
      </c>
      <c r="B7793" s="1816">
        <f>'Expenditures 15-22'!H355</f>
        <v>0</v>
      </c>
      <c r="D7793" s="2" t="str">
        <f t="shared" si="127"/>
        <v>Error?</v>
      </c>
      <c r="E7793" s="4" t="s">
        <v>1822</v>
      </c>
    </row>
    <row r="7794" spans="1:5" x14ac:dyDescent="0.2">
      <c r="A7794">
        <v>7733</v>
      </c>
      <c r="B7794" s="1816">
        <f>'Expenditures 15-22'!K355</f>
        <v>0</v>
      </c>
      <c r="D7794" s="2" t="str">
        <f t="shared" si="127"/>
        <v>Error?</v>
      </c>
      <c r="E7794" s="4" t="s">
        <v>1822</v>
      </c>
    </row>
    <row r="7795" spans="1:5" x14ac:dyDescent="0.2">
      <c r="A7795">
        <v>7734</v>
      </c>
      <c r="B7795" s="1816">
        <f>'Expenditures 15-22'!E138</f>
        <v>0</v>
      </c>
      <c r="D7795" s="2" t="str">
        <f t="shared" si="127"/>
        <v>Error?</v>
      </c>
      <c r="E7795" s="4" t="s">
        <v>1822</v>
      </c>
    </row>
    <row r="7796" spans="1:5" x14ac:dyDescent="0.2">
      <c r="A7796">
        <v>7735</v>
      </c>
      <c r="B7796" s="1816">
        <f>'Acct Summary 7-8'!J15</f>
        <v>0</v>
      </c>
      <c r="D7796" s="2" t="str">
        <f t="shared" si="127"/>
        <v>Error?</v>
      </c>
      <c r="E7796" s="4" t="s">
        <v>1822</v>
      </c>
    </row>
    <row r="7797" spans="1:5" x14ac:dyDescent="0.2">
      <c r="A7797" s="126">
        <v>7736</v>
      </c>
      <c r="B7797" s="1816"/>
      <c r="D7797" s="2" t="str">
        <f t="shared" si="127"/>
        <v>OK</v>
      </c>
      <c r="E7797" s="4" t="s">
        <v>1975</v>
      </c>
    </row>
    <row r="7798" spans="1:5" x14ac:dyDescent="0.2">
      <c r="A7798" s="126">
        <v>7737</v>
      </c>
      <c r="B7798" s="1816"/>
      <c r="D7798" s="2" t="str">
        <f t="shared" si="127"/>
        <v>OK</v>
      </c>
      <c r="E7798" s="4" t="s">
        <v>1975</v>
      </c>
    </row>
    <row r="7799" spans="1:5" x14ac:dyDescent="0.2">
      <c r="A7799" s="126">
        <v>7738</v>
      </c>
      <c r="B7799" s="1816"/>
      <c r="D7799" s="2" t="str">
        <f t="shared" si="127"/>
        <v>OK</v>
      </c>
      <c r="E7799" s="4" t="s">
        <v>1975</v>
      </c>
    </row>
    <row r="7800" spans="1:5" x14ac:dyDescent="0.2">
      <c r="A7800">
        <v>7739</v>
      </c>
      <c r="B7800" s="1816">
        <f>'Rest Tax Levies-Tort Im 25'!K23</f>
        <v>0</v>
      </c>
      <c r="D7800" s="2" t="str">
        <f t="shared" si="127"/>
        <v>Error?</v>
      </c>
      <c r="E7800" s="4" t="s">
        <v>1962</v>
      </c>
    </row>
    <row r="7801" spans="1:5" x14ac:dyDescent="0.2">
      <c r="A7801">
        <v>7740</v>
      </c>
      <c r="B7801" s="1816">
        <f>'Revenues 9-14'!C120</f>
        <v>0</v>
      </c>
      <c r="D7801" s="2" t="str">
        <f t="shared" si="127"/>
        <v>Error?</v>
      </c>
      <c r="E7801" s="4" t="s">
        <v>1896</v>
      </c>
    </row>
    <row r="7802" spans="1:5" x14ac:dyDescent="0.2">
      <c r="A7802">
        <v>7741</v>
      </c>
      <c r="B7802" s="1816">
        <f>'Revenues 9-14'!D120</f>
        <v>0</v>
      </c>
      <c r="D7802" s="2" t="str">
        <f t="shared" si="127"/>
        <v>Error?</v>
      </c>
      <c r="E7802" s="4" t="s">
        <v>1896</v>
      </c>
    </row>
    <row r="7803" spans="1:5" x14ac:dyDescent="0.2">
      <c r="A7803">
        <v>7742</v>
      </c>
      <c r="B7803" s="1816">
        <f>'Revenues 9-14'!E120</f>
        <v>0</v>
      </c>
      <c r="D7803" s="2" t="str">
        <f t="shared" si="127"/>
        <v>Error?</v>
      </c>
      <c r="E7803" s="4" t="s">
        <v>1896</v>
      </c>
    </row>
    <row r="7804" spans="1:5" x14ac:dyDescent="0.2">
      <c r="A7804">
        <v>7743</v>
      </c>
      <c r="B7804" s="1816">
        <f>'Revenues 9-14'!F120</f>
        <v>0</v>
      </c>
      <c r="D7804" s="2" t="str">
        <f t="shared" si="127"/>
        <v>Error?</v>
      </c>
      <c r="E7804" s="4" t="s">
        <v>1896</v>
      </c>
    </row>
    <row r="7805" spans="1:5" x14ac:dyDescent="0.2">
      <c r="A7805">
        <v>7744</v>
      </c>
      <c r="B7805" s="1816">
        <f>'Revenues 9-14'!G120</f>
        <v>0</v>
      </c>
      <c r="D7805" s="2" t="str">
        <f t="shared" si="127"/>
        <v>Error?</v>
      </c>
      <c r="E7805" s="4" t="s">
        <v>1896</v>
      </c>
    </row>
    <row r="7806" spans="1:5" x14ac:dyDescent="0.2">
      <c r="A7806">
        <v>7745</v>
      </c>
      <c r="B7806" s="1816">
        <f>'Revenues 9-14'!H120</f>
        <v>0</v>
      </c>
      <c r="D7806" s="2" t="str">
        <f t="shared" si="127"/>
        <v>Error?</v>
      </c>
      <c r="E7806" s="4" t="s">
        <v>1896</v>
      </c>
    </row>
    <row r="7807" spans="1:5" x14ac:dyDescent="0.2">
      <c r="A7807">
        <v>7746</v>
      </c>
      <c r="B7807" s="1816">
        <f>'Revenues 9-14'!J120</f>
        <v>0</v>
      </c>
      <c r="D7807" s="2" t="str">
        <f t="shared" ref="D7807:D7821" si="128">IF(ISBLANK(B7807),"OK",IF(A7807-B7807=0,"OK","Error?"))</f>
        <v>Error?</v>
      </c>
      <c r="E7807" s="4" t="s">
        <v>1896</v>
      </c>
    </row>
    <row r="7808" spans="1:5" x14ac:dyDescent="0.2">
      <c r="A7808">
        <v>7747</v>
      </c>
      <c r="B7808" s="1816">
        <f>'Revenues 9-14'!K120</f>
        <v>0</v>
      </c>
      <c r="D7808" s="2" t="str">
        <f t="shared" si="128"/>
        <v>Error?</v>
      </c>
      <c r="E7808" s="4" t="s">
        <v>1896</v>
      </c>
    </row>
    <row r="7809" spans="1:5" x14ac:dyDescent="0.2">
      <c r="A7809">
        <v>7748</v>
      </c>
      <c r="B7809" s="1816">
        <f>'Revenues 9-14'!C261</f>
        <v>0</v>
      </c>
      <c r="D7809" s="2" t="str">
        <f t="shared" si="128"/>
        <v>Error?</v>
      </c>
      <c r="E7809" s="4" t="s">
        <v>1897</v>
      </c>
    </row>
    <row r="7810" spans="1:5" x14ac:dyDescent="0.2">
      <c r="A7810">
        <v>7749</v>
      </c>
      <c r="B7810" s="1816">
        <f>'Revenues 9-14'!D261</f>
        <v>0</v>
      </c>
      <c r="D7810" s="2" t="str">
        <f t="shared" si="128"/>
        <v>Error?</v>
      </c>
      <c r="E7810" s="4" t="s">
        <v>1897</v>
      </c>
    </row>
    <row r="7811" spans="1:5" x14ac:dyDescent="0.2">
      <c r="A7811">
        <v>7750</v>
      </c>
      <c r="B7811" s="1816">
        <f>'Revenues 9-14'!F261</f>
        <v>0</v>
      </c>
      <c r="D7811" s="2" t="str">
        <f t="shared" si="128"/>
        <v>Error?</v>
      </c>
      <c r="E7811" s="4" t="s">
        <v>1897</v>
      </c>
    </row>
    <row r="7812" spans="1:5" x14ac:dyDescent="0.2">
      <c r="A7812">
        <v>7751</v>
      </c>
      <c r="B7812" s="1816">
        <f>'Revenues 9-14'!G261</f>
        <v>0</v>
      </c>
      <c r="D7812" s="2" t="str">
        <f t="shared" si="128"/>
        <v>Error?</v>
      </c>
      <c r="E7812" s="4" t="s">
        <v>1897</v>
      </c>
    </row>
    <row r="7813" spans="1:5" x14ac:dyDescent="0.2">
      <c r="A7813">
        <v>7752</v>
      </c>
      <c r="B7813" s="1816">
        <f>'Revenues 9-14'!C262</f>
        <v>0</v>
      </c>
      <c r="D7813" s="2" t="str">
        <f t="shared" si="128"/>
        <v>Error?</v>
      </c>
      <c r="E7813" s="4" t="s">
        <v>1898</v>
      </c>
    </row>
    <row r="7814" spans="1:5" x14ac:dyDescent="0.2">
      <c r="A7814">
        <v>7753</v>
      </c>
      <c r="B7814" s="1816">
        <f>'Revenues 9-14'!D262</f>
        <v>0</v>
      </c>
      <c r="D7814" s="2" t="str">
        <f t="shared" si="128"/>
        <v>Error?</v>
      </c>
      <c r="E7814" s="4" t="s">
        <v>1898</v>
      </c>
    </row>
    <row r="7815" spans="1:5" x14ac:dyDescent="0.2">
      <c r="A7815">
        <v>7754</v>
      </c>
      <c r="B7815" s="1816">
        <f>'Revenues 9-14'!F262</f>
        <v>0</v>
      </c>
      <c r="D7815" s="2" t="str">
        <f t="shared" si="128"/>
        <v>Error?</v>
      </c>
      <c r="E7815" s="4" t="s">
        <v>1898</v>
      </c>
    </row>
    <row r="7816" spans="1:5" x14ac:dyDescent="0.2">
      <c r="A7816">
        <v>7755</v>
      </c>
      <c r="B7816" s="1816">
        <f>'Revenues 9-14'!G262</f>
        <v>0</v>
      </c>
      <c r="D7816" s="2" t="str">
        <f t="shared" si="128"/>
        <v>Error?</v>
      </c>
      <c r="E7816" s="4" t="s">
        <v>1898</v>
      </c>
    </row>
    <row r="7817" spans="1:5" x14ac:dyDescent="0.2">
      <c r="A7817">
        <v>7756</v>
      </c>
      <c r="B7817" s="1816">
        <f>'Short-Term Long-Term Debt 24'!C49</f>
        <v>14219656</v>
      </c>
      <c r="D7817" s="2" t="str">
        <f t="shared" si="128"/>
        <v>Error?</v>
      </c>
      <c r="E7817" s="4" t="s">
        <v>1962</v>
      </c>
    </row>
    <row r="7818" spans="1:5" x14ac:dyDescent="0.2">
      <c r="A7818">
        <v>7757</v>
      </c>
      <c r="B7818" s="1816">
        <f>'PCTC-OEPP 27-28'!F172</f>
        <v>611235</v>
      </c>
      <c r="D7818" s="2" t="str">
        <f t="shared" si="128"/>
        <v>Error?</v>
      </c>
      <c r="E7818" s="4" t="s">
        <v>1976</v>
      </c>
    </row>
    <row r="7819" spans="1:5" x14ac:dyDescent="0.2">
      <c r="A7819">
        <v>7758</v>
      </c>
      <c r="B7819" s="1816">
        <f>'PCTC-OEPP 27-28'!F173</f>
        <v>34609</v>
      </c>
      <c r="D7819" s="2" t="str">
        <f t="shared" si="128"/>
        <v>Error?</v>
      </c>
      <c r="E7819" s="4" t="s">
        <v>1976</v>
      </c>
    </row>
    <row r="7820" spans="1:5" x14ac:dyDescent="0.2">
      <c r="A7820">
        <v>7759</v>
      </c>
      <c r="B7820" s="1816">
        <f>'ICR Computation 30'!E40</f>
        <v>-933186</v>
      </c>
      <c r="D7820" s="2" t="str">
        <f t="shared" si="128"/>
        <v>Error?</v>
      </c>
    </row>
    <row r="7821" spans="1:5" x14ac:dyDescent="0.2">
      <c r="A7821">
        <v>7760</v>
      </c>
      <c r="B7821" s="1816">
        <f>'ICR Computation 30'!G40</f>
        <v>-933186</v>
      </c>
      <c r="D7821" s="2" t="str">
        <f t="shared" si="128"/>
        <v>Error?</v>
      </c>
    </row>
    <row r="7822" spans="1:5" x14ac:dyDescent="0.2">
      <c r="A7822" s="1">
        <v>7761</v>
      </c>
      <c r="B7822" s="1816">
        <f>'PCTC-OEPP 27-28'!F14</f>
        <v>33181972</v>
      </c>
      <c r="D7822" s="4" t="s">
        <v>1993</v>
      </c>
      <c r="E7822" s="4" t="s">
        <v>1994</v>
      </c>
    </row>
    <row r="7823" spans="1:5" x14ac:dyDescent="0.2">
      <c r="A7823" s="1">
        <v>7762</v>
      </c>
      <c r="B7823" s="1816">
        <f>'PCTC-OEPP 27-28'!F30</f>
        <v>0</v>
      </c>
      <c r="D7823" s="4" t="s">
        <v>1993</v>
      </c>
      <c r="E7823" s="4" t="s">
        <v>1994</v>
      </c>
    </row>
    <row r="7824" spans="1:5" x14ac:dyDescent="0.2">
      <c r="A7824" s="1">
        <v>7763</v>
      </c>
      <c r="B7824" s="1816">
        <f>'PCTC-OEPP 27-28'!F31</f>
        <v>0</v>
      </c>
      <c r="D7824" s="4" t="s">
        <v>1993</v>
      </c>
      <c r="E7824" s="4" t="s">
        <v>1994</v>
      </c>
    </row>
    <row r="7825" spans="1:5" x14ac:dyDescent="0.2">
      <c r="A7825" s="1">
        <v>7764</v>
      </c>
      <c r="B7825" s="1816">
        <f>'PCTC-OEPP 27-28'!F32</f>
        <v>0</v>
      </c>
      <c r="D7825" s="2" t="str">
        <f t="shared" ref="D7825:D7887" si="129">IF(ISBLANK(B7825),"OK",IF(A7825-B7825=0,"OK","Error?"))</f>
        <v>Error?</v>
      </c>
      <c r="E7825" s="4" t="s">
        <v>1994</v>
      </c>
    </row>
    <row r="7826" spans="1:5" x14ac:dyDescent="0.2">
      <c r="A7826">
        <v>7765</v>
      </c>
      <c r="B7826" s="1816">
        <f>'PCTC-OEPP 27-28'!F34</f>
        <v>0</v>
      </c>
      <c r="D7826" s="2" t="str">
        <f t="shared" si="129"/>
        <v>Error?</v>
      </c>
      <c r="E7826" s="4" t="s">
        <v>1994</v>
      </c>
    </row>
    <row r="7827" spans="1:5" x14ac:dyDescent="0.2">
      <c r="A7827">
        <v>7766</v>
      </c>
      <c r="B7827" s="1816">
        <f>'PCTC-OEPP 27-28'!F35</f>
        <v>411492</v>
      </c>
      <c r="D7827" s="2" t="str">
        <f t="shared" si="129"/>
        <v>Error?</v>
      </c>
      <c r="E7827" s="4" t="s">
        <v>1994</v>
      </c>
    </row>
    <row r="7828" spans="1:5" x14ac:dyDescent="0.2">
      <c r="A7828">
        <v>7767</v>
      </c>
      <c r="B7828" s="1816">
        <f>'PCTC-OEPP 27-28'!F36</f>
        <v>0</v>
      </c>
      <c r="D7828" s="2" t="str">
        <f t="shared" si="129"/>
        <v>Error?</v>
      </c>
      <c r="E7828" s="4" t="s">
        <v>1994</v>
      </c>
    </row>
    <row r="7829" spans="1:5" x14ac:dyDescent="0.2">
      <c r="A7829">
        <v>7768</v>
      </c>
      <c r="B7829" s="1816">
        <f>'PCTC-OEPP 27-28'!F37</f>
        <v>0</v>
      </c>
      <c r="D7829" s="2" t="str">
        <f t="shared" si="129"/>
        <v>Error?</v>
      </c>
      <c r="E7829" s="4" t="s">
        <v>1994</v>
      </c>
    </row>
    <row r="7830" spans="1:5" x14ac:dyDescent="0.2">
      <c r="A7830">
        <v>7769</v>
      </c>
      <c r="B7830" s="1816">
        <f>'PCTC-OEPP 27-28'!F38</f>
        <v>30087</v>
      </c>
      <c r="D7830" s="2" t="str">
        <f t="shared" si="129"/>
        <v>Error?</v>
      </c>
      <c r="E7830" s="4" t="s">
        <v>1994</v>
      </c>
    </row>
    <row r="7831" spans="1:5" x14ac:dyDescent="0.2">
      <c r="A7831">
        <v>7770</v>
      </c>
      <c r="B7831" s="1816">
        <f>'PCTC-OEPP 27-28'!F52</f>
        <v>327845</v>
      </c>
      <c r="D7831" s="2" t="str">
        <f t="shared" si="129"/>
        <v>Error?</v>
      </c>
      <c r="E7831" s="4" t="s">
        <v>1994</v>
      </c>
    </row>
    <row r="7832" spans="1:5" x14ac:dyDescent="0.2">
      <c r="A7832">
        <v>7771</v>
      </c>
      <c r="B7832" s="1816">
        <f>'PCTC-OEPP 27-28'!F56</f>
        <v>0</v>
      </c>
      <c r="D7832" s="2" t="str">
        <f t="shared" si="129"/>
        <v>Error?</v>
      </c>
      <c r="E7832" s="4" t="s">
        <v>1994</v>
      </c>
    </row>
    <row r="7833" spans="1:5" x14ac:dyDescent="0.2">
      <c r="A7833">
        <v>7772</v>
      </c>
      <c r="B7833" s="1816">
        <f>'PCTC-OEPP 27-28'!F62</f>
        <v>0</v>
      </c>
      <c r="D7833" s="2" t="str">
        <f t="shared" si="129"/>
        <v>Error?</v>
      </c>
      <c r="E7833" s="4" t="s">
        <v>1994</v>
      </c>
    </row>
    <row r="7834" spans="1:5" x14ac:dyDescent="0.2">
      <c r="A7834">
        <v>7773</v>
      </c>
      <c r="B7834" s="1816">
        <f>'PCTC-OEPP 27-28'!F77</f>
        <v>3612258</v>
      </c>
      <c r="D7834" s="2" t="str">
        <f t="shared" si="129"/>
        <v>Error?</v>
      </c>
      <c r="E7834" s="4" t="s">
        <v>1994</v>
      </c>
    </row>
    <row r="7835" spans="1:5" x14ac:dyDescent="0.2">
      <c r="A7835">
        <v>7774</v>
      </c>
      <c r="B7835" s="1816">
        <f>'PCTC-OEPP 27-28'!F78</f>
        <v>29569714</v>
      </c>
      <c r="D7835" s="2" t="str">
        <f t="shared" si="129"/>
        <v>Error?</v>
      </c>
      <c r="E7835" s="4" t="s">
        <v>1994</v>
      </c>
    </row>
    <row r="7836" spans="1:5" x14ac:dyDescent="0.2">
      <c r="A7836" s="126">
        <v>7775</v>
      </c>
      <c r="B7836" s="1816"/>
      <c r="D7836" s="2" t="str">
        <f t="shared" si="129"/>
        <v>OK</v>
      </c>
      <c r="E7836" s="4" t="s">
        <v>1996</v>
      </c>
    </row>
    <row r="7837" spans="1:5" x14ac:dyDescent="0.2">
      <c r="A7837">
        <v>7776</v>
      </c>
      <c r="B7837" s="1816">
        <f>'PCTC-OEPP 27-28'!F80</f>
        <v>16629.949946572186</v>
      </c>
      <c r="D7837" s="2" t="str">
        <f t="shared" si="129"/>
        <v>Error?</v>
      </c>
      <c r="E7837" s="4" t="s">
        <v>1994</v>
      </c>
    </row>
    <row r="7838" spans="1:5" x14ac:dyDescent="0.2">
      <c r="A7838">
        <v>7777</v>
      </c>
      <c r="B7838" s="1816">
        <f>'PCTC-OEPP 27-28'!F96</f>
        <v>719488</v>
      </c>
      <c r="D7838" s="2" t="str">
        <f t="shared" si="129"/>
        <v>Error?</v>
      </c>
      <c r="E7838" s="4" t="s">
        <v>1994</v>
      </c>
    </row>
    <row r="7839" spans="1:5" x14ac:dyDescent="0.2">
      <c r="A7839">
        <v>7778</v>
      </c>
      <c r="B7839" s="1816">
        <f>'PCTC-OEPP 27-28'!F102</f>
        <v>36881</v>
      </c>
      <c r="D7839" s="2" t="str">
        <f t="shared" si="129"/>
        <v>Error?</v>
      </c>
      <c r="E7839" s="4" t="s">
        <v>1994</v>
      </c>
    </row>
    <row r="7840" spans="1:5" x14ac:dyDescent="0.2">
      <c r="A7840">
        <v>7779</v>
      </c>
      <c r="B7840" s="1816">
        <f>'PCTC-OEPP 27-28'!F103</f>
        <v>0</v>
      </c>
      <c r="D7840" s="2" t="str">
        <f t="shared" si="129"/>
        <v>Error?</v>
      </c>
      <c r="E7840" s="4" t="s">
        <v>1994</v>
      </c>
    </row>
    <row r="7841" spans="1:5" x14ac:dyDescent="0.2">
      <c r="A7841">
        <v>7780</v>
      </c>
      <c r="B7841" s="1816">
        <f>'PCTC-OEPP 27-28'!F104</f>
        <v>289144</v>
      </c>
      <c r="D7841" s="2" t="str">
        <f t="shared" si="129"/>
        <v>Error?</v>
      </c>
      <c r="E7841" s="4" t="s">
        <v>1994</v>
      </c>
    </row>
    <row r="7842" spans="1:5" x14ac:dyDescent="0.2">
      <c r="A7842">
        <v>7781</v>
      </c>
      <c r="B7842" s="1816">
        <f>'PCTC-OEPP 27-28'!F106</f>
        <v>82312</v>
      </c>
      <c r="D7842" s="2" t="str">
        <f t="shared" si="129"/>
        <v>Error?</v>
      </c>
      <c r="E7842" s="4" t="s">
        <v>1994</v>
      </c>
    </row>
    <row r="7843" spans="1:5" x14ac:dyDescent="0.2">
      <c r="A7843">
        <v>7782</v>
      </c>
      <c r="B7843" s="1816">
        <f>'PCTC-OEPP 27-28'!F107</f>
        <v>0</v>
      </c>
      <c r="D7843" s="2" t="str">
        <f t="shared" si="129"/>
        <v>Error?</v>
      </c>
      <c r="E7843" s="4" t="s">
        <v>1994</v>
      </c>
    </row>
    <row r="7844" spans="1:5" x14ac:dyDescent="0.2">
      <c r="A7844">
        <v>7783</v>
      </c>
      <c r="B7844" s="1816">
        <f>'PCTC-OEPP 27-28'!F108</f>
        <v>0</v>
      </c>
      <c r="D7844" s="2" t="str">
        <f t="shared" si="129"/>
        <v>Error?</v>
      </c>
      <c r="E7844" s="4" t="s">
        <v>1994</v>
      </c>
    </row>
    <row r="7845" spans="1:5" x14ac:dyDescent="0.2">
      <c r="A7845">
        <v>7784</v>
      </c>
      <c r="B7845" s="1816">
        <f>'PCTC-OEPP 27-28'!F110</f>
        <v>0</v>
      </c>
      <c r="D7845" s="2" t="str">
        <f t="shared" si="129"/>
        <v>Error?</v>
      </c>
      <c r="E7845" s="4" t="s">
        <v>1994</v>
      </c>
    </row>
    <row r="7846" spans="1:5" x14ac:dyDescent="0.2">
      <c r="A7846">
        <v>7785</v>
      </c>
      <c r="B7846" s="1816">
        <f>'PCTC-OEPP 27-28'!F111</f>
        <v>0</v>
      </c>
      <c r="D7846" s="2" t="str">
        <f t="shared" si="129"/>
        <v>Error?</v>
      </c>
      <c r="E7846" s="4" t="s">
        <v>1994</v>
      </c>
    </row>
    <row r="7847" spans="1:5" x14ac:dyDescent="0.2">
      <c r="A7847">
        <v>7786</v>
      </c>
      <c r="B7847" s="1816">
        <f>'PCTC-OEPP 27-28'!F112</f>
        <v>797091</v>
      </c>
      <c r="D7847" s="2" t="str">
        <f t="shared" si="129"/>
        <v>Error?</v>
      </c>
      <c r="E7847" s="4" t="s">
        <v>1994</v>
      </c>
    </row>
    <row r="7848" spans="1:5" x14ac:dyDescent="0.2">
      <c r="A7848">
        <v>7787</v>
      </c>
      <c r="B7848" s="1816">
        <f>'PCTC-OEPP 27-28'!F114</f>
        <v>0</v>
      </c>
      <c r="D7848" s="2" t="str">
        <f t="shared" si="129"/>
        <v>Error?</v>
      </c>
      <c r="E7848" s="4" t="s">
        <v>1994</v>
      </c>
    </row>
    <row r="7849" spans="1:5" x14ac:dyDescent="0.2">
      <c r="A7849">
        <v>7788</v>
      </c>
      <c r="B7849" s="1816">
        <f>'PCTC-OEPP 27-28'!F115</f>
        <v>0</v>
      </c>
      <c r="D7849" s="2" t="str">
        <f t="shared" si="129"/>
        <v>Error?</v>
      </c>
      <c r="E7849" s="4" t="s">
        <v>1994</v>
      </c>
    </row>
    <row r="7850" spans="1:5" x14ac:dyDescent="0.2">
      <c r="A7850">
        <v>7789</v>
      </c>
      <c r="B7850" s="1816">
        <f>'PCTC-OEPP 27-28'!F116</f>
        <v>0</v>
      </c>
      <c r="D7850" s="2" t="str">
        <f t="shared" si="129"/>
        <v>Error?</v>
      </c>
      <c r="E7850" s="4" t="s">
        <v>1994</v>
      </c>
    </row>
    <row r="7851" spans="1:5" x14ac:dyDescent="0.2">
      <c r="A7851">
        <v>7790</v>
      </c>
      <c r="B7851" s="1816">
        <f>'PCTC-OEPP 27-28'!F117</f>
        <v>0</v>
      </c>
      <c r="D7851" s="2" t="str">
        <f t="shared" si="129"/>
        <v>Error?</v>
      </c>
      <c r="E7851" s="4" t="s">
        <v>1994</v>
      </c>
    </row>
    <row r="7852" spans="1:5" x14ac:dyDescent="0.2">
      <c r="A7852">
        <v>7791</v>
      </c>
      <c r="B7852" s="1816">
        <f>'PCTC-OEPP 27-28'!F118</f>
        <v>0</v>
      </c>
      <c r="D7852" s="2" t="str">
        <f t="shared" si="129"/>
        <v>Error?</v>
      </c>
      <c r="E7852" s="4" t="s">
        <v>1994</v>
      </c>
    </row>
    <row r="7853" spans="1:5" x14ac:dyDescent="0.2">
      <c r="A7853">
        <v>7792</v>
      </c>
      <c r="B7853" s="1816">
        <f>'PCTC-OEPP 27-28'!F119</f>
        <v>0</v>
      </c>
      <c r="D7853" s="2" t="str">
        <f t="shared" si="129"/>
        <v>Error?</v>
      </c>
      <c r="E7853" s="4" t="s">
        <v>1994</v>
      </c>
    </row>
    <row r="7854" spans="1:5" x14ac:dyDescent="0.2">
      <c r="A7854">
        <v>7793</v>
      </c>
      <c r="B7854" s="1816">
        <f>'PCTC-OEPP 27-28'!F120</f>
        <v>0</v>
      </c>
      <c r="D7854" s="2" t="str">
        <f t="shared" si="129"/>
        <v>Error?</v>
      </c>
      <c r="E7854" s="4" t="s">
        <v>1994</v>
      </c>
    </row>
    <row r="7855" spans="1:5" x14ac:dyDescent="0.2">
      <c r="A7855">
        <v>7794</v>
      </c>
      <c r="B7855" s="1816">
        <f>'PCTC-OEPP 27-28'!F122</f>
        <v>125223</v>
      </c>
      <c r="D7855" s="2" t="str">
        <f t="shared" si="129"/>
        <v>Error?</v>
      </c>
      <c r="E7855" s="4" t="s">
        <v>1994</v>
      </c>
    </row>
    <row r="7856" spans="1:5" x14ac:dyDescent="0.2">
      <c r="A7856">
        <v>7795</v>
      </c>
      <c r="B7856" s="1816">
        <f>'PCTC-OEPP 27-28'!F124</f>
        <v>0</v>
      </c>
      <c r="D7856" s="2" t="str">
        <f t="shared" si="129"/>
        <v>Error?</v>
      </c>
      <c r="E7856" s="4" t="s">
        <v>1994</v>
      </c>
    </row>
    <row r="7857" spans="1:5" x14ac:dyDescent="0.2">
      <c r="A7857">
        <v>7796</v>
      </c>
      <c r="B7857" s="1816">
        <f>'PCTC-OEPP 27-28'!F125</f>
        <v>0</v>
      </c>
      <c r="D7857" s="2" t="str">
        <f t="shared" si="129"/>
        <v>Error?</v>
      </c>
      <c r="E7857" s="4" t="s">
        <v>1994</v>
      </c>
    </row>
    <row r="7858" spans="1:5" x14ac:dyDescent="0.2">
      <c r="A7858">
        <v>7797</v>
      </c>
      <c r="B7858" s="1816">
        <f>'PCTC-OEPP 27-28'!F126</f>
        <v>13124</v>
      </c>
      <c r="D7858" s="2" t="str">
        <f t="shared" si="129"/>
        <v>Error?</v>
      </c>
      <c r="E7858" s="4" t="s">
        <v>1994</v>
      </c>
    </row>
    <row r="7859" spans="1:5" x14ac:dyDescent="0.2">
      <c r="A7859">
        <v>7798</v>
      </c>
      <c r="B7859" s="1816">
        <f>'PCTC-OEPP 27-28'!F127</f>
        <v>20995</v>
      </c>
      <c r="D7859" s="2" t="str">
        <f t="shared" si="129"/>
        <v>Error?</v>
      </c>
      <c r="E7859" s="4" t="s">
        <v>1994</v>
      </c>
    </row>
    <row r="7860" spans="1:5" x14ac:dyDescent="0.2">
      <c r="A7860">
        <v>7799</v>
      </c>
      <c r="B7860" s="1816">
        <f>'PCTC-OEPP 27-28'!F128</f>
        <v>0</v>
      </c>
      <c r="D7860" s="2" t="str">
        <f t="shared" si="129"/>
        <v>Error?</v>
      </c>
      <c r="E7860" s="4" t="s">
        <v>1994</v>
      </c>
    </row>
    <row r="7861" spans="1:5" x14ac:dyDescent="0.2">
      <c r="A7861">
        <v>7800</v>
      </c>
      <c r="B7861" s="1816">
        <f>'PCTC-OEPP 27-28'!F129</f>
        <v>326401</v>
      </c>
      <c r="D7861" s="2" t="str">
        <f t="shared" si="129"/>
        <v>Error?</v>
      </c>
      <c r="E7861" s="4" t="s">
        <v>1994</v>
      </c>
    </row>
    <row r="7862" spans="1:5" x14ac:dyDescent="0.2">
      <c r="A7862">
        <v>7801</v>
      </c>
      <c r="B7862" s="1816">
        <f>'PCTC-OEPP 27-28'!F130</f>
        <v>0</v>
      </c>
      <c r="D7862" s="2" t="str">
        <f t="shared" si="129"/>
        <v>Error?</v>
      </c>
      <c r="E7862" s="4" t="s">
        <v>1994</v>
      </c>
    </row>
    <row r="7863" spans="1:5" x14ac:dyDescent="0.2">
      <c r="A7863">
        <v>7802</v>
      </c>
      <c r="B7863" s="1816">
        <f>'PCTC-OEPP 27-28'!F131</f>
        <v>0</v>
      </c>
      <c r="D7863" s="2" t="str">
        <f t="shared" si="129"/>
        <v>Error?</v>
      </c>
      <c r="E7863" s="4" t="s">
        <v>1994</v>
      </c>
    </row>
    <row r="7864" spans="1:5" x14ac:dyDescent="0.2">
      <c r="A7864">
        <v>7803</v>
      </c>
      <c r="B7864" s="1816">
        <f>'PCTC-OEPP 27-28'!F132</f>
        <v>0</v>
      </c>
      <c r="D7864" s="2" t="str">
        <f t="shared" si="129"/>
        <v>Error?</v>
      </c>
      <c r="E7864" s="4" t="s">
        <v>1994</v>
      </c>
    </row>
    <row r="7865" spans="1:5" x14ac:dyDescent="0.2">
      <c r="A7865">
        <v>7804</v>
      </c>
      <c r="B7865" s="1816">
        <f>'PCTC-OEPP 27-28'!F133</f>
        <v>0</v>
      </c>
      <c r="D7865" s="2" t="str">
        <f t="shared" si="129"/>
        <v>Error?</v>
      </c>
      <c r="E7865" s="4" t="s">
        <v>1994</v>
      </c>
    </row>
    <row r="7866" spans="1:5" x14ac:dyDescent="0.2">
      <c r="A7866">
        <v>7805</v>
      </c>
      <c r="B7866" s="1816">
        <f>'PCTC-OEPP 27-28'!F158</f>
        <v>0</v>
      </c>
      <c r="D7866" s="2" t="str">
        <f t="shared" si="129"/>
        <v>Error?</v>
      </c>
      <c r="E7866" s="4" t="s">
        <v>1994</v>
      </c>
    </row>
    <row r="7867" spans="1:5" x14ac:dyDescent="0.2">
      <c r="A7867">
        <v>7806</v>
      </c>
      <c r="B7867" s="1816">
        <f>'PCTC-OEPP 27-28'!F160</f>
        <v>0</v>
      </c>
      <c r="D7867" s="2" t="str">
        <f t="shared" si="129"/>
        <v>Error?</v>
      </c>
      <c r="E7867" s="4" t="s">
        <v>1994</v>
      </c>
    </row>
    <row r="7868" spans="1:5" x14ac:dyDescent="0.2">
      <c r="A7868">
        <v>7807</v>
      </c>
      <c r="B7868" s="1816">
        <f>'PCTC-OEPP 27-28'!F161</f>
        <v>0</v>
      </c>
      <c r="D7868" s="2" t="str">
        <f t="shared" si="129"/>
        <v>Error?</v>
      </c>
      <c r="E7868" s="4" t="s">
        <v>1994</v>
      </c>
    </row>
    <row r="7869" spans="1:5" x14ac:dyDescent="0.2">
      <c r="A7869">
        <v>7808</v>
      </c>
      <c r="B7869" s="1816">
        <f>'PCTC-OEPP 27-28'!F162</f>
        <v>10882</v>
      </c>
      <c r="D7869" s="2" t="str">
        <f t="shared" si="129"/>
        <v>Error?</v>
      </c>
      <c r="E7869" s="4" t="s">
        <v>1994</v>
      </c>
    </row>
    <row r="7870" spans="1:5" x14ac:dyDescent="0.2">
      <c r="A7870">
        <v>7809</v>
      </c>
      <c r="B7870" s="1816">
        <f>'PCTC-OEPP 27-28'!F163</f>
        <v>0</v>
      </c>
      <c r="D7870" s="2" t="str">
        <f t="shared" si="129"/>
        <v>Error?</v>
      </c>
      <c r="E7870" s="4" t="s">
        <v>1994</v>
      </c>
    </row>
    <row r="7871" spans="1:5" x14ac:dyDescent="0.2">
      <c r="A7871">
        <v>7810</v>
      </c>
      <c r="B7871" s="1816">
        <f>'PCTC-OEPP 27-28'!F164</f>
        <v>0</v>
      </c>
      <c r="D7871" s="2" t="str">
        <f t="shared" si="129"/>
        <v>Error?</v>
      </c>
      <c r="E7871" s="4" t="s">
        <v>1994</v>
      </c>
    </row>
    <row r="7872" spans="1:5" x14ac:dyDescent="0.2">
      <c r="A7872">
        <v>7811</v>
      </c>
      <c r="B7872" s="1816">
        <f>'PCTC-OEPP 27-28'!F165</f>
        <v>39186</v>
      </c>
      <c r="D7872" s="2" t="str">
        <f t="shared" si="129"/>
        <v>Error?</v>
      </c>
      <c r="E7872" s="4" t="s">
        <v>1994</v>
      </c>
    </row>
    <row r="7873" spans="1:5" x14ac:dyDescent="0.2">
      <c r="A7873">
        <v>7812</v>
      </c>
      <c r="B7873" s="1816">
        <f>'PCTC-OEPP 27-28'!F166</f>
        <v>0</v>
      </c>
      <c r="D7873" s="2" t="str">
        <f t="shared" si="129"/>
        <v>Error?</v>
      </c>
      <c r="E7873" s="4" t="s">
        <v>1994</v>
      </c>
    </row>
    <row r="7874" spans="1:5" x14ac:dyDescent="0.2">
      <c r="A7874">
        <v>7813</v>
      </c>
      <c r="B7874" s="1816">
        <f>'PCTC-OEPP 27-28'!F169</f>
        <v>34933</v>
      </c>
      <c r="D7874" s="2" t="str">
        <f t="shared" si="129"/>
        <v>Error?</v>
      </c>
      <c r="E7874" s="4" t="s">
        <v>1994</v>
      </c>
    </row>
    <row r="7875" spans="1:5" x14ac:dyDescent="0.2">
      <c r="A7875">
        <v>7814</v>
      </c>
      <c r="B7875" s="1816">
        <f>'PCTC-OEPP 27-28'!F170</f>
        <v>0</v>
      </c>
      <c r="D7875" s="2" t="str">
        <f t="shared" si="129"/>
        <v>Error?</v>
      </c>
      <c r="E7875" s="4" t="s">
        <v>1994</v>
      </c>
    </row>
    <row r="7876" spans="1:5" x14ac:dyDescent="0.2">
      <c r="A7876">
        <v>7815</v>
      </c>
      <c r="B7876" s="1816">
        <f>'PCTC-OEPP 27-28'!F171</f>
        <v>0</v>
      </c>
      <c r="D7876" s="2" t="str">
        <f t="shared" si="129"/>
        <v>Error?</v>
      </c>
      <c r="E7876" s="4" t="s">
        <v>1994</v>
      </c>
    </row>
    <row r="7877" spans="1:5" x14ac:dyDescent="0.2">
      <c r="A7877">
        <v>7816</v>
      </c>
      <c r="B7877" s="1816">
        <f>'PCTC-OEPP 27-28'!F175</f>
        <v>3331606</v>
      </c>
      <c r="D7877" s="2" t="str">
        <f t="shared" si="129"/>
        <v>Error?</v>
      </c>
      <c r="E7877" s="4" t="s">
        <v>1994</v>
      </c>
    </row>
    <row r="7878" spans="1:5" x14ac:dyDescent="0.2">
      <c r="A7878">
        <v>7817</v>
      </c>
      <c r="B7878" s="1816">
        <f>'PCTC-OEPP 27-28'!F176</f>
        <v>26238108</v>
      </c>
      <c r="D7878" s="2" t="str">
        <f t="shared" si="129"/>
        <v>Error?</v>
      </c>
      <c r="E7878" s="4" t="s">
        <v>1994</v>
      </c>
    </row>
    <row r="7879" spans="1:5" x14ac:dyDescent="0.2">
      <c r="A7879">
        <v>7818</v>
      </c>
      <c r="B7879" s="1816">
        <f>'PCTC-OEPP 27-28'!F178</f>
        <v>27936100.699999999</v>
      </c>
      <c r="D7879" s="2" t="str">
        <f t="shared" si="129"/>
        <v>Error?</v>
      </c>
      <c r="E7879" s="4" t="s">
        <v>1994</v>
      </c>
    </row>
    <row r="7880" spans="1:5" x14ac:dyDescent="0.2">
      <c r="A7880">
        <v>7819</v>
      </c>
      <c r="B7880" s="1816">
        <f>'PCTC-OEPP 27-28'!F180</f>
        <v>15711.208987121085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33"/>
    <pageSetUpPr fitToPage="1"/>
  </sheetPr>
  <dimension ref="A1:AC59"/>
  <sheetViews>
    <sheetView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3" t="s">
        <v>1179</v>
      </c>
      <c r="B2" s="2543"/>
      <c r="C2" s="2543"/>
      <c r="D2" s="2543"/>
      <c r="E2" s="2543"/>
      <c r="F2" s="2543"/>
      <c r="G2" s="2543"/>
      <c r="H2" s="2543"/>
      <c r="I2" s="2543"/>
      <c r="J2" s="2543"/>
      <c r="K2" s="2543"/>
      <c r="L2" s="2543"/>
    </row>
    <row r="3" spans="1:29" ht="13.5" customHeight="1" x14ac:dyDescent="0.2">
      <c r="A3" s="2575" t="s">
        <v>1178</v>
      </c>
      <c r="B3" s="2575"/>
      <c r="C3" s="2575"/>
      <c r="D3" s="2575"/>
      <c r="E3" s="2575"/>
      <c r="F3" s="2575"/>
      <c r="G3" s="2575"/>
      <c r="H3" s="2575"/>
      <c r="I3" s="2575"/>
      <c r="J3" s="2575"/>
      <c r="K3" s="2575"/>
      <c r="L3" s="2575"/>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1177</v>
      </c>
      <c r="B6" s="957"/>
      <c r="C6" s="958"/>
      <c r="D6" s="958"/>
      <c r="E6" s="959" t="s">
        <v>1176</v>
      </c>
      <c r="F6" s="960"/>
      <c r="G6" s="961" t="s">
        <v>1175</v>
      </c>
      <c r="H6" s="958"/>
      <c r="I6" s="958"/>
      <c r="J6" s="958"/>
      <c r="K6" s="958"/>
      <c r="L6" s="962"/>
      <c r="V6" s="955"/>
      <c r="W6" s="955"/>
      <c r="X6" s="955"/>
      <c r="Y6" s="955"/>
      <c r="Z6" s="955"/>
      <c r="AA6" s="955"/>
      <c r="AB6" s="955"/>
      <c r="AC6" s="955"/>
    </row>
    <row r="7" spans="1:29" ht="16.5" customHeight="1" x14ac:dyDescent="0.2">
      <c r="A7" s="2566" t="str">
        <f>COVER!A17</f>
        <v xml:space="preserve">   Lincolnshire-Prairieview SD 103</v>
      </c>
      <c r="B7" s="2567"/>
      <c r="C7" s="2567"/>
      <c r="D7" s="2568"/>
      <c r="E7" s="2569">
        <f>COVER!A13</f>
        <v>34049103002</v>
      </c>
      <c r="F7" s="2570"/>
      <c r="G7" s="2576" t="str">
        <f>COVER!T23</f>
        <v>066-005142</v>
      </c>
      <c r="H7" s="2577"/>
      <c r="I7" s="2577"/>
      <c r="J7" s="2577"/>
      <c r="K7" s="2577"/>
      <c r="L7" s="2578"/>
    </row>
    <row r="8" spans="1:29" ht="13.5" customHeight="1" x14ac:dyDescent="0.2">
      <c r="A8" s="956" t="s">
        <v>1496</v>
      </c>
      <c r="B8" s="957"/>
      <c r="C8" s="958"/>
      <c r="D8" s="958"/>
      <c r="E8" s="963"/>
      <c r="F8" s="962"/>
      <c r="G8" s="964" t="s">
        <v>1174</v>
      </c>
      <c r="H8" s="965"/>
      <c r="I8" s="965"/>
      <c r="J8" s="965"/>
      <c r="K8" s="965"/>
      <c r="L8" s="966"/>
    </row>
    <row r="9" spans="1:29" ht="13.5" customHeight="1" x14ac:dyDescent="0.2">
      <c r="A9" s="2579"/>
      <c r="B9" s="2580"/>
      <c r="C9" s="2580"/>
      <c r="D9" s="2580"/>
      <c r="E9" s="2580"/>
      <c r="F9" s="2581"/>
      <c r="G9" s="2549" t="str">
        <f>COVER!T13</f>
        <v>EDER, CASELLA &amp; CO.</v>
      </c>
      <c r="H9" s="2582"/>
      <c r="I9" s="2582"/>
      <c r="J9" s="2582"/>
      <c r="K9" s="2582"/>
      <c r="L9" s="2583"/>
    </row>
    <row r="10" spans="1:29" ht="13.5" customHeight="1" x14ac:dyDescent="0.2">
      <c r="A10" s="2555">
        <f>COVER!A38</f>
        <v>0</v>
      </c>
      <c r="B10" s="2556"/>
      <c r="C10" s="2556"/>
      <c r="D10" s="2556"/>
      <c r="E10" s="2556"/>
      <c r="F10" s="2557"/>
      <c r="G10" s="2549" t="str">
        <f>COVER!T17</f>
        <v>5400 WEST ELM STREET, SUITE 203</v>
      </c>
      <c r="H10" s="2550"/>
      <c r="I10" s="2550"/>
      <c r="J10" s="2550"/>
      <c r="K10" s="2550"/>
      <c r="L10" s="2551"/>
    </row>
    <row r="11" spans="1:29" ht="13.5" customHeight="1" x14ac:dyDescent="0.2">
      <c r="A11" s="956" t="s">
        <v>1498</v>
      </c>
      <c r="B11" s="957"/>
      <c r="C11" s="958"/>
      <c r="D11" s="963"/>
      <c r="E11" s="958"/>
      <c r="F11" s="962"/>
      <c r="G11" s="2549" t="str">
        <f>COVER!T19</f>
        <v>MCHENRY</v>
      </c>
      <c r="H11" s="2550"/>
      <c r="I11" s="2550"/>
      <c r="J11" s="2550"/>
      <c r="K11" s="2550"/>
      <c r="L11" s="2551"/>
    </row>
    <row r="12" spans="1:29" ht="13.5" customHeight="1" x14ac:dyDescent="0.2">
      <c r="A12" s="2558" t="s">
        <v>1497</v>
      </c>
      <c r="B12" s="2559"/>
      <c r="C12" s="2559"/>
      <c r="D12" s="2559"/>
      <c r="E12" s="2559"/>
      <c r="F12" s="2560"/>
      <c r="G12" s="2552"/>
      <c r="H12" s="2553"/>
      <c r="I12" s="2553"/>
      <c r="J12" s="2553"/>
      <c r="K12" s="2553"/>
      <c r="L12" s="2554"/>
    </row>
    <row r="13" spans="1:29" ht="13.5" customHeight="1" x14ac:dyDescent="0.2">
      <c r="A13" s="2549"/>
      <c r="B13" s="2550"/>
      <c r="C13" s="2550"/>
      <c r="D13" s="2550"/>
      <c r="E13" s="2550"/>
      <c r="F13" s="2551"/>
      <c r="G13" s="2544" t="s">
        <v>1499</v>
      </c>
      <c r="H13" s="2545"/>
      <c r="I13" s="2561" t="str">
        <f>COVER!T25</f>
        <v>CPAS@EDERCASELLA.COM</v>
      </c>
      <c r="J13" s="2562"/>
      <c r="K13" s="2562"/>
      <c r="L13" s="2563"/>
    </row>
    <row r="14" spans="1:29" ht="13.5" customHeight="1" x14ac:dyDescent="0.2">
      <c r="A14" s="2549" t="str">
        <f>COVER!A19</f>
        <v>1370 RIVERWOODS RD</v>
      </c>
      <c r="B14" s="2550"/>
      <c r="C14" s="2550"/>
      <c r="D14" s="2550"/>
      <c r="E14" s="2550"/>
      <c r="F14" s="2551"/>
      <c r="G14" s="967" t="s">
        <v>1173</v>
      </c>
      <c r="H14" s="965"/>
      <c r="I14" s="965"/>
      <c r="J14" s="965"/>
      <c r="K14" s="965"/>
      <c r="L14" s="966"/>
    </row>
    <row r="15" spans="1:29" ht="13.5" customHeight="1" x14ac:dyDescent="0.2">
      <c r="A15" s="2549" t="str">
        <f>COVER!A21</f>
        <v>LINCOLNSHIRE</v>
      </c>
      <c r="B15" s="2550"/>
      <c r="C15" s="2550"/>
      <c r="D15" s="2550"/>
      <c r="E15" s="2550"/>
      <c r="F15" s="2551"/>
      <c r="G15" s="2546" t="str">
        <f>COVER!T15</f>
        <v>KEVIN SMITH</v>
      </c>
      <c r="H15" s="2547"/>
      <c r="I15" s="2547"/>
      <c r="J15" s="2547"/>
      <c r="K15" s="2547"/>
      <c r="L15" s="2548"/>
    </row>
    <row r="16" spans="1:29" ht="12.2" customHeight="1" x14ac:dyDescent="0.2">
      <c r="A16" s="2572">
        <f>COVER!A25</f>
        <v>60069</v>
      </c>
      <c r="B16" s="2573"/>
      <c r="C16" s="2573"/>
      <c r="D16" s="2573"/>
      <c r="E16" s="2573"/>
      <c r="F16" s="2574"/>
      <c r="G16" s="2584"/>
      <c r="H16" s="2585"/>
      <c r="I16" s="2585"/>
      <c r="J16" s="2585"/>
      <c r="K16" s="2585"/>
      <c r="L16" s="2586"/>
    </row>
    <row r="17" spans="1:13" ht="12.2" customHeight="1" x14ac:dyDescent="0.2">
      <c r="A17" s="2587"/>
      <c r="B17" s="2573"/>
      <c r="C17" s="2573"/>
      <c r="D17" s="2573"/>
      <c r="E17" s="2573"/>
      <c r="F17" s="2574"/>
      <c r="G17" s="967" t="s">
        <v>1172</v>
      </c>
      <c r="H17" s="965"/>
      <c r="I17" s="965"/>
      <c r="J17" s="965"/>
      <c r="K17" s="969" t="s">
        <v>1171</v>
      </c>
      <c r="L17" s="962"/>
      <c r="M17" s="955"/>
    </row>
    <row r="18" spans="1:13" ht="12.2" customHeight="1" x14ac:dyDescent="0.2">
      <c r="A18" s="2555"/>
      <c r="B18" s="2556"/>
      <c r="C18" s="2556"/>
      <c r="D18" s="2556"/>
      <c r="E18" s="2556"/>
      <c r="F18" s="2557"/>
      <c r="G18" s="2566" t="str">
        <f>COVER!T21</f>
        <v>815-344-1300</v>
      </c>
      <c r="H18" s="2567"/>
      <c r="I18" s="2567"/>
      <c r="J18" s="2567"/>
      <c r="K18" s="2566" t="str">
        <f>COVER!X21</f>
        <v>815-344-1320</v>
      </c>
      <c r="L18" s="257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1157</v>
      </c>
      <c r="K20" s="948" t="s">
        <v>1157</v>
      </c>
    </row>
    <row r="21" spans="1:13" ht="12.2" customHeight="1" x14ac:dyDescent="0.2">
      <c r="A21" s="971" t="s">
        <v>1672</v>
      </c>
    </row>
    <row r="22" spans="1:13" ht="12.2" customHeight="1" x14ac:dyDescent="0.2">
      <c r="A22" s="972"/>
    </row>
    <row r="23" spans="1:13" ht="12.2" customHeight="1" x14ac:dyDescent="0.2">
      <c r="A23" s="972"/>
      <c r="B23" s="973"/>
      <c r="C23" s="974" t="s">
        <v>1170</v>
      </c>
    </row>
    <row r="24" spans="1:13" ht="10.15" customHeight="1" x14ac:dyDescent="0.2">
      <c r="A24" s="972"/>
      <c r="C24" s="974" t="s">
        <v>1169</v>
      </c>
    </row>
    <row r="25" spans="1:13" ht="9" customHeight="1" x14ac:dyDescent="0.2">
      <c r="B25" s="975" t="s">
        <v>1157</v>
      </c>
      <c r="C25" s="976"/>
    </row>
    <row r="26" spans="1:13" s="970" customFormat="1" ht="12.2" customHeight="1" x14ac:dyDescent="0.2">
      <c r="B26" s="973"/>
      <c r="C26" s="974" t="s">
        <v>1673</v>
      </c>
    </row>
    <row r="27" spans="1:13" s="970" customFormat="1" ht="9" customHeight="1" x14ac:dyDescent="0.2">
      <c r="B27" s="975"/>
      <c r="C27" s="974"/>
    </row>
    <row r="28" spans="1:13" s="970" customFormat="1" ht="12.2" customHeight="1" x14ac:dyDescent="0.2">
      <c r="A28" s="977"/>
      <c r="B28" s="973"/>
      <c r="C28" s="974" t="s">
        <v>1674</v>
      </c>
    </row>
    <row r="29" spans="1:13" s="970" customFormat="1" ht="9" customHeight="1" x14ac:dyDescent="0.2">
      <c r="A29" s="977"/>
      <c r="B29" s="975"/>
      <c r="C29" s="974"/>
    </row>
    <row r="30" spans="1:13" s="970" customFormat="1" ht="12.2" customHeight="1" x14ac:dyDescent="0.2">
      <c r="B30" s="973"/>
      <c r="C30" s="974" t="s">
        <v>1541</v>
      </c>
      <c r="D30" s="968"/>
      <c r="E30" s="968"/>
    </row>
    <row r="31" spans="1:13" s="970" customFormat="1" ht="9" customHeight="1" x14ac:dyDescent="0.2">
      <c r="B31" s="975"/>
      <c r="C31" s="974"/>
      <c r="D31" s="968"/>
      <c r="E31" s="968"/>
    </row>
    <row r="32" spans="1:13" s="970" customFormat="1" ht="12.2" customHeight="1" x14ac:dyDescent="0.2">
      <c r="B32" s="973"/>
      <c r="C32" s="974" t="s">
        <v>1542</v>
      </c>
      <c r="D32" s="968"/>
      <c r="E32" s="968"/>
    </row>
    <row r="33" spans="1:8" s="970" customFormat="1" ht="10.9" customHeight="1" x14ac:dyDescent="0.2">
      <c r="B33" s="975"/>
      <c r="C33" s="978" t="s">
        <v>1675</v>
      </c>
      <c r="D33" s="968"/>
      <c r="E33" s="968"/>
    </row>
    <row r="34" spans="1:8" ht="9" customHeight="1" x14ac:dyDescent="0.2">
      <c r="B34" s="975"/>
      <c r="C34" s="978"/>
    </row>
    <row r="35" spans="1:8" s="970" customFormat="1" ht="13.5" customHeight="1" x14ac:dyDescent="0.2">
      <c r="B35" s="973"/>
      <c r="C35" s="974" t="s">
        <v>1543</v>
      </c>
    </row>
    <row r="36" spans="1:8" s="970" customFormat="1" ht="10.9" customHeight="1" x14ac:dyDescent="0.2">
      <c r="B36" s="975"/>
      <c r="C36" s="978" t="s">
        <v>1544</v>
      </c>
    </row>
    <row r="37" spans="1:8" ht="9" customHeight="1" x14ac:dyDescent="0.2">
      <c r="B37" s="975"/>
      <c r="C37" s="978"/>
    </row>
    <row r="38" spans="1:8" s="970" customFormat="1" ht="12.2" customHeight="1" x14ac:dyDescent="0.2">
      <c r="B38" s="973"/>
      <c r="C38" s="974" t="s">
        <v>1545</v>
      </c>
    </row>
    <row r="39" spans="1:8" ht="9" customHeight="1" x14ac:dyDescent="0.2">
      <c r="B39" s="975"/>
      <c r="C39" s="978"/>
    </row>
    <row r="40" spans="1:8" s="970" customFormat="1" ht="13.5" customHeight="1" x14ac:dyDescent="0.2">
      <c r="B40" s="973"/>
      <c r="C40" s="974" t="s">
        <v>1546</v>
      </c>
    </row>
    <row r="41" spans="1:8" ht="9" customHeight="1" x14ac:dyDescent="0.2">
      <c r="A41" s="979"/>
      <c r="B41" s="975"/>
      <c r="C41" s="978"/>
    </row>
    <row r="42" spans="1:8" s="970" customFormat="1" ht="13.5" customHeight="1" x14ac:dyDescent="0.2">
      <c r="B42" s="973"/>
      <c r="C42" s="974" t="s">
        <v>1805</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1168</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1547</v>
      </c>
      <c r="D46" s="968"/>
      <c r="E46" s="968"/>
      <c r="F46" s="968"/>
      <c r="G46" s="968"/>
      <c r="H46" s="968"/>
    </row>
    <row r="47" spans="1:8" ht="9" customHeight="1" x14ac:dyDescent="0.2"/>
    <row r="48" spans="1:8" ht="12.2" customHeight="1" x14ac:dyDescent="0.2">
      <c r="B48" s="1530"/>
      <c r="C48" s="982" t="s">
        <v>1548</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33"/>
    <pageSetUpPr fitToPage="1"/>
  </sheetPr>
  <dimension ref="A1:K127"/>
  <sheetViews>
    <sheetView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88" t="str">
        <f>'Single Audit Cover'!A7</f>
        <v xml:space="preserve">   Lincolnshire-Prairieview SD 103</v>
      </c>
      <c r="B1" s="2589"/>
      <c r="C1" s="2589"/>
      <c r="D1" s="2589"/>
    </row>
    <row r="2" spans="1:11" s="984" customFormat="1" ht="12.75" x14ac:dyDescent="0.2">
      <c r="A2" s="2590">
        <f>'Single Audit Cover'!E7</f>
        <v>34049103002</v>
      </c>
      <c r="B2" s="2591"/>
      <c r="C2" s="2591"/>
      <c r="D2" s="2591"/>
    </row>
    <row r="3" spans="1:11" s="984" customFormat="1" ht="12.75" x14ac:dyDescent="0.2">
      <c r="A3" s="2588" t="s">
        <v>1492</v>
      </c>
      <c r="B3" s="2589"/>
      <c r="C3" s="2589"/>
      <c r="D3" s="2589"/>
    </row>
    <row r="4" spans="1:11" s="984" customFormat="1" ht="4.5" customHeight="1" x14ac:dyDescent="0.2">
      <c r="A4" s="985"/>
      <c r="B4" s="986"/>
      <c r="C4" s="986"/>
      <c r="D4" s="986"/>
    </row>
    <row r="5" spans="1:11" x14ac:dyDescent="0.2">
      <c r="B5" s="988" t="s">
        <v>1493</v>
      </c>
      <c r="C5" s="989"/>
      <c r="D5" s="990"/>
    </row>
    <row r="6" spans="1:11" x14ac:dyDescent="0.2">
      <c r="B6" s="988" t="s">
        <v>1212</v>
      </c>
      <c r="C6" s="989"/>
      <c r="D6" s="990"/>
    </row>
    <row r="7" spans="1:11" x14ac:dyDescent="0.2">
      <c r="B7" s="988" t="s">
        <v>1494</v>
      </c>
      <c r="C7" s="989"/>
      <c r="D7" s="990"/>
    </row>
    <row r="8" spans="1:11" ht="4.5" customHeight="1" x14ac:dyDescent="0.2">
      <c r="B8" s="988"/>
      <c r="C8" s="989"/>
      <c r="D8" s="990"/>
    </row>
    <row r="9" spans="1:11" x14ac:dyDescent="0.2">
      <c r="B9" s="992" t="s">
        <v>1211</v>
      </c>
      <c r="C9" s="993"/>
      <c r="D9" s="990"/>
    </row>
    <row r="10" spans="1:11" ht="4.5" customHeight="1" x14ac:dyDescent="0.2">
      <c r="B10" s="992"/>
      <c r="C10" s="993"/>
      <c r="D10" s="990"/>
    </row>
    <row r="11" spans="1:11" x14ac:dyDescent="0.2">
      <c r="B11" s="994"/>
      <c r="C11" s="995">
        <v>1</v>
      </c>
      <c r="D11" s="996" t="s">
        <v>1676</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1677</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1678</v>
      </c>
      <c r="E15" s="997"/>
      <c r="F15" s="997"/>
      <c r="G15" s="997"/>
      <c r="H15" s="997"/>
      <c r="I15" s="997"/>
      <c r="J15" s="997"/>
      <c r="K15" s="997"/>
    </row>
    <row r="16" spans="1:11" ht="10.5" customHeight="1" x14ac:dyDescent="0.2">
      <c r="B16" s="1000"/>
      <c r="D16" s="999" t="s">
        <v>1210</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1679</v>
      </c>
      <c r="E18" s="997"/>
      <c r="F18" s="997"/>
      <c r="G18" s="997"/>
      <c r="H18" s="997"/>
      <c r="I18" s="997"/>
      <c r="J18" s="997"/>
      <c r="K18" s="997"/>
    </row>
    <row r="19" spans="1:11" ht="9.75" customHeight="1" x14ac:dyDescent="0.2">
      <c r="A19" s="991"/>
      <c r="B19" s="1000"/>
      <c r="D19" s="999" t="s">
        <v>1209</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1208</v>
      </c>
      <c r="E21" s="997"/>
      <c r="F21" s="997"/>
      <c r="G21" s="997"/>
      <c r="H21" s="997"/>
      <c r="I21" s="997"/>
      <c r="J21" s="997"/>
      <c r="K21" s="997"/>
    </row>
    <row r="22" spans="1:11" ht="10.5" customHeight="1" x14ac:dyDescent="0.2">
      <c r="A22" s="991"/>
      <c r="B22" s="1000"/>
      <c r="D22" s="999" t="s">
        <v>1207</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1700</v>
      </c>
      <c r="E24" s="997"/>
      <c r="F24" s="997"/>
      <c r="G24" s="997"/>
      <c r="H24" s="997"/>
      <c r="I24" s="997"/>
      <c r="J24" s="997"/>
      <c r="K24" s="997"/>
    </row>
    <row r="25" spans="1:11" x14ac:dyDescent="0.2">
      <c r="A25" s="991"/>
      <c r="B25" s="1000"/>
      <c r="D25" s="999" t="s">
        <v>1680</v>
      </c>
      <c r="E25" s="997"/>
      <c r="F25" s="997"/>
      <c r="G25" s="997"/>
      <c r="H25" s="997"/>
      <c r="I25" s="997"/>
      <c r="J25" s="997"/>
      <c r="K25" s="997"/>
    </row>
    <row r="26" spans="1:11" x14ac:dyDescent="0.2">
      <c r="A26" s="991"/>
      <c r="B26" s="1000"/>
      <c r="D26" s="1004" t="s">
        <v>1681</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1549</v>
      </c>
      <c r="E28" s="997"/>
      <c r="F28" s="997"/>
      <c r="G28" s="997"/>
      <c r="H28" s="997"/>
      <c r="I28" s="997"/>
      <c r="J28" s="997"/>
      <c r="K28" s="997"/>
    </row>
    <row r="29" spans="1:11" ht="10.5" customHeight="1" x14ac:dyDescent="0.2">
      <c r="A29" s="991"/>
      <c r="D29" s="1005" t="s">
        <v>1550</v>
      </c>
    </row>
    <row r="30" spans="1:11" ht="6" customHeight="1" x14ac:dyDescent="0.2">
      <c r="A30" s="991"/>
      <c r="D30" s="990"/>
    </row>
    <row r="31" spans="1:11" x14ac:dyDescent="0.2">
      <c r="A31" s="991"/>
      <c r="B31" s="992" t="s">
        <v>1206</v>
      </c>
      <c r="C31" s="993"/>
      <c r="D31" s="990"/>
    </row>
    <row r="32" spans="1:11" ht="4.5" customHeight="1" x14ac:dyDescent="0.2">
      <c r="A32" s="991"/>
      <c r="B32" s="992"/>
      <c r="C32" s="993"/>
      <c r="D32" s="990"/>
    </row>
    <row r="33" spans="1:5" x14ac:dyDescent="0.2">
      <c r="A33" s="991"/>
      <c r="B33" s="994"/>
      <c r="C33" s="995">
        <v>8</v>
      </c>
      <c r="D33" s="1006" t="s">
        <v>1205</v>
      </c>
    </row>
    <row r="34" spans="1:5" ht="10.5" customHeight="1" x14ac:dyDescent="0.2">
      <c r="A34" s="991"/>
      <c r="B34" s="1007"/>
      <c r="C34" s="995"/>
      <c r="D34" s="1006" t="s">
        <v>1551</v>
      </c>
    </row>
    <row r="35" spans="1:5" ht="3" customHeight="1" x14ac:dyDescent="0.2">
      <c r="A35" s="991"/>
      <c r="B35" s="1000"/>
      <c r="D35" s="990"/>
    </row>
    <row r="36" spans="1:5" x14ac:dyDescent="0.2">
      <c r="A36" s="991"/>
      <c r="B36" s="994"/>
      <c r="C36" s="995">
        <f>C33+1</f>
        <v>9</v>
      </c>
      <c r="D36" s="1006" t="s">
        <v>1204</v>
      </c>
    </row>
    <row r="37" spans="1:5" ht="10.5" customHeight="1" x14ac:dyDescent="0.2">
      <c r="A37" s="991"/>
      <c r="B37" s="1000"/>
      <c r="D37" s="1006" t="s">
        <v>1551</v>
      </c>
    </row>
    <row r="38" spans="1:5" ht="3" customHeight="1" x14ac:dyDescent="0.2">
      <c r="A38" s="991"/>
      <c r="B38" s="1008"/>
      <c r="C38" s="1009"/>
      <c r="D38" s="990"/>
    </row>
    <row r="39" spans="1:5" x14ac:dyDescent="0.2">
      <c r="A39" s="991"/>
      <c r="B39" s="1010"/>
      <c r="C39" s="1001">
        <f>C36+1</f>
        <v>10</v>
      </c>
      <c r="D39" s="990" t="s">
        <v>1203</v>
      </c>
    </row>
    <row r="40" spans="1:5" ht="10.5" customHeight="1" x14ac:dyDescent="0.2">
      <c r="A40" s="991"/>
      <c r="B40" s="1011"/>
      <c r="C40" s="1009"/>
      <c r="D40" s="990" t="s">
        <v>1552</v>
      </c>
    </row>
    <row r="41" spans="1:5" ht="3" customHeight="1" x14ac:dyDescent="0.2">
      <c r="A41" s="991"/>
      <c r="B41" s="1008"/>
      <c r="C41" s="1009"/>
      <c r="D41" s="990"/>
    </row>
    <row r="42" spans="1:5" ht="10.5" customHeight="1" x14ac:dyDescent="0.2">
      <c r="A42" s="991"/>
      <c r="B42" s="1010"/>
      <c r="C42" s="1001">
        <v>11</v>
      </c>
      <c r="D42" s="1012" t="s">
        <v>1553</v>
      </c>
      <c r="E42" s="290"/>
    </row>
    <row r="43" spans="1:5" ht="3" customHeight="1" x14ac:dyDescent="0.2">
      <c r="A43" s="991"/>
      <c r="B43" s="1008"/>
      <c r="C43" s="1009"/>
      <c r="D43" s="990"/>
    </row>
    <row r="44" spans="1:5" x14ac:dyDescent="0.2">
      <c r="A44" s="991"/>
      <c r="B44" s="994"/>
      <c r="C44" s="995">
        <f>C42+1</f>
        <v>12</v>
      </c>
      <c r="D44" s="1006" t="s">
        <v>1202</v>
      </c>
    </row>
    <row r="45" spans="1:5" ht="10.5" customHeight="1" x14ac:dyDescent="0.2">
      <c r="A45" s="991"/>
      <c r="B45" s="1007"/>
      <c r="C45" s="995"/>
      <c r="D45" s="1006" t="s">
        <v>1965</v>
      </c>
    </row>
    <row r="46" spans="1:5" ht="10.5" customHeight="1" x14ac:dyDescent="0.2">
      <c r="A46" s="991"/>
      <c r="B46" s="1008"/>
      <c r="C46" s="1009"/>
      <c r="D46" s="1006" t="s">
        <v>1201</v>
      </c>
    </row>
    <row r="47" spans="1:5" ht="3" customHeight="1" x14ac:dyDescent="0.2">
      <c r="A47" s="991"/>
      <c r="B47" s="1008"/>
      <c r="C47" s="1009"/>
      <c r="D47" s="1006"/>
    </row>
    <row r="48" spans="1:5" x14ac:dyDescent="0.2">
      <c r="A48" s="991"/>
      <c r="B48" s="994"/>
      <c r="C48" s="995">
        <f>C44+1</f>
        <v>13</v>
      </c>
      <c r="D48" s="1006" t="s">
        <v>1554</v>
      </c>
    </row>
    <row r="49" spans="1:4" ht="3" customHeight="1" x14ac:dyDescent="0.2">
      <c r="A49" s="991"/>
      <c r="B49" s="998"/>
      <c r="C49" s="995"/>
      <c r="D49" s="1006"/>
    </row>
    <row r="50" spans="1:4" x14ac:dyDescent="0.2">
      <c r="A50" s="991"/>
      <c r="B50" s="994"/>
      <c r="C50" s="995">
        <f>C48+1</f>
        <v>14</v>
      </c>
      <c r="D50" s="1006" t="s">
        <v>1200</v>
      </c>
    </row>
    <row r="51" spans="1:4" ht="3" customHeight="1" x14ac:dyDescent="0.2">
      <c r="A51" s="991"/>
      <c r="B51" s="998"/>
      <c r="C51" s="995"/>
      <c r="D51" s="1006"/>
    </row>
    <row r="52" spans="1:4" x14ac:dyDescent="0.2">
      <c r="A52" s="991"/>
      <c r="B52" s="994"/>
      <c r="C52" s="995">
        <f>C50+1</f>
        <v>15</v>
      </c>
      <c r="D52" s="1006" t="s">
        <v>1199</v>
      </c>
    </row>
    <row r="53" spans="1:4" ht="3" customHeight="1" x14ac:dyDescent="0.2">
      <c r="A53" s="991"/>
      <c r="B53" s="998"/>
      <c r="C53" s="995"/>
      <c r="D53" s="1006"/>
    </row>
    <row r="54" spans="1:4" x14ac:dyDescent="0.2">
      <c r="A54" s="991"/>
      <c r="B54" s="994"/>
      <c r="C54" s="995">
        <f>C52+1</f>
        <v>16</v>
      </c>
      <c r="D54" s="1006" t="s">
        <v>1198</v>
      </c>
    </row>
    <row r="55" spans="1:4" ht="3" customHeight="1" x14ac:dyDescent="0.2">
      <c r="A55" s="991"/>
      <c r="B55" s="998"/>
      <c r="C55" s="995"/>
      <c r="D55" s="1006"/>
    </row>
    <row r="56" spans="1:4" x14ac:dyDescent="0.2">
      <c r="A56" s="991"/>
      <c r="B56" s="994"/>
      <c r="C56" s="995">
        <f>C54+1</f>
        <v>17</v>
      </c>
      <c r="D56" s="990" t="s">
        <v>1682</v>
      </c>
    </row>
    <row r="57" spans="1:4" ht="10.5" customHeight="1" x14ac:dyDescent="0.2">
      <c r="A57" s="991"/>
      <c r="D57" s="1006" t="s">
        <v>1683</v>
      </c>
    </row>
    <row r="58" spans="1:4" x14ac:dyDescent="0.2">
      <c r="A58" s="991"/>
      <c r="C58" s="1013"/>
      <c r="D58" s="1006" t="s">
        <v>1684</v>
      </c>
    </row>
    <row r="59" spans="1:4" ht="10.5" customHeight="1" x14ac:dyDescent="0.2">
      <c r="A59" s="991"/>
      <c r="D59" s="990" t="s">
        <v>1197</v>
      </c>
    </row>
    <row r="60" spans="1:4" ht="10.5" customHeight="1" x14ac:dyDescent="0.2">
      <c r="A60" s="991"/>
      <c r="D60" s="1014" t="s">
        <v>1578</v>
      </c>
    </row>
    <row r="61" spans="1:4" ht="10.5" customHeight="1" x14ac:dyDescent="0.2">
      <c r="A61" s="991"/>
      <c r="C61" s="1013"/>
      <c r="D61" s="1006" t="s">
        <v>1685</v>
      </c>
    </row>
    <row r="62" spans="1:4" ht="10.5" customHeight="1" x14ac:dyDescent="0.2">
      <c r="A62" s="991"/>
      <c r="D62" s="1015" t="s">
        <v>1196</v>
      </c>
    </row>
    <row r="63" spans="1:4" ht="10.5" customHeight="1" x14ac:dyDescent="0.2">
      <c r="A63" s="991"/>
      <c r="D63" s="990" t="s">
        <v>1555</v>
      </c>
    </row>
    <row r="64" spans="1:4" ht="10.5" customHeight="1" x14ac:dyDescent="0.2">
      <c r="A64" s="991"/>
      <c r="D64" s="1014" t="s">
        <v>1577</v>
      </c>
    </row>
    <row r="65" spans="1:4" x14ac:dyDescent="0.2">
      <c r="A65" s="991"/>
      <c r="C65" s="1013"/>
      <c r="D65" s="1006" t="s">
        <v>1686</v>
      </c>
    </row>
    <row r="66" spans="1:4" ht="10.5" customHeight="1" x14ac:dyDescent="0.2">
      <c r="A66" s="991"/>
      <c r="D66" s="1016" t="s">
        <v>1195</v>
      </c>
    </row>
    <row r="67" spans="1:4" ht="10.5" customHeight="1" x14ac:dyDescent="0.2">
      <c r="A67" s="991"/>
      <c r="D67" s="990" t="s">
        <v>1556</v>
      </c>
    </row>
    <row r="68" spans="1:4" ht="10.5" customHeight="1" x14ac:dyDescent="0.2">
      <c r="A68" s="991"/>
      <c r="D68" s="1014" t="s">
        <v>1577</v>
      </c>
    </row>
    <row r="69" spans="1:4" ht="10.5" customHeight="1" x14ac:dyDescent="0.2">
      <c r="A69" s="991"/>
      <c r="C69" s="1013"/>
      <c r="D69" s="1006" t="s">
        <v>1687</v>
      </c>
    </row>
    <row r="70" spans="1:4" x14ac:dyDescent="0.2">
      <c r="A70" s="991"/>
      <c r="D70" s="1015" t="s">
        <v>1194</v>
      </c>
    </row>
    <row r="71" spans="1:4" ht="3" customHeight="1" x14ac:dyDescent="0.2">
      <c r="A71" s="991"/>
      <c r="D71" s="990"/>
    </row>
    <row r="72" spans="1:4" x14ac:dyDescent="0.2">
      <c r="A72" s="991"/>
      <c r="B72" s="994"/>
      <c r="C72" s="995">
        <f>C56+1</f>
        <v>18</v>
      </c>
      <c r="D72" s="1016" t="s">
        <v>1688</v>
      </c>
    </row>
    <row r="73" spans="1:4" ht="3" customHeight="1" x14ac:dyDescent="0.2">
      <c r="A73" s="991"/>
      <c r="B73" s="998"/>
      <c r="C73" s="995"/>
      <c r="D73" s="1016"/>
    </row>
    <row r="74" spans="1:4" x14ac:dyDescent="0.2">
      <c r="A74" s="991"/>
      <c r="B74" s="994"/>
      <c r="C74" s="995">
        <f>C72+1</f>
        <v>19</v>
      </c>
      <c r="D74" s="1006" t="s">
        <v>1193</v>
      </c>
    </row>
    <row r="75" spans="1:4" ht="3" customHeight="1" x14ac:dyDescent="0.2">
      <c r="A75" s="991"/>
      <c r="B75" s="998"/>
      <c r="C75" s="995"/>
      <c r="D75" s="1006"/>
    </row>
    <row r="76" spans="1:4" x14ac:dyDescent="0.2">
      <c r="A76" s="991"/>
      <c r="B76" s="994"/>
      <c r="C76" s="995">
        <f>C74+1</f>
        <v>20</v>
      </c>
      <c r="D76" s="1017" t="s">
        <v>1689</v>
      </c>
    </row>
    <row r="77" spans="1:4" ht="3" customHeight="1" x14ac:dyDescent="0.2">
      <c r="A77" s="991"/>
      <c r="B77" s="998"/>
      <c r="C77" s="995"/>
      <c r="D77" s="1017"/>
    </row>
    <row r="78" spans="1:4" x14ac:dyDescent="0.2">
      <c r="A78" s="991"/>
      <c r="B78" s="994"/>
      <c r="C78" s="995">
        <f>C76+1</f>
        <v>21</v>
      </c>
      <c r="D78" s="990" t="s">
        <v>1690</v>
      </c>
    </row>
    <row r="79" spans="1:4" ht="3" customHeight="1" x14ac:dyDescent="0.2">
      <c r="A79" s="991"/>
      <c r="B79" s="998"/>
      <c r="C79" s="995"/>
      <c r="D79" s="990"/>
    </row>
    <row r="80" spans="1:4" x14ac:dyDescent="0.2">
      <c r="A80" s="991"/>
      <c r="B80" s="994"/>
      <c r="C80" s="995">
        <f>C78+1</f>
        <v>22</v>
      </c>
      <c r="D80" s="1018" t="s">
        <v>1691</v>
      </c>
    </row>
    <row r="81" spans="1:4" ht="3" customHeight="1" x14ac:dyDescent="0.2">
      <c r="A81" s="991"/>
      <c r="B81" s="998"/>
      <c r="C81" s="995"/>
      <c r="D81" s="1018"/>
    </row>
    <row r="82" spans="1:4" x14ac:dyDescent="0.2">
      <c r="A82" s="991"/>
      <c r="B82" s="994"/>
      <c r="C82" s="995">
        <f>C80+1</f>
        <v>23</v>
      </c>
      <c r="D82" s="1017" t="s">
        <v>1692</v>
      </c>
    </row>
    <row r="83" spans="1:4" ht="10.5" customHeight="1" x14ac:dyDescent="0.2">
      <c r="A83" s="991"/>
      <c r="B83" s="1000"/>
      <c r="D83" s="1006" t="s">
        <v>1192</v>
      </c>
    </row>
    <row r="84" spans="1:4" ht="3" customHeight="1" x14ac:dyDescent="0.2">
      <c r="A84" s="991"/>
      <c r="B84" s="1000"/>
      <c r="D84" s="1006"/>
    </row>
    <row r="85" spans="1:4" x14ac:dyDescent="0.2">
      <c r="A85" s="991"/>
      <c r="B85" s="994"/>
      <c r="C85" s="995">
        <f>C82+1</f>
        <v>24</v>
      </c>
      <c r="D85" s="1006" t="s">
        <v>1191</v>
      </c>
    </row>
    <row r="86" spans="1:4" ht="3" customHeight="1" x14ac:dyDescent="0.2">
      <c r="A86" s="991"/>
      <c r="B86" s="998"/>
      <c r="C86" s="995"/>
      <c r="D86" s="1006"/>
    </row>
    <row r="87" spans="1:4" x14ac:dyDescent="0.2">
      <c r="A87" s="991"/>
      <c r="B87" s="994"/>
      <c r="C87" s="995">
        <f>C85+1</f>
        <v>25</v>
      </c>
      <c r="D87" s="1006" t="s">
        <v>1190</v>
      </c>
    </row>
    <row r="88" spans="1:4" ht="3" customHeight="1" x14ac:dyDescent="0.2">
      <c r="A88" s="991"/>
      <c r="B88" s="998"/>
      <c r="C88" s="995"/>
      <c r="D88" s="1006"/>
    </row>
    <row r="89" spans="1:4" x14ac:dyDescent="0.2">
      <c r="A89" s="991"/>
      <c r="B89" s="994"/>
      <c r="C89" s="995">
        <f>C87+1</f>
        <v>26</v>
      </c>
      <c r="D89" s="1006" t="s">
        <v>1189</v>
      </c>
    </row>
    <row r="90" spans="1:4" ht="3" customHeight="1" x14ac:dyDescent="0.2">
      <c r="A90" s="991"/>
      <c r="B90" s="998"/>
      <c r="C90" s="995"/>
      <c r="D90" s="1006"/>
    </row>
    <row r="91" spans="1:4" x14ac:dyDescent="0.2">
      <c r="A91" s="991"/>
      <c r="B91" s="994"/>
      <c r="C91" s="995">
        <f>C89+1</f>
        <v>27</v>
      </c>
      <c r="D91" s="1006" t="s">
        <v>1693</v>
      </c>
    </row>
    <row r="92" spans="1:4" x14ac:dyDescent="0.2">
      <c r="A92" s="991"/>
      <c r="B92" s="1019"/>
      <c r="C92" s="1013"/>
      <c r="D92" s="1006" t="s">
        <v>1188</v>
      </c>
    </row>
    <row r="93" spans="1:4" ht="4.5" customHeight="1" x14ac:dyDescent="0.2">
      <c r="A93" s="991"/>
      <c r="D93" s="990"/>
    </row>
    <row r="94" spans="1:4" x14ac:dyDescent="0.2">
      <c r="A94" s="991"/>
      <c r="B94" s="992" t="s">
        <v>1557</v>
      </c>
      <c r="C94" s="993"/>
      <c r="D94" s="990"/>
    </row>
    <row r="95" spans="1:4" ht="4.5" customHeight="1" x14ac:dyDescent="0.2">
      <c r="A95" s="991"/>
      <c r="B95" s="992"/>
      <c r="C95" s="993"/>
      <c r="D95" s="990"/>
    </row>
    <row r="96" spans="1:4" x14ac:dyDescent="0.2">
      <c r="A96" s="991"/>
      <c r="B96" s="994"/>
      <c r="C96" s="995">
        <f>C91+1</f>
        <v>28</v>
      </c>
      <c r="D96" s="1006" t="s">
        <v>1694</v>
      </c>
    </row>
    <row r="97" spans="1:4" ht="3" customHeight="1" x14ac:dyDescent="0.2">
      <c r="A97" s="991"/>
      <c r="B97" s="998"/>
      <c r="C97" s="995"/>
      <c r="D97" s="1006"/>
    </row>
    <row r="98" spans="1:4" x14ac:dyDescent="0.2">
      <c r="A98" s="991"/>
      <c r="B98" s="994"/>
      <c r="C98" s="995">
        <f>C96+1</f>
        <v>29</v>
      </c>
      <c r="D98" s="1020" t="s">
        <v>1695</v>
      </c>
    </row>
    <row r="99" spans="1:4" ht="3" customHeight="1" x14ac:dyDescent="0.2">
      <c r="A99" s="991"/>
      <c r="B99" s="998"/>
      <c r="C99" s="995"/>
      <c r="D99" s="1020"/>
    </row>
    <row r="100" spans="1:4" x14ac:dyDescent="0.2">
      <c r="A100" s="991"/>
      <c r="B100" s="994"/>
      <c r="C100" s="995">
        <f>C98+1</f>
        <v>30</v>
      </c>
      <c r="D100" s="1006" t="s">
        <v>1696</v>
      </c>
    </row>
    <row r="101" spans="1:4" ht="3" customHeight="1" x14ac:dyDescent="0.2">
      <c r="A101" s="991"/>
      <c r="B101" s="998"/>
      <c r="C101" s="995"/>
      <c r="D101" s="1021"/>
    </row>
    <row r="102" spans="1:4" x14ac:dyDescent="0.2">
      <c r="A102" s="991"/>
      <c r="B102" s="994"/>
      <c r="C102" s="995">
        <f>C100+1</f>
        <v>31</v>
      </c>
      <c r="D102" s="1006" t="s">
        <v>1558</v>
      </c>
    </row>
    <row r="103" spans="1:4" ht="4.5" customHeight="1" x14ac:dyDescent="0.2">
      <c r="A103" s="991"/>
      <c r="B103" s="290"/>
      <c r="C103" s="995"/>
      <c r="D103" s="1006"/>
    </row>
    <row r="104" spans="1:4" ht="14.1" customHeight="1" x14ac:dyDescent="0.2">
      <c r="A104" s="991"/>
      <c r="B104" s="1022" t="s">
        <v>1187</v>
      </c>
    </row>
    <row r="105" spans="1:4" ht="4.5" customHeight="1" x14ac:dyDescent="0.2">
      <c r="A105" s="991"/>
      <c r="B105" s="1022"/>
    </row>
    <row r="106" spans="1:4" x14ac:dyDescent="0.2">
      <c r="A106" s="991"/>
      <c r="B106" s="994"/>
      <c r="C106" s="995">
        <f>C102+1</f>
        <v>32</v>
      </c>
      <c r="D106" s="990" t="s">
        <v>1559</v>
      </c>
    </row>
    <row r="107" spans="1:4" ht="3" customHeight="1" x14ac:dyDescent="0.2">
      <c r="A107" s="991"/>
      <c r="B107" s="998"/>
      <c r="C107" s="995"/>
      <c r="D107" s="990"/>
    </row>
    <row r="108" spans="1:4" x14ac:dyDescent="0.2">
      <c r="A108" s="991"/>
      <c r="B108" s="994"/>
      <c r="C108" s="995">
        <v>33</v>
      </c>
      <c r="D108" s="990" t="s">
        <v>1697</v>
      </c>
    </row>
    <row r="109" spans="1:4" ht="3" customHeight="1" x14ac:dyDescent="0.2">
      <c r="A109" s="991"/>
      <c r="B109" s="998"/>
      <c r="C109" s="995"/>
      <c r="D109" s="990"/>
    </row>
    <row r="110" spans="1:4" x14ac:dyDescent="0.2">
      <c r="A110" s="991"/>
      <c r="B110" s="994"/>
      <c r="C110" s="995">
        <f>C108+1</f>
        <v>34</v>
      </c>
      <c r="D110" s="990" t="s">
        <v>1186</v>
      </c>
    </row>
    <row r="111" spans="1:4" ht="3" customHeight="1" x14ac:dyDescent="0.2">
      <c r="A111" s="991"/>
      <c r="B111" s="998"/>
      <c r="C111" s="995"/>
      <c r="D111" s="990"/>
    </row>
    <row r="112" spans="1:4" x14ac:dyDescent="0.2">
      <c r="A112" s="991"/>
      <c r="B112" s="994"/>
      <c r="C112" s="995">
        <f>C110+1</f>
        <v>35</v>
      </c>
      <c r="D112" s="990" t="s">
        <v>1185</v>
      </c>
    </row>
    <row r="113" spans="1:4" ht="11.25" customHeight="1" x14ac:dyDescent="0.2">
      <c r="A113" s="991"/>
      <c r="B113" s="1023"/>
      <c r="C113" s="995"/>
      <c r="D113" s="1024" t="s">
        <v>1184</v>
      </c>
    </row>
    <row r="114" spans="1:4" ht="3" customHeight="1" x14ac:dyDescent="0.2">
      <c r="A114" s="991"/>
      <c r="B114" s="1025"/>
      <c r="C114" s="995"/>
      <c r="D114" s="1024"/>
    </row>
    <row r="115" spans="1:4" x14ac:dyDescent="0.2">
      <c r="A115" s="991"/>
      <c r="B115" s="994"/>
      <c r="C115" s="995">
        <f>C112+1</f>
        <v>36</v>
      </c>
      <c r="D115" s="1006" t="s">
        <v>1183</v>
      </c>
    </row>
    <row r="116" spans="1:4" ht="3" customHeight="1" x14ac:dyDescent="0.2">
      <c r="A116" s="991"/>
      <c r="B116" s="998"/>
      <c r="C116" s="995"/>
      <c r="D116" s="1006"/>
    </row>
    <row r="117" spans="1:4" x14ac:dyDescent="0.2">
      <c r="A117" s="991"/>
      <c r="B117" s="994"/>
      <c r="C117" s="995">
        <f>C115+1</f>
        <v>37</v>
      </c>
      <c r="D117" s="1006" t="s">
        <v>1698</v>
      </c>
    </row>
    <row r="118" spans="1:4" ht="3" customHeight="1" x14ac:dyDescent="0.2">
      <c r="A118" s="991"/>
      <c r="B118" s="998"/>
      <c r="C118" s="995"/>
      <c r="D118" s="1006"/>
    </row>
    <row r="119" spans="1:4" x14ac:dyDescent="0.2">
      <c r="A119" s="991"/>
      <c r="B119" s="994"/>
      <c r="C119" s="995">
        <f>C117+1</f>
        <v>38</v>
      </c>
      <c r="D119" s="1006" t="s">
        <v>1699</v>
      </c>
    </row>
    <row r="120" spans="1:4" ht="10.5" customHeight="1" x14ac:dyDescent="0.2">
      <c r="A120" s="991"/>
      <c r="B120" s="1019"/>
      <c r="C120" s="995"/>
      <c r="D120" s="1006" t="s">
        <v>1182</v>
      </c>
    </row>
    <row r="121" spans="1:4" ht="10.5" customHeight="1" x14ac:dyDescent="0.2">
      <c r="A121" s="991"/>
      <c r="B121" s="1019"/>
      <c r="C121" s="995"/>
      <c r="D121" s="1006" t="s">
        <v>1181</v>
      </c>
    </row>
    <row r="122" spans="1:4" ht="3" customHeight="1" x14ac:dyDescent="0.2">
      <c r="A122" s="991"/>
      <c r="B122" s="1019"/>
      <c r="C122" s="995"/>
      <c r="D122" s="1006"/>
    </row>
    <row r="123" spans="1:4" x14ac:dyDescent="0.2">
      <c r="A123" s="991"/>
      <c r="B123" s="994"/>
      <c r="C123" s="995">
        <f>C119+1</f>
        <v>39</v>
      </c>
      <c r="D123" s="1016" t="s">
        <v>1806</v>
      </c>
    </row>
    <row r="124" spans="1:4" x14ac:dyDescent="0.2">
      <c r="A124" s="991"/>
      <c r="B124" s="290"/>
      <c r="C124" s="995"/>
      <c r="D124" s="1006" t="s">
        <v>1180</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33"/>
  </sheetPr>
  <dimension ref="A1:E49"/>
  <sheetViews>
    <sheetView workbookViewId="0">
      <selection sqref="A1:E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93" t="str">
        <f>'Single Audit Cover'!A7</f>
        <v xml:space="preserve">   Lincolnshire-Prairieview SD 103</v>
      </c>
      <c r="B1" s="2593"/>
      <c r="C1" s="2593"/>
      <c r="D1" s="2593"/>
      <c r="E1" s="2593"/>
    </row>
    <row r="2" spans="1:5" x14ac:dyDescent="0.2">
      <c r="A2" s="2594">
        <f>'Single Audit Cover'!E7</f>
        <v>34049103002</v>
      </c>
      <c r="B2" s="2594"/>
      <c r="C2" s="2594"/>
      <c r="D2" s="2594"/>
      <c r="E2" s="2594"/>
    </row>
    <row r="3" spans="1:5" ht="4.5" customHeight="1" x14ac:dyDescent="0.2"/>
    <row r="4" spans="1:5" x14ac:dyDescent="0.2">
      <c r="A4" s="2593" t="s">
        <v>1232</v>
      </c>
      <c r="B4" s="2593"/>
      <c r="C4" s="2593"/>
      <c r="D4" s="2593"/>
      <c r="E4" s="2593"/>
    </row>
    <row r="5" spans="1:5" x14ac:dyDescent="0.2">
      <c r="A5" s="2596" t="str">
        <f>'Single Audit Cover'!A4</f>
        <v>Year Ending June 30, 2020</v>
      </c>
      <c r="B5" s="2596"/>
      <c r="C5" s="2596"/>
      <c r="D5" s="2596"/>
      <c r="E5" s="2596"/>
    </row>
    <row r="6" spans="1:5" x14ac:dyDescent="0.2">
      <c r="A6" s="2593" t="s">
        <v>1231</v>
      </c>
      <c r="B6" s="2593"/>
      <c r="C6" s="2593"/>
      <c r="D6" s="2593"/>
      <c r="E6" s="2593"/>
    </row>
    <row r="8" spans="1:5" x14ac:dyDescent="0.2">
      <c r="A8" s="1029" t="s">
        <v>1230</v>
      </c>
    </row>
    <row r="10" spans="1:5" x14ac:dyDescent="0.2">
      <c r="A10" s="1030" t="s">
        <v>1229</v>
      </c>
      <c r="B10" s="1031" t="s">
        <v>1228</v>
      </c>
      <c r="C10" s="1031"/>
      <c r="D10" s="1032">
        <f>SUM('Acct Summary 7-8'!C7:K7)</f>
        <v>457520</v>
      </c>
    </row>
    <row r="11" spans="1:5" ht="18" customHeight="1" x14ac:dyDescent="0.2">
      <c r="A11" s="1030" t="s">
        <v>1227</v>
      </c>
      <c r="B11" s="1031"/>
      <c r="C11" s="1031"/>
    </row>
    <row r="12" spans="1:5" x14ac:dyDescent="0.2">
      <c r="A12" s="1030" t="s">
        <v>1226</v>
      </c>
      <c r="B12" s="1031" t="s">
        <v>1225</v>
      </c>
      <c r="C12" s="1031"/>
      <c r="D12" s="1033">
        <f>SUM('Revenues 9-14'!C112:D112,'Revenues 9-14'!F112:G112)</f>
        <v>0</v>
      </c>
    </row>
    <row r="13" spans="1:5" x14ac:dyDescent="0.2">
      <c r="A13" s="1030" t="s">
        <v>1224</v>
      </c>
      <c r="B13" s="1031"/>
      <c r="C13" s="1031"/>
    </row>
    <row r="14" spans="1:5" x14ac:dyDescent="0.2">
      <c r="A14" s="1030" t="s">
        <v>2000</v>
      </c>
      <c r="B14" s="1031"/>
      <c r="C14" s="1031"/>
      <c r="D14" s="1033">
        <f>'ICR Computation 30'!E11</f>
        <v>0</v>
      </c>
    </row>
    <row r="15" spans="1:5" x14ac:dyDescent="0.2">
      <c r="A15" s="1030"/>
      <c r="B15" s="1031"/>
      <c r="C15" s="1031"/>
    </row>
    <row r="16" spans="1:5" x14ac:dyDescent="0.2">
      <c r="A16" s="1030" t="s">
        <v>1811</v>
      </c>
      <c r="B16" s="1031"/>
      <c r="C16" s="1031"/>
    </row>
    <row r="17" spans="1:4" x14ac:dyDescent="0.2">
      <c r="A17" s="1030" t="s">
        <v>1960</v>
      </c>
      <c r="B17" s="1031" t="s">
        <v>1223</v>
      </c>
      <c r="C17" s="1031"/>
      <c r="D17" s="1033">
        <f>-SUM('Revenues 9-14'!C264:D264,'Revenues 9-14'!F264:G264)</f>
        <v>0</v>
      </c>
    </row>
    <row r="19" spans="1:4" ht="13.5" thickBot="1" x14ac:dyDescent="0.25">
      <c r="A19" s="1034" t="s">
        <v>1222</v>
      </c>
      <c r="D19" s="1035">
        <f>SUM(D10:D17)</f>
        <v>457520</v>
      </c>
    </row>
    <row r="20" spans="1:4" ht="21.75" customHeight="1" thickTop="1" x14ac:dyDescent="0.2"/>
    <row r="21" spans="1:4" x14ac:dyDescent="0.2">
      <c r="A21" s="1029" t="s">
        <v>1221</v>
      </c>
    </row>
    <row r="22" spans="1:4" ht="8.25" customHeight="1" x14ac:dyDescent="0.2"/>
    <row r="23" spans="1:4" x14ac:dyDescent="0.2">
      <c r="A23" s="1036" t="s">
        <v>1215</v>
      </c>
    </row>
    <row r="24" spans="1:4" x14ac:dyDescent="0.2">
      <c r="A24" s="2595"/>
      <c r="B24" s="2595"/>
      <c r="D24" s="1037"/>
    </row>
    <row r="25" spans="1:4" x14ac:dyDescent="0.2">
      <c r="A25" s="2592"/>
      <c r="B25" s="2592"/>
      <c r="D25" s="1037"/>
    </row>
    <row r="26" spans="1:4" x14ac:dyDescent="0.2">
      <c r="A26" s="2592"/>
      <c r="B26" s="2592"/>
      <c r="D26" s="1037"/>
    </row>
    <row r="27" spans="1:4" x14ac:dyDescent="0.2">
      <c r="A27" s="2592"/>
      <c r="B27" s="2592"/>
      <c r="D27" s="1037"/>
    </row>
    <row r="28" spans="1:4" x14ac:dyDescent="0.2">
      <c r="A28" s="2592"/>
      <c r="B28" s="2592"/>
      <c r="D28" s="1037"/>
    </row>
    <row r="29" spans="1:4" x14ac:dyDescent="0.2">
      <c r="A29" s="2592"/>
      <c r="B29" s="2592"/>
      <c r="D29" s="1037"/>
    </row>
    <row r="30" spans="1:4" x14ac:dyDescent="0.2">
      <c r="A30" s="2592"/>
      <c r="B30" s="2592"/>
      <c r="D30" s="1037"/>
    </row>
    <row r="32" spans="1:4" x14ac:dyDescent="0.2">
      <c r="A32" s="1029" t="s">
        <v>1220</v>
      </c>
      <c r="D32" s="1032">
        <f>SUM(D19:D30)</f>
        <v>457520</v>
      </c>
    </row>
    <row r="33" spans="1:4" x14ac:dyDescent="0.2">
      <c r="D33" s="1038"/>
    </row>
    <row r="34" spans="1:4" x14ac:dyDescent="0.2">
      <c r="A34" s="295" t="s">
        <v>1219</v>
      </c>
    </row>
    <row r="35" spans="1:4" x14ac:dyDescent="0.2">
      <c r="A35" s="295" t="s">
        <v>1218</v>
      </c>
      <c r="B35" s="1027" t="s">
        <v>1217</v>
      </c>
      <c r="D35" s="1039"/>
    </row>
    <row r="37" spans="1:4" x14ac:dyDescent="0.2">
      <c r="A37" s="1029" t="s">
        <v>1216</v>
      </c>
    </row>
    <row r="39" spans="1:4" ht="13.35" customHeight="1" x14ac:dyDescent="0.2">
      <c r="A39" s="1036" t="s">
        <v>1215</v>
      </c>
    </row>
    <row r="40" spans="1:4" x14ac:dyDescent="0.2">
      <c r="A40" s="2592"/>
      <c r="B40" s="2592"/>
      <c r="D40" s="1037"/>
    </row>
    <row r="41" spans="1:4" x14ac:dyDescent="0.2">
      <c r="A41" s="2592"/>
      <c r="B41" s="2592"/>
      <c r="D41" s="1040"/>
    </row>
    <row r="42" spans="1:4" x14ac:dyDescent="0.2">
      <c r="A42" s="2592"/>
      <c r="B42" s="2592"/>
      <c r="D42" s="1040"/>
    </row>
    <row r="43" spans="1:4" x14ac:dyDescent="0.2">
      <c r="A43" s="2592"/>
      <c r="B43" s="2592"/>
      <c r="D43" s="1040"/>
    </row>
    <row r="44" spans="1:4" x14ac:dyDescent="0.2">
      <c r="A44" s="2592"/>
      <c r="B44" s="2592"/>
      <c r="D44" s="1040"/>
    </row>
    <row r="45" spans="1:4" x14ac:dyDescent="0.2">
      <c r="A45" s="2592"/>
      <c r="B45" s="2592"/>
      <c r="D45" s="1040"/>
    </row>
    <row r="47" spans="1:4" x14ac:dyDescent="0.2">
      <c r="B47" s="1041" t="s">
        <v>1214</v>
      </c>
      <c r="C47" s="1041"/>
      <c r="D47" s="1042">
        <f>SUM(D35:D45)</f>
        <v>0</v>
      </c>
    </row>
    <row r="49" spans="2:4" x14ac:dyDescent="0.2">
      <c r="B49" s="1041" t="s">
        <v>1213</v>
      </c>
      <c r="C49" s="1041"/>
      <c r="D49" s="1042">
        <f>D32-D47</f>
        <v>457520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33"/>
  </sheetPr>
  <dimension ref="B1:N152"/>
  <sheetViews>
    <sheetView workbookViewId="0"/>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5" t="str">
        <f>'Single Audit Cover'!A7</f>
        <v xml:space="preserve">   Lincolnshire-Prairieview SD 103</v>
      </c>
      <c r="C1" s="2597"/>
      <c r="D1" s="2597"/>
      <c r="E1" s="2597"/>
      <c r="F1" s="2597"/>
      <c r="G1" s="2597"/>
      <c r="H1" s="2597"/>
      <c r="I1" s="2597"/>
      <c r="J1" s="2597"/>
      <c r="K1" s="2597"/>
      <c r="L1" s="2597"/>
      <c r="M1" s="2597"/>
    </row>
    <row r="2" spans="2:14" ht="15" x14ac:dyDescent="0.2">
      <c r="B2" s="2598">
        <f>'Single Audit Cover'!E7</f>
        <v>34049103002</v>
      </c>
      <c r="C2" s="2598"/>
      <c r="D2" s="2598"/>
      <c r="E2" s="2598"/>
      <c r="F2" s="2598"/>
      <c r="G2" s="2598"/>
      <c r="H2" s="2598"/>
      <c r="I2" s="2598"/>
      <c r="J2" s="2598"/>
      <c r="K2" s="2598"/>
      <c r="L2" s="2598"/>
      <c r="M2" s="2598"/>
      <c r="N2" s="1071"/>
    </row>
    <row r="3" spans="2:14" ht="15" x14ac:dyDescent="0.2">
      <c r="B3" s="2599" t="s">
        <v>1206</v>
      </c>
      <c r="C3" s="2599"/>
      <c r="D3" s="2599"/>
      <c r="E3" s="2599"/>
      <c r="F3" s="2599"/>
      <c r="G3" s="2599"/>
      <c r="H3" s="2599"/>
      <c r="I3" s="2599"/>
      <c r="J3" s="2599"/>
      <c r="K3" s="2599"/>
      <c r="L3" s="2599"/>
      <c r="M3" s="2599"/>
      <c r="N3" s="1071"/>
    </row>
    <row r="4" spans="2:14" ht="15" x14ac:dyDescent="0.2">
      <c r="B4" s="2600" t="str">
        <f>'Single Audit Cover'!A4</f>
        <v>Year Ending June 30, 2020</v>
      </c>
      <c r="C4" s="2600"/>
      <c r="D4" s="2600"/>
      <c r="E4" s="2600"/>
      <c r="F4" s="2600"/>
      <c r="G4" s="2600"/>
      <c r="H4" s="2600"/>
      <c r="I4" s="2600"/>
      <c r="J4" s="2600"/>
      <c r="K4" s="2600"/>
      <c r="L4" s="2600"/>
      <c r="M4" s="2600"/>
      <c r="N4" s="1071"/>
    </row>
    <row r="5" spans="2:14" x14ac:dyDescent="0.2">
      <c r="H5" s="1895"/>
      <c r="J5" s="1895"/>
    </row>
    <row r="6" spans="2:14" x14ac:dyDescent="0.2">
      <c r="B6" s="1072"/>
      <c r="C6" s="1073"/>
      <c r="D6" s="1074" t="s">
        <v>1252</v>
      </c>
      <c r="E6" s="1075" t="s">
        <v>523</v>
      </c>
      <c r="F6" s="1076"/>
      <c r="G6" s="1077" t="s">
        <v>1707</v>
      </c>
      <c r="H6" s="1075"/>
      <c r="I6" s="1075"/>
      <c r="J6" s="1896"/>
      <c r="K6" s="1078"/>
      <c r="L6" s="1079"/>
      <c r="M6" s="1080"/>
    </row>
    <row r="7" spans="2:14" x14ac:dyDescent="0.2">
      <c r="B7" s="1081" t="s">
        <v>1560</v>
      </c>
      <c r="C7" s="1082"/>
      <c r="D7" s="1083"/>
      <c r="E7" s="1084"/>
      <c r="F7" s="1085"/>
      <c r="G7" s="1084"/>
      <c r="H7" s="1086" t="s">
        <v>1249</v>
      </c>
      <c r="I7" s="1084"/>
      <c r="J7" s="1087" t="s">
        <v>1249</v>
      </c>
      <c r="K7" s="1088"/>
      <c r="L7" s="1089" t="s">
        <v>1247</v>
      </c>
      <c r="M7" s="1090"/>
    </row>
    <row r="8" spans="2:14" x14ac:dyDescent="0.2">
      <c r="B8" s="1372"/>
      <c r="C8" s="1082" t="s">
        <v>1251</v>
      </c>
      <c r="D8" s="1083" t="s">
        <v>1250</v>
      </c>
      <c r="E8" s="1091" t="s">
        <v>1249</v>
      </c>
      <c r="F8" s="1092" t="s">
        <v>1249</v>
      </c>
      <c r="G8" s="1093" t="s">
        <v>1249</v>
      </c>
      <c r="H8" s="1803" t="str">
        <f>"7/1/"&amp;MID('AFR20'!$E$2,3,2)-2&amp;"-6/30/"&amp;MID('AFR20'!$E$2,3,2)-1</f>
        <v>7/1/18-6/30/19</v>
      </c>
      <c r="I8" s="1088" t="s">
        <v>1249</v>
      </c>
      <c r="J8" s="1804" t="str">
        <f>"7/1/"&amp;MID('AFR20'!$E$2,3,2)-1&amp;"-6/30/"&amp;MID('AFR20'!$E$2,3,2)</f>
        <v>7/1/19-6/30/20</v>
      </c>
      <c r="K8" s="1088" t="s">
        <v>1248</v>
      </c>
      <c r="L8" s="1089" t="s">
        <v>1244</v>
      </c>
      <c r="M8" s="1090" t="s">
        <v>30</v>
      </c>
    </row>
    <row r="9" spans="2:14" ht="14.25" x14ac:dyDescent="0.2">
      <c r="B9" s="1094" t="s">
        <v>1246</v>
      </c>
      <c r="C9" s="1082" t="s">
        <v>1708</v>
      </c>
      <c r="D9" s="1083" t="s">
        <v>1709</v>
      </c>
      <c r="E9" s="1894" t="str">
        <f>"7/1/"&amp;MID('AFR20'!$E$2,3,2)-2&amp;"-6/30/"&amp;MID('AFR20'!$E$2,3,2)-1</f>
        <v>7/1/18-6/30/19</v>
      </c>
      <c r="F9" s="1894" t="str">
        <f>"7/1/"&amp;MID('AFR20'!$E$2,3,2)-1&amp;"-6/30/"&amp;MID('AFR20'!$E$2,3,2)</f>
        <v>7/1/19-6/30/20</v>
      </c>
      <c r="G9" s="1894" t="str">
        <f>"7/1/"&amp;MID('AFR20'!$E$2,3,2)-2&amp;"-6/30/"&amp;MID('AFR20'!$E$2,3,2)-1</f>
        <v>7/1/18-6/30/19</v>
      </c>
      <c r="H9" s="1086" t="s">
        <v>1561</v>
      </c>
      <c r="I9" s="1894" t="str">
        <f>"7/1/"&amp;MID('AFR20'!$E$2,3,2)-1&amp;"-6/30/"&amp;MID('AFR20'!$E$2,3,2)</f>
        <v>7/1/19-6/30/20</v>
      </c>
      <c r="J9" s="1087" t="s">
        <v>1561</v>
      </c>
      <c r="K9" s="1088" t="s">
        <v>1245</v>
      </c>
      <c r="L9" s="1095" t="s">
        <v>1562</v>
      </c>
      <c r="M9" s="1090"/>
    </row>
    <row r="10" spans="2:14" ht="11.85" customHeight="1" x14ac:dyDescent="0.2">
      <c r="B10" s="1094" t="s">
        <v>1243</v>
      </c>
      <c r="C10" s="1096" t="s">
        <v>1242</v>
      </c>
      <c r="D10" s="1097" t="s">
        <v>1241</v>
      </c>
      <c r="E10" s="1098" t="s">
        <v>1240</v>
      </c>
      <c r="F10" s="1099" t="s">
        <v>1239</v>
      </c>
      <c r="G10" s="1100" t="s">
        <v>1238</v>
      </c>
      <c r="H10" s="1101" t="s">
        <v>1253</v>
      </c>
      <c r="I10" s="1102" t="s">
        <v>1237</v>
      </c>
      <c r="J10" s="1103" t="s">
        <v>1253</v>
      </c>
      <c r="K10" s="1104" t="s">
        <v>1236</v>
      </c>
      <c r="L10" s="1104" t="s">
        <v>1235</v>
      </c>
      <c r="M10" s="1105" t="s">
        <v>1234</v>
      </c>
    </row>
    <row r="11" spans="2:14" ht="20.100000000000001" customHeight="1" x14ac:dyDescent="0.2">
      <c r="B11" s="1106"/>
      <c r="C11" s="1805"/>
      <c r="D11" s="1806"/>
      <c r="E11" s="1807"/>
      <c r="F11" s="1807"/>
      <c r="G11" s="1807"/>
      <c r="H11" s="1807"/>
      <c r="I11" s="1807"/>
      <c r="J11" s="1807"/>
      <c r="K11" s="1807"/>
      <c r="L11" s="1807">
        <f>+G11+I11+K11</f>
        <v>0</v>
      </c>
      <c r="M11" s="1807"/>
    </row>
    <row r="12" spans="2:14" ht="20.100000000000001" customHeight="1" x14ac:dyDescent="0.2">
      <c r="B12" s="1106"/>
      <c r="C12" s="1808"/>
      <c r="D12" s="1809"/>
      <c r="E12" s="1810"/>
      <c r="F12" s="1810"/>
      <c r="G12" s="1810"/>
      <c r="H12" s="1810"/>
      <c r="I12" s="1810"/>
      <c r="J12" s="1810"/>
      <c r="K12" s="1810"/>
      <c r="L12" s="1807">
        <f t="shared" ref="L12:L27" si="0">+G12+I12+K12</f>
        <v>0</v>
      </c>
      <c r="M12" s="1810"/>
    </row>
    <row r="13" spans="2:14" ht="20.100000000000001" customHeight="1" x14ac:dyDescent="0.2">
      <c r="B13" s="1106"/>
      <c r="C13" s="1808"/>
      <c r="D13" s="1809"/>
      <c r="E13" s="1810"/>
      <c r="F13" s="1810"/>
      <c r="G13" s="1810"/>
      <c r="H13" s="1810"/>
      <c r="I13" s="1810"/>
      <c r="J13" s="1810"/>
      <c r="K13" s="1810"/>
      <c r="L13" s="1807">
        <f t="shared" si="0"/>
        <v>0</v>
      </c>
      <c r="M13" s="1810"/>
    </row>
    <row r="14" spans="2:14" ht="20.100000000000001" customHeight="1" x14ac:dyDescent="0.2">
      <c r="B14" s="1106"/>
      <c r="C14" s="1808"/>
      <c r="D14" s="1809"/>
      <c r="E14" s="1810"/>
      <c r="F14" s="1810"/>
      <c r="G14" s="1810"/>
      <c r="H14" s="1810"/>
      <c r="I14" s="1810"/>
      <c r="J14" s="1810"/>
      <c r="K14" s="1810"/>
      <c r="L14" s="1807">
        <f t="shared" si="0"/>
        <v>0</v>
      </c>
      <c r="M14" s="1810"/>
    </row>
    <row r="15" spans="2:14" ht="20.100000000000001" customHeight="1" x14ac:dyDescent="0.2">
      <c r="B15" s="1106" t="s">
        <v>1157</v>
      </c>
      <c r="C15" s="1808"/>
      <c r="D15" s="1809"/>
      <c r="E15" s="1810"/>
      <c r="F15" s="1810"/>
      <c r="G15" s="1810"/>
      <c r="H15" s="1810"/>
      <c r="I15" s="1810"/>
      <c r="J15" s="1810"/>
      <c r="K15" s="1810"/>
      <c r="L15" s="1807">
        <f t="shared" si="0"/>
        <v>0</v>
      </c>
      <c r="M15" s="1810"/>
    </row>
    <row r="16" spans="2:14" ht="20.100000000000001" customHeight="1" x14ac:dyDescent="0.2">
      <c r="B16" s="1106"/>
      <c r="C16" s="1808"/>
      <c r="D16" s="1809"/>
      <c r="E16" s="1810"/>
      <c r="F16" s="1810"/>
      <c r="G16" s="1810"/>
      <c r="H16" s="1810"/>
      <c r="I16" s="1810"/>
      <c r="J16" s="1810"/>
      <c r="K16" s="1810"/>
      <c r="L16" s="1807">
        <f t="shared" si="0"/>
        <v>0</v>
      </c>
      <c r="M16" s="1810"/>
    </row>
    <row r="17" spans="2:14" ht="20.100000000000001" customHeight="1" x14ac:dyDescent="0.2">
      <c r="B17" s="1106"/>
      <c r="C17" s="1808"/>
      <c r="D17" s="1809"/>
      <c r="E17" s="1810"/>
      <c r="F17" s="1810"/>
      <c r="G17" s="1810"/>
      <c r="H17" s="1810"/>
      <c r="I17" s="1810"/>
      <c r="J17" s="1810"/>
      <c r="K17" s="1810"/>
      <c r="L17" s="1807">
        <f t="shared" si="0"/>
        <v>0</v>
      </c>
      <c r="M17" s="1810"/>
    </row>
    <row r="18" spans="2:14" ht="20.100000000000001" customHeight="1" x14ac:dyDescent="0.2">
      <c r="B18" s="1106"/>
      <c r="C18" s="1808"/>
      <c r="D18" s="1809"/>
      <c r="E18" s="1810"/>
      <c r="F18" s="1810"/>
      <c r="G18" s="1810"/>
      <c r="H18" s="1810"/>
      <c r="I18" s="1810"/>
      <c r="J18" s="1810"/>
      <c r="K18" s="1810"/>
      <c r="L18" s="1807">
        <f t="shared" si="0"/>
        <v>0</v>
      </c>
      <c r="M18" s="1810"/>
    </row>
    <row r="19" spans="2:14" ht="20.100000000000001" customHeight="1" x14ac:dyDescent="0.2">
      <c r="B19" s="1106"/>
      <c r="C19" s="1808"/>
      <c r="D19" s="1809"/>
      <c r="E19" s="1810"/>
      <c r="F19" s="1810"/>
      <c r="G19" s="1810"/>
      <c r="H19" s="1810"/>
      <c r="I19" s="1810"/>
      <c r="J19" s="1810"/>
      <c r="K19" s="1810"/>
      <c r="L19" s="1807">
        <f t="shared" si="0"/>
        <v>0</v>
      </c>
      <c r="M19" s="1810"/>
    </row>
    <row r="20" spans="2:14" ht="20.100000000000001" customHeight="1" x14ac:dyDescent="0.2">
      <c r="B20" s="1106"/>
      <c r="C20" s="1808"/>
      <c r="D20" s="1809"/>
      <c r="E20" s="1810"/>
      <c r="F20" s="1810"/>
      <c r="G20" s="1810"/>
      <c r="H20" s="1810"/>
      <c r="I20" s="1810"/>
      <c r="J20" s="1810"/>
      <c r="K20" s="1810"/>
      <c r="L20" s="1807">
        <f t="shared" si="0"/>
        <v>0</v>
      </c>
      <c r="M20" s="1810"/>
    </row>
    <row r="21" spans="2:14" ht="20.100000000000001" customHeight="1" x14ac:dyDescent="0.2">
      <c r="B21" s="1106"/>
      <c r="C21" s="1808"/>
      <c r="D21" s="1809"/>
      <c r="E21" s="1810"/>
      <c r="F21" s="1810"/>
      <c r="G21" s="1810"/>
      <c r="H21" s="1810"/>
      <c r="I21" s="1810"/>
      <c r="J21" s="1810"/>
      <c r="K21" s="1810"/>
      <c r="L21" s="1807">
        <f t="shared" si="0"/>
        <v>0</v>
      </c>
      <c r="M21" s="1810"/>
    </row>
    <row r="22" spans="2:14" ht="20.100000000000001" customHeight="1" x14ac:dyDescent="0.2">
      <c r="B22" s="1106"/>
      <c r="C22" s="1808"/>
      <c r="D22" s="1809"/>
      <c r="E22" s="1810"/>
      <c r="F22" s="1810"/>
      <c r="G22" s="1810"/>
      <c r="H22" s="1810"/>
      <c r="I22" s="1810"/>
      <c r="J22" s="1810"/>
      <c r="K22" s="1810"/>
      <c r="L22" s="1807">
        <f t="shared" si="0"/>
        <v>0</v>
      </c>
      <c r="M22" s="1810"/>
    </row>
    <row r="23" spans="2:14" ht="20.100000000000001" customHeight="1" x14ac:dyDescent="0.2">
      <c r="B23" s="1106"/>
      <c r="C23" s="1808"/>
      <c r="D23" s="1809"/>
      <c r="E23" s="1810"/>
      <c r="F23" s="1810"/>
      <c r="G23" s="1810"/>
      <c r="H23" s="1810"/>
      <c r="I23" s="1810"/>
      <c r="J23" s="1810"/>
      <c r="K23" s="1810"/>
      <c r="L23" s="1807">
        <f t="shared" si="0"/>
        <v>0</v>
      </c>
      <c r="M23" s="1810"/>
    </row>
    <row r="24" spans="2:14" ht="20.100000000000001" customHeight="1" x14ac:dyDescent="0.2">
      <c r="B24" s="1106"/>
      <c r="C24" s="1808"/>
      <c r="D24" s="1809"/>
      <c r="E24" s="1810"/>
      <c r="F24" s="1810"/>
      <c r="G24" s="1810"/>
      <c r="H24" s="1810"/>
      <c r="I24" s="1810"/>
      <c r="J24" s="1810"/>
      <c r="K24" s="1810"/>
      <c r="L24" s="1807">
        <f t="shared" si="0"/>
        <v>0</v>
      </c>
      <c r="M24" s="1810"/>
    </row>
    <row r="25" spans="2:14" ht="20.100000000000001" customHeight="1" x14ac:dyDescent="0.2">
      <c r="B25" s="1106"/>
      <c r="C25" s="1808"/>
      <c r="D25" s="1809"/>
      <c r="E25" s="1810"/>
      <c r="F25" s="1810"/>
      <c r="G25" s="1810"/>
      <c r="H25" s="1810"/>
      <c r="I25" s="1810"/>
      <c r="J25" s="1810"/>
      <c r="K25" s="1810"/>
      <c r="L25" s="1807">
        <f t="shared" si="0"/>
        <v>0</v>
      </c>
      <c r="M25" s="1810"/>
    </row>
    <row r="26" spans="2:14" ht="20.100000000000001" customHeight="1" x14ac:dyDescent="0.2">
      <c r="B26" s="1106"/>
      <c r="C26" s="1808"/>
      <c r="D26" s="1809"/>
      <c r="E26" s="1810"/>
      <c r="F26" s="1810"/>
      <c r="G26" s="1810"/>
      <c r="H26" s="1810"/>
      <c r="I26" s="1810"/>
      <c r="J26" s="1810"/>
      <c r="K26" s="1810"/>
      <c r="L26" s="1807">
        <f t="shared" si="0"/>
        <v>0</v>
      </c>
      <c r="M26" s="1810"/>
    </row>
    <row r="27" spans="2:14" ht="20.100000000000001" customHeight="1" x14ac:dyDescent="0.2">
      <c r="B27" s="1106"/>
      <c r="C27" s="1808"/>
      <c r="D27" s="1809"/>
      <c r="E27" s="1810"/>
      <c r="F27" s="1810"/>
      <c r="G27" s="1810"/>
      <c r="H27" s="1810"/>
      <c r="I27" s="1810"/>
      <c r="J27" s="1810"/>
      <c r="K27" s="1810"/>
      <c r="L27" s="1807">
        <f t="shared" si="0"/>
        <v>0</v>
      </c>
      <c r="M27" s="1810"/>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1710</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1808</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1233</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1711</v>
      </c>
      <c r="C37" s="1128"/>
      <c r="D37" s="1128"/>
      <c r="E37" s="1128"/>
      <c r="F37" s="1128"/>
      <c r="G37" s="1128"/>
      <c r="H37" s="1128"/>
      <c r="I37" s="1129"/>
      <c r="J37" s="1129"/>
      <c r="K37" s="1129"/>
      <c r="L37" s="1129"/>
      <c r="M37" s="1129"/>
    </row>
    <row r="38" spans="2:13" ht="11.25" customHeight="1" x14ac:dyDescent="0.2">
      <c r="B38" s="1130" t="s">
        <v>1563</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1712</v>
      </c>
      <c r="C40" s="1129"/>
      <c r="D40" s="1129"/>
      <c r="E40" s="1129"/>
      <c r="F40" s="1129"/>
      <c r="G40" s="1129"/>
      <c r="H40" s="1129"/>
      <c r="I40" s="1129"/>
      <c r="J40" s="1129"/>
      <c r="K40" s="1129"/>
      <c r="L40" s="1129"/>
      <c r="M40" s="1129"/>
    </row>
    <row r="41" spans="2:13" ht="11.25" customHeight="1" x14ac:dyDescent="0.2">
      <c r="B41" s="1069" t="s">
        <v>1564</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1713</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1714</v>
      </c>
      <c r="C45" s="1131"/>
      <c r="D45" s="1132"/>
      <c r="E45" s="1069"/>
      <c r="F45" s="1069"/>
      <c r="G45" s="1069"/>
      <c r="H45" s="1069"/>
      <c r="I45" s="1069"/>
      <c r="J45" s="1069"/>
      <c r="K45" s="1133"/>
      <c r="L45" s="1133"/>
      <c r="M45" s="1069"/>
    </row>
    <row r="46" spans="2:13" ht="11.25" customHeight="1" x14ac:dyDescent="0.2">
      <c r="B46" s="1069" t="s">
        <v>1565</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33"/>
    <pageSetUpPr fitToPage="1"/>
  </sheetPr>
  <dimension ref="A1:G52"/>
  <sheetViews>
    <sheetView workbookViewId="0">
      <selection sqref="A1:F1"/>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10" t="str">
        <f>'Single Audit Cover'!A7</f>
        <v xml:space="preserve">   Lincolnshire-Prairieview SD 103</v>
      </c>
      <c r="B1" s="2610"/>
      <c r="C1" s="2610"/>
      <c r="D1" s="2610"/>
      <c r="E1" s="2610"/>
      <c r="F1" s="2610"/>
    </row>
    <row r="2" spans="1:7" ht="13.5" customHeight="1" x14ac:dyDescent="0.2">
      <c r="A2" s="2598">
        <f>'Single Audit Cover'!E7</f>
        <v>34049103002</v>
      </c>
      <c r="B2" s="2598"/>
      <c r="C2" s="2598"/>
      <c r="D2" s="2598"/>
      <c r="E2" s="2598"/>
      <c r="F2" s="2598"/>
      <c r="G2" s="1044"/>
    </row>
    <row r="3" spans="1:7" ht="15.75" customHeight="1" x14ac:dyDescent="0.2">
      <c r="A3" s="2611" t="s">
        <v>1258</v>
      </c>
      <c r="B3" s="2611"/>
      <c r="C3" s="2611"/>
      <c r="D3" s="2611"/>
      <c r="E3" s="2611"/>
      <c r="F3" s="2611"/>
    </row>
    <row r="4" spans="1:7" ht="13.5" customHeight="1" x14ac:dyDescent="0.2">
      <c r="A4" s="2612" t="str">
        <f>'Single Audit Cover'!A4</f>
        <v>Year Ending June 30, 2020</v>
      </c>
      <c r="B4" s="2612"/>
      <c r="C4" s="2612"/>
      <c r="D4" s="2612"/>
      <c r="E4" s="2612"/>
      <c r="F4" s="2612"/>
    </row>
    <row r="5" spans="1:7" ht="8.25" customHeight="1" x14ac:dyDescent="0.2">
      <c r="C5" s="295"/>
      <c r="D5" s="295"/>
    </row>
    <row r="6" spans="1:7" ht="13.5" customHeight="1" x14ac:dyDescent="0.2">
      <c r="A6" s="1045" t="s">
        <v>1701</v>
      </c>
      <c r="C6" s="295"/>
      <c r="D6" s="295"/>
    </row>
    <row r="7" spans="1:7" ht="60.95" customHeight="1" x14ac:dyDescent="0.2">
      <c r="A7" s="2609" t="s">
        <v>1702</v>
      </c>
      <c r="B7" s="2609"/>
      <c r="C7" s="2609"/>
      <c r="D7" s="2609"/>
      <c r="E7" s="2609"/>
      <c r="F7" s="2609"/>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1526</v>
      </c>
      <c r="B10" s="1049"/>
      <c r="C10" s="1050"/>
      <c r="D10" s="1049" t="s">
        <v>1527</v>
      </c>
      <c r="E10" s="1050"/>
      <c r="F10" s="1049" t="s">
        <v>99</v>
      </c>
      <c r="G10" s="1047"/>
    </row>
    <row r="11" spans="1:7" ht="12" customHeight="1" x14ac:dyDescent="0.2">
      <c r="A11" s="1048"/>
      <c r="B11" s="1049"/>
      <c r="C11" s="1514"/>
      <c r="D11" s="1049"/>
      <c r="E11" s="1514"/>
      <c r="F11" s="1049"/>
      <c r="G11" s="1047"/>
    </row>
    <row r="12" spans="1:7" x14ac:dyDescent="0.2">
      <c r="A12" s="1045" t="s">
        <v>1566</v>
      </c>
      <c r="C12" s="1029"/>
      <c r="D12" s="1029"/>
    </row>
    <row r="13" spans="1:7" ht="15" customHeight="1" x14ac:dyDescent="0.2">
      <c r="A13" s="2609" t="s">
        <v>1704</v>
      </c>
      <c r="B13" s="2609"/>
      <c r="C13" s="2609"/>
      <c r="D13" s="2609"/>
      <c r="E13" s="2609"/>
      <c r="F13" s="2609"/>
    </row>
    <row r="14" spans="1:7" ht="9.75" customHeight="1" x14ac:dyDescent="0.2">
      <c r="C14" s="1029"/>
      <c r="D14" s="1029"/>
    </row>
    <row r="15" spans="1:7" ht="13.5" customHeight="1" x14ac:dyDescent="0.2">
      <c r="C15" s="1469" t="s">
        <v>1257</v>
      </c>
      <c r="D15" s="2607" t="s">
        <v>1256</v>
      </c>
      <c r="E15" s="2607"/>
      <c r="F15" s="2607"/>
    </row>
    <row r="16" spans="1:7" ht="13.5" customHeight="1" x14ac:dyDescent="0.2">
      <c r="A16" s="1051"/>
      <c r="B16" s="1045" t="s">
        <v>1255</v>
      </c>
      <c r="C16" s="1469" t="s">
        <v>1254</v>
      </c>
      <c r="D16" s="2608" t="s">
        <v>1567</v>
      </c>
      <c r="E16" s="2608"/>
      <c r="F16" s="2608"/>
    </row>
    <row r="17" spans="1:6" ht="20.45" customHeight="1" x14ac:dyDescent="0.2">
      <c r="A17" s="1052"/>
      <c r="B17" s="1053"/>
      <c r="C17" s="1054"/>
      <c r="D17" s="2602"/>
      <c r="E17" s="2602"/>
      <c r="F17" s="2602"/>
    </row>
    <row r="18" spans="1:6" ht="20.65" customHeight="1" x14ac:dyDescent="0.2">
      <c r="A18" s="1052"/>
      <c r="B18" s="1053"/>
      <c r="C18" s="1054"/>
      <c r="D18" s="2602"/>
      <c r="E18" s="2602"/>
      <c r="F18" s="2602"/>
    </row>
    <row r="19" spans="1:6" ht="20.65" customHeight="1" x14ac:dyDescent="0.2">
      <c r="A19" s="1052"/>
      <c r="B19" s="1053"/>
      <c r="C19" s="1054"/>
      <c r="D19" s="2602"/>
      <c r="E19" s="2602"/>
      <c r="F19" s="2602"/>
    </row>
    <row r="20" spans="1:6" ht="20.65" customHeight="1" x14ac:dyDescent="0.2">
      <c r="A20" s="1052"/>
      <c r="B20" s="1053"/>
      <c r="C20" s="1054"/>
      <c r="D20" s="2602"/>
      <c r="E20" s="2602"/>
      <c r="F20" s="2602"/>
    </row>
    <row r="21" spans="1:6" ht="20.65" customHeight="1" x14ac:dyDescent="0.2">
      <c r="A21" s="1052"/>
      <c r="B21" s="1053"/>
      <c r="C21" s="1054"/>
      <c r="D21" s="2602"/>
      <c r="E21" s="2602"/>
      <c r="F21" s="2602"/>
    </row>
    <row r="22" spans="1:6" ht="20.65" customHeight="1" x14ac:dyDescent="0.2">
      <c r="A22" s="1052"/>
      <c r="B22" s="1053"/>
      <c r="C22" s="1054"/>
      <c r="D22" s="2602"/>
      <c r="E22" s="2602"/>
      <c r="F22" s="2602"/>
    </row>
    <row r="23" spans="1:6" ht="20.65" customHeight="1" x14ac:dyDescent="0.2">
      <c r="A23" s="1052"/>
      <c r="B23" s="1053"/>
      <c r="C23" s="1054"/>
      <c r="D23" s="2602"/>
      <c r="E23" s="2602"/>
      <c r="F23" s="2602"/>
    </row>
    <row r="24" spans="1:6" ht="20.65" customHeight="1" x14ac:dyDescent="0.2">
      <c r="A24" s="1052"/>
      <c r="B24" s="1053"/>
      <c r="C24" s="1054"/>
      <c r="D24" s="2602"/>
      <c r="E24" s="2602"/>
      <c r="F24" s="2602"/>
    </row>
    <row r="25" spans="1:6" ht="20.65" customHeight="1" x14ac:dyDescent="0.2">
      <c r="A25" s="1052"/>
      <c r="B25" s="1053"/>
      <c r="C25" s="1054"/>
      <c r="D25" s="2602"/>
      <c r="E25" s="2602"/>
      <c r="F25" s="2602"/>
    </row>
    <row r="26" spans="1:6" ht="20.65" customHeight="1" x14ac:dyDescent="0.2">
      <c r="A26" s="1052"/>
      <c r="B26" s="1053"/>
      <c r="C26" s="1054"/>
      <c r="D26" s="2602"/>
      <c r="E26" s="2602"/>
      <c r="F26" s="2602"/>
    </row>
    <row r="27" spans="1:6" ht="20.65" customHeight="1" x14ac:dyDescent="0.2">
      <c r="A27" s="1052"/>
      <c r="B27" s="1053"/>
      <c r="C27" s="1054"/>
      <c r="D27" s="2602"/>
      <c r="E27" s="2602"/>
      <c r="F27" s="2602"/>
    </row>
    <row r="28" spans="1:6" ht="20.65" customHeight="1" x14ac:dyDescent="0.2">
      <c r="A28" s="1052"/>
      <c r="B28" s="1053"/>
      <c r="C28" s="1054"/>
      <c r="D28" s="2602"/>
      <c r="E28" s="2602"/>
      <c r="F28" s="2602"/>
    </row>
    <row r="29" spans="1:6" ht="20.65" customHeight="1" x14ac:dyDescent="0.2">
      <c r="A29" s="1052"/>
      <c r="B29" s="1053"/>
      <c r="C29" s="1054"/>
      <c r="D29" s="2602"/>
      <c r="E29" s="2602"/>
      <c r="F29" s="2602"/>
    </row>
    <row r="30" spans="1:6" ht="12" customHeight="1" x14ac:dyDescent="0.2">
      <c r="A30" s="306"/>
      <c r="B30" s="306"/>
      <c r="C30" s="1226"/>
      <c r="D30" s="1515"/>
      <c r="E30" s="1055"/>
    </row>
    <row r="31" spans="1:6" ht="12" customHeight="1" x14ac:dyDescent="0.2">
      <c r="A31" s="1056" t="s">
        <v>1528</v>
      </c>
      <c r="B31" s="306"/>
      <c r="C31" s="1226"/>
      <c r="D31" s="1515"/>
      <c r="E31" s="1055"/>
    </row>
    <row r="32" spans="1:6" ht="30" customHeight="1" x14ac:dyDescent="0.2">
      <c r="A32" s="2603" t="s">
        <v>1705</v>
      </c>
      <c r="B32" s="2603"/>
      <c r="C32" s="2603"/>
      <c r="D32" s="2603"/>
      <c r="E32" s="2603"/>
      <c r="F32" s="2603"/>
    </row>
    <row r="33" spans="1:6" ht="13.5" customHeight="1" x14ac:dyDescent="0.2">
      <c r="A33" s="306" t="s">
        <v>1413</v>
      </c>
      <c r="B33" s="306"/>
      <c r="C33" s="1057">
        <v>0</v>
      </c>
      <c r="D33" s="1515"/>
      <c r="E33" s="1055"/>
    </row>
    <row r="34" spans="1:6" ht="13.5" customHeight="1" x14ac:dyDescent="0.2">
      <c r="A34" s="306" t="s">
        <v>1807</v>
      </c>
      <c r="B34" s="306"/>
      <c r="C34" s="1058">
        <v>0</v>
      </c>
      <c r="D34" s="1515" t="s">
        <v>1568</v>
      </c>
      <c r="E34" s="2604">
        <f>+C33+C34</f>
        <v>0</v>
      </c>
      <c r="F34" s="2605"/>
    </row>
    <row r="35" spans="1:6" ht="12" customHeight="1" x14ac:dyDescent="0.2">
      <c r="A35" s="306"/>
      <c r="B35" s="306"/>
      <c r="C35" s="1516"/>
      <c r="D35" s="1515"/>
      <c r="E35" s="1059"/>
      <c r="F35" s="1060"/>
    </row>
    <row r="36" spans="1:6" ht="13.5" customHeight="1" x14ac:dyDescent="0.2">
      <c r="A36" s="1056" t="s">
        <v>1529</v>
      </c>
      <c r="B36" s="306"/>
      <c r="C36" s="1226"/>
      <c r="D36" s="1515"/>
      <c r="E36" s="1055"/>
    </row>
    <row r="37" spans="1:6" ht="14.25" customHeight="1" x14ac:dyDescent="0.2">
      <c r="A37" s="306" t="s">
        <v>1463</v>
      </c>
      <c r="B37" s="306"/>
      <c r="C37" s="1517"/>
      <c r="D37" s="1515"/>
      <c r="E37" s="1055"/>
    </row>
    <row r="38" spans="1:6" ht="14.25" customHeight="1" x14ac:dyDescent="0.2">
      <c r="A38" s="306"/>
      <c r="B38" s="306" t="s">
        <v>1414</v>
      </c>
      <c r="C38" s="1061"/>
      <c r="D38" s="1515"/>
      <c r="E38" s="1055"/>
    </row>
    <row r="39" spans="1:6" ht="14.25" customHeight="1" x14ac:dyDescent="0.2">
      <c r="A39" s="306"/>
      <c r="B39" s="306" t="s">
        <v>1415</v>
      </c>
      <c r="C39" s="1061"/>
      <c r="D39" s="1515"/>
      <c r="E39" s="1055"/>
    </row>
    <row r="40" spans="1:6" ht="14.25" customHeight="1" x14ac:dyDescent="0.2">
      <c r="A40" s="306"/>
      <c r="B40" s="306" t="s">
        <v>1416</v>
      </c>
      <c r="C40" s="1061"/>
      <c r="D40" s="1515"/>
      <c r="E40" s="1055"/>
    </row>
    <row r="41" spans="1:6" ht="14.25" customHeight="1" x14ac:dyDescent="0.2">
      <c r="A41" s="306"/>
      <c r="B41" s="306" t="s">
        <v>1417</v>
      </c>
      <c r="C41" s="1061"/>
      <c r="D41" s="1515"/>
      <c r="E41" s="1055"/>
    </row>
    <row r="42" spans="1:6" ht="14.25" customHeight="1" x14ac:dyDescent="0.2">
      <c r="A42" s="306" t="s">
        <v>1418</v>
      </c>
      <c r="B42" s="306"/>
      <c r="C42" s="1513"/>
      <c r="D42" s="1515"/>
      <c r="E42" s="1055"/>
    </row>
    <row r="43" spans="1:6" ht="14.25" customHeight="1" x14ac:dyDescent="0.2">
      <c r="A43" s="306" t="s">
        <v>1419</v>
      </c>
      <c r="B43" s="306"/>
      <c r="C43" s="1062"/>
      <c r="D43" s="1515"/>
      <c r="E43" s="1055"/>
    </row>
    <row r="44" spans="1:6" ht="14.25" customHeight="1" x14ac:dyDescent="0.2">
      <c r="A44" s="306"/>
      <c r="B44" s="306"/>
      <c r="C44" s="1517" t="s">
        <v>1420</v>
      </c>
      <c r="D44" s="1515"/>
      <c r="E44" s="1055"/>
    </row>
    <row r="45" spans="1:6" ht="13.5" customHeight="1" x14ac:dyDescent="0.2">
      <c r="B45" s="300"/>
      <c r="C45" s="1063"/>
      <c r="D45" s="1063"/>
    </row>
    <row r="46" spans="1:6" x14ac:dyDescent="0.2">
      <c r="A46" s="1064" t="s">
        <v>1706</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06" t="s">
        <v>1569</v>
      </c>
      <c r="C49" s="2606"/>
      <c r="D49" s="2606"/>
      <c r="E49" s="1161"/>
    </row>
    <row r="50" spans="1:5" s="1069" customFormat="1" ht="3.75" customHeight="1" x14ac:dyDescent="0.2">
      <c r="A50" s="1068"/>
      <c r="B50" s="1468"/>
      <c r="C50" s="1468"/>
      <c r="D50" s="1468"/>
      <c r="E50" s="1161"/>
    </row>
    <row r="51" spans="1:5" s="1069" customFormat="1" ht="20.25" customHeight="1" x14ac:dyDescent="0.2">
      <c r="A51" s="1070">
        <v>6</v>
      </c>
      <c r="B51" s="2601" t="s">
        <v>1530</v>
      </c>
      <c r="C51" s="2601"/>
      <c r="D51" s="2601"/>
    </row>
    <row r="52" spans="1:5" ht="14.25" customHeight="1" x14ac:dyDescent="0.2">
      <c r="A52" s="1070"/>
      <c r="B52" s="2601"/>
      <c r="C52" s="2601"/>
      <c r="D52" s="260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33"/>
  </sheetPr>
  <dimension ref="A1:J63"/>
  <sheetViews>
    <sheetView workbookViewId="0"/>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4" t="str">
        <f>'Single Audit Cover'!A7</f>
        <v xml:space="preserve">   Lincolnshire-Prairieview SD 103</v>
      </c>
      <c r="C1" s="2625"/>
      <c r="D1" s="2625"/>
      <c r="E1" s="2625"/>
      <c r="F1" s="2625"/>
      <c r="G1" s="2625"/>
      <c r="H1" s="2625"/>
      <c r="I1" s="2625"/>
      <c r="J1" s="1171"/>
    </row>
    <row r="2" spans="2:10" s="295" customFormat="1" ht="12.75" customHeight="1" x14ac:dyDescent="0.2">
      <c r="B2" s="2626">
        <f>'Single Audit Cover'!E7</f>
        <v>34049103002</v>
      </c>
      <c r="C2" s="2627"/>
      <c r="D2" s="2627"/>
      <c r="E2" s="2627"/>
      <c r="F2" s="2627"/>
      <c r="G2" s="2627"/>
      <c r="H2" s="2627"/>
      <c r="I2" s="2627"/>
      <c r="J2" s="1171"/>
    </row>
    <row r="3" spans="2:10" s="295" customFormat="1" ht="12.75" customHeight="1" x14ac:dyDescent="0.2">
      <c r="B3" s="2628" t="s">
        <v>1272</v>
      </c>
      <c r="C3" s="2629"/>
      <c r="D3" s="2629"/>
      <c r="E3" s="2629"/>
      <c r="F3" s="2629"/>
      <c r="G3" s="2629"/>
      <c r="H3" s="2629"/>
      <c r="I3" s="2629"/>
      <c r="J3" s="1172"/>
    </row>
    <row r="4" spans="2:10" s="295" customFormat="1" ht="12.75" customHeight="1" x14ac:dyDescent="0.2">
      <c r="B4" s="2628" t="str">
        <f>'Single Audit Cover'!A4</f>
        <v>Year Ending June 30, 2020</v>
      </c>
      <c r="C4" s="2629"/>
      <c r="D4" s="2629"/>
      <c r="E4" s="2629"/>
      <c r="F4" s="2629"/>
      <c r="G4" s="2629"/>
      <c r="H4" s="2629"/>
      <c r="I4" s="2629"/>
    </row>
    <row r="5" spans="2:10" s="295" customFormat="1" ht="6.2" customHeight="1" x14ac:dyDescent="0.2">
      <c r="B5" s="1173" t="s">
        <v>1157</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28" t="s">
        <v>1271</v>
      </c>
      <c r="C7" s="2629"/>
      <c r="D7" s="2629"/>
      <c r="E7" s="2629"/>
      <c r="F7" s="2629"/>
      <c r="G7" s="2629"/>
      <c r="H7" s="2629"/>
      <c r="I7" s="2629"/>
    </row>
    <row r="8" spans="2:10" s="295" customFormat="1" ht="6.2" customHeight="1" x14ac:dyDescent="0.2">
      <c r="B8" s="1175" t="s">
        <v>1157</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1270</v>
      </c>
      <c r="C10" s="1180"/>
      <c r="D10" s="1180"/>
      <c r="E10" s="1027"/>
    </row>
    <row r="11" spans="2:10" s="295" customFormat="1" ht="13.5" customHeight="1" x14ac:dyDescent="0.2">
      <c r="B11" s="1112" t="s">
        <v>1269</v>
      </c>
      <c r="C11" s="2630"/>
      <c r="D11" s="2630"/>
      <c r="E11" s="1181"/>
      <c r="F11" s="1181"/>
      <c r="G11" s="1181"/>
    </row>
    <row r="12" spans="2:10" s="295" customFormat="1" ht="11.45" customHeight="1" x14ac:dyDescent="0.2">
      <c r="B12" s="1120"/>
      <c r="C12" s="1182" t="s">
        <v>1421</v>
      </c>
      <c r="D12" s="1183"/>
      <c r="E12" s="1027"/>
    </row>
    <row r="13" spans="2:10" s="295" customFormat="1" ht="12.75" customHeight="1" x14ac:dyDescent="0.2">
      <c r="B13" s="1184"/>
      <c r="C13" s="1149"/>
      <c r="D13" s="1149"/>
      <c r="E13" s="1027"/>
    </row>
    <row r="14" spans="2:10" s="295" customFormat="1" ht="12.75" customHeight="1" x14ac:dyDescent="0.2">
      <c r="B14" s="1131" t="s">
        <v>1268</v>
      </c>
      <c r="C14" s="1051"/>
      <c r="E14" s="1027"/>
    </row>
    <row r="15" spans="2:10" s="295" customFormat="1" ht="13.5" customHeight="1" x14ac:dyDescent="0.2">
      <c r="B15" s="1185" t="s">
        <v>1265</v>
      </c>
      <c r="C15" s="1186"/>
      <c r="D15" s="1160"/>
      <c r="E15" s="1187"/>
      <c r="F15" s="1069" t="s">
        <v>877</v>
      </c>
      <c r="G15" s="1187"/>
      <c r="H15" s="1069" t="s">
        <v>1263</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1264</v>
      </c>
      <c r="C17" s="1186"/>
      <c r="D17" s="1160"/>
      <c r="E17" s="1188"/>
      <c r="F17" s="1026"/>
      <c r="G17" s="1188"/>
      <c r="H17" s="1069"/>
      <c r="I17" s="1069"/>
    </row>
    <row r="18" spans="2:9" s="295" customFormat="1" ht="12.75" customHeight="1" x14ac:dyDescent="0.2">
      <c r="B18" s="1185" t="s">
        <v>1422</v>
      </c>
      <c r="C18" s="1186"/>
      <c r="D18" s="1160"/>
      <c r="E18" s="1187"/>
      <c r="F18" s="1069" t="s">
        <v>877</v>
      </c>
      <c r="G18" s="1187"/>
      <c r="H18" s="1069" t="s">
        <v>1263</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1570</v>
      </c>
      <c r="C20" s="1186"/>
      <c r="D20" s="1160"/>
      <c r="E20" s="1187"/>
      <c r="F20" s="1069" t="s">
        <v>877</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1267</v>
      </c>
      <c r="C22" s="1189"/>
      <c r="D22" s="1180"/>
      <c r="E22" s="1146"/>
      <c r="F22" s="1069"/>
      <c r="G22" s="300"/>
      <c r="H22" s="1069"/>
      <c r="I22" s="1069"/>
    </row>
    <row r="23" spans="2:9" s="295" customFormat="1" ht="12.75" customHeight="1" x14ac:dyDescent="0.2">
      <c r="B23" s="1131" t="s">
        <v>1266</v>
      </c>
      <c r="C23" s="1051"/>
      <c r="E23" s="1146"/>
      <c r="F23" s="1069"/>
      <c r="G23" s="300"/>
      <c r="H23" s="1069"/>
      <c r="I23" s="1069"/>
    </row>
    <row r="24" spans="2:9" s="295" customFormat="1" ht="13.5" customHeight="1" x14ac:dyDescent="0.2">
      <c r="B24" s="1185" t="s">
        <v>1265</v>
      </c>
      <c r="C24" s="1186"/>
      <c r="D24" s="1160"/>
      <c r="E24" s="1187"/>
      <c r="F24" s="1069" t="s">
        <v>877</v>
      </c>
      <c r="G24" s="1187"/>
      <c r="H24" s="1069" t="s">
        <v>1263</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1264</v>
      </c>
      <c r="C26" s="1186"/>
      <c r="D26" s="1160"/>
      <c r="E26" s="1188"/>
      <c r="F26" s="1026"/>
      <c r="G26" s="1188"/>
      <c r="H26" s="1069"/>
      <c r="I26" s="1069"/>
    </row>
    <row r="27" spans="2:9" s="295" customFormat="1" ht="12.75" customHeight="1" x14ac:dyDescent="0.2">
      <c r="B27" s="1185" t="s">
        <v>1422</v>
      </c>
      <c r="C27" s="1186"/>
      <c r="D27" s="1160"/>
      <c r="E27" s="1187"/>
      <c r="F27" s="1069" t="s">
        <v>877</v>
      </c>
      <c r="G27" s="1187"/>
      <c r="H27" s="1069" t="s">
        <v>1263</v>
      </c>
      <c r="I27" s="1069"/>
    </row>
    <row r="28" spans="2:9" s="295" customFormat="1" ht="12.75" customHeight="1" x14ac:dyDescent="0.2">
      <c r="B28" s="1131"/>
      <c r="C28" s="1051"/>
      <c r="E28" s="1027"/>
    </row>
    <row r="29" spans="2:9" s="295" customFormat="1" ht="12.75" customHeight="1" x14ac:dyDescent="0.2">
      <c r="B29" s="1131" t="s">
        <v>1262</v>
      </c>
      <c r="C29" s="1051"/>
      <c r="D29" s="2631"/>
      <c r="E29" s="2631"/>
      <c r="F29" s="2631"/>
      <c r="G29" s="2631"/>
      <c r="H29" s="2631"/>
      <c r="I29" s="2631"/>
    </row>
    <row r="30" spans="2:9" s="295" customFormat="1" x14ac:dyDescent="0.2">
      <c r="B30" s="1131"/>
      <c r="C30" s="300"/>
      <c r="D30" s="1182" t="s">
        <v>1721</v>
      </c>
      <c r="E30" s="1183"/>
      <c r="F30" s="1183"/>
      <c r="G30" s="1183"/>
      <c r="H30" s="1183"/>
      <c r="I30" s="1183"/>
    </row>
    <row r="31" spans="2:9" s="295" customFormat="1" ht="9.9499999999999993" customHeight="1" x14ac:dyDescent="0.2">
      <c r="B31" s="1131"/>
      <c r="E31" s="1027"/>
    </row>
    <row r="32" spans="2:9" s="295" customFormat="1" x14ac:dyDescent="0.2">
      <c r="B32" s="1131" t="s">
        <v>1261</v>
      </c>
      <c r="C32" s="1051"/>
      <c r="E32" s="1027"/>
    </row>
    <row r="33" spans="2:9" ht="13.5" customHeight="1" x14ac:dyDescent="0.2">
      <c r="B33" s="1131" t="s">
        <v>1531</v>
      </c>
      <c r="C33" s="1051"/>
      <c r="E33" s="1187"/>
      <c r="F33" s="1069" t="s">
        <v>877</v>
      </c>
      <c r="G33" s="1187"/>
      <c r="H33" s="1069" t="s">
        <v>99</v>
      </c>
    </row>
    <row r="35" spans="2:9" x14ac:dyDescent="0.2">
      <c r="B35" s="1190" t="s">
        <v>1722</v>
      </c>
      <c r="C35" s="1191"/>
      <c r="D35" s="1036"/>
    </row>
    <row r="36" spans="2:9" ht="6" customHeight="1" x14ac:dyDescent="0.2">
      <c r="B36" s="1190"/>
      <c r="C36" s="1191"/>
      <c r="D36" s="1036"/>
    </row>
    <row r="37" spans="2:9" ht="17.25" customHeight="1" x14ac:dyDescent="0.2">
      <c r="B37" s="1192" t="s">
        <v>1723</v>
      </c>
      <c r="C37" s="2632" t="s">
        <v>1724</v>
      </c>
      <c r="D37" s="2633"/>
      <c r="E37" s="2633"/>
      <c r="F37" s="2634"/>
      <c r="G37" s="2632" t="s">
        <v>1571</v>
      </c>
      <c r="H37" s="2633"/>
      <c r="I37" s="2634"/>
    </row>
    <row r="38" spans="2:9" ht="16.5" customHeight="1" x14ac:dyDescent="0.2">
      <c r="B38" s="1193"/>
      <c r="C38" s="2620"/>
      <c r="D38" s="2621"/>
      <c r="E38" s="2621"/>
      <c r="F38" s="2622"/>
      <c r="G38" s="2635"/>
      <c r="H38" s="2636"/>
      <c r="I38" s="2637"/>
    </row>
    <row r="39" spans="2:9" ht="16.5" customHeight="1" x14ac:dyDescent="0.2">
      <c r="B39" s="1193"/>
      <c r="C39" s="2620"/>
      <c r="D39" s="2621"/>
      <c r="E39" s="2621"/>
      <c r="F39" s="2622"/>
      <c r="G39" s="2623"/>
      <c r="H39" s="2623"/>
      <c r="I39" s="2623"/>
    </row>
    <row r="40" spans="2:9" ht="16.5" customHeight="1" x14ac:dyDescent="0.2">
      <c r="B40" s="1193"/>
      <c r="C40" s="2620"/>
      <c r="D40" s="2621"/>
      <c r="E40" s="2621"/>
      <c r="F40" s="2622"/>
      <c r="G40" s="2623"/>
      <c r="H40" s="2623"/>
      <c r="I40" s="2623"/>
    </row>
    <row r="41" spans="2:9" ht="16.5" customHeight="1" x14ac:dyDescent="0.2">
      <c r="B41" s="1193"/>
      <c r="C41" s="2620"/>
      <c r="D41" s="2621"/>
      <c r="E41" s="2621"/>
      <c r="F41" s="2622"/>
      <c r="G41" s="2623"/>
      <c r="H41" s="2623"/>
      <c r="I41" s="2623"/>
    </row>
    <row r="42" spans="2:9" ht="16.5" customHeight="1" x14ac:dyDescent="0.2">
      <c r="B42" s="1193"/>
      <c r="C42" s="2620"/>
      <c r="D42" s="2621"/>
      <c r="E42" s="2621"/>
      <c r="F42" s="2622"/>
      <c r="G42" s="2623"/>
      <c r="H42" s="2623"/>
      <c r="I42" s="2623"/>
    </row>
    <row r="43" spans="2:9" ht="16.5" customHeight="1" x14ac:dyDescent="0.2">
      <c r="B43" s="1193"/>
      <c r="C43" s="2613" t="s">
        <v>1572</v>
      </c>
      <c r="D43" s="2614"/>
      <c r="E43" s="2614"/>
      <c r="F43" s="2615"/>
      <c r="G43" s="2616">
        <f>SUM(G38:I42)</f>
        <v>0</v>
      </c>
      <c r="H43" s="2616"/>
      <c r="I43" s="2616"/>
    </row>
    <row r="44" spans="2:9" ht="12.75" customHeight="1" x14ac:dyDescent="0.2"/>
    <row r="45" spans="2:9" ht="12.75" customHeight="1" x14ac:dyDescent="0.2">
      <c r="B45" s="1897" t="str">
        <f>"Total Federal Expenditures for 7/1/"&amp;MID('AFR20'!E2,3,2)-1&amp;"-6/30/"&amp;MID('AFR20'!E2,3,2)</f>
        <v>Total Federal Expenditures for 7/1/19-6/30/20</v>
      </c>
      <c r="C45" s="1898"/>
      <c r="D45" s="2617">
        <v>0</v>
      </c>
      <c r="E45" s="2618"/>
    </row>
    <row r="46" spans="2:9" ht="5.25" customHeight="1" x14ac:dyDescent="0.2">
      <c r="B46" s="1194"/>
      <c r="D46" s="1195"/>
      <c r="E46" s="1196"/>
    </row>
    <row r="47" spans="2:9" ht="12.75" customHeight="1" x14ac:dyDescent="0.2">
      <c r="B47" s="1069" t="s">
        <v>1573</v>
      </c>
      <c r="C47" s="1069"/>
      <c r="D47" s="1197" t="e">
        <f>+G43/D45</f>
        <v>#DIV/0!</v>
      </c>
      <c r="E47" s="1198"/>
      <c r="F47" s="1199"/>
      <c r="I47" s="1200"/>
    </row>
    <row r="48" spans="2:9" ht="9.9499999999999993" customHeight="1" x14ac:dyDescent="0.2"/>
    <row r="49" spans="1:9" x14ac:dyDescent="0.2">
      <c r="B49" s="1131" t="s">
        <v>1260</v>
      </c>
      <c r="C49" s="1051"/>
      <c r="D49" s="1051"/>
      <c r="E49" s="2619"/>
      <c r="F49" s="2619"/>
      <c r="G49" s="2619"/>
      <c r="H49" s="300"/>
    </row>
    <row r="51" spans="1:9" ht="13.5" customHeight="1" x14ac:dyDescent="0.2">
      <c r="B51" s="1131" t="s">
        <v>1259</v>
      </c>
      <c r="C51" s="1051"/>
      <c r="E51" s="1187"/>
      <c r="F51" s="1069" t="s">
        <v>877</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1725</v>
      </c>
      <c r="C54" s="1209"/>
      <c r="D54" s="1209"/>
    </row>
    <row r="55" spans="1:9" s="1210" customFormat="1" ht="12.75" customHeight="1" x14ac:dyDescent="0.2">
      <c r="A55" s="1207"/>
      <c r="B55" s="1211" t="s">
        <v>1574</v>
      </c>
      <c r="C55" s="1207"/>
      <c r="D55" s="1207"/>
    </row>
    <row r="56" spans="1:9" s="1210" customFormat="1" ht="12.75" customHeight="1" x14ac:dyDescent="0.2">
      <c r="A56" s="1207"/>
      <c r="B56" s="1211" t="s">
        <v>1575</v>
      </c>
      <c r="C56" s="1207"/>
      <c r="D56" s="1207"/>
    </row>
    <row r="57" spans="1:9" s="1210" customFormat="1" ht="3.95" customHeight="1" x14ac:dyDescent="0.2">
      <c r="A57" s="1207"/>
      <c r="B57" s="1211"/>
      <c r="C57" s="1207"/>
      <c r="D57" s="1207"/>
    </row>
    <row r="58" spans="1:9" s="1210" customFormat="1" ht="13.5" customHeight="1" x14ac:dyDescent="0.2">
      <c r="A58" s="1207"/>
      <c r="B58" s="1212" t="s">
        <v>1726</v>
      </c>
      <c r="C58" s="1213"/>
      <c r="D58" s="1213"/>
    </row>
    <row r="59" spans="1:9" s="1210" customFormat="1" ht="3.95" customHeight="1" x14ac:dyDescent="0.2">
      <c r="A59" s="1207"/>
      <c r="B59" s="1212"/>
      <c r="C59" s="1213"/>
      <c r="D59" s="1213"/>
    </row>
    <row r="60" spans="1:9" s="1210" customFormat="1" ht="13.5" customHeight="1" x14ac:dyDescent="0.2">
      <c r="A60" s="1207"/>
      <c r="B60" s="1212" t="s">
        <v>1727</v>
      </c>
      <c r="C60" s="1213"/>
      <c r="D60" s="1213"/>
    </row>
    <row r="61" spans="1:9" s="1210" customFormat="1" ht="3.95" customHeight="1" x14ac:dyDescent="0.2">
      <c r="A61" s="1207"/>
      <c r="B61" s="1212"/>
      <c r="C61" s="1213"/>
      <c r="D61" s="1213"/>
    </row>
    <row r="62" spans="1:9" s="1210" customFormat="1" ht="12.75" customHeight="1" x14ac:dyDescent="0.2">
      <c r="A62" s="1207"/>
      <c r="B62" s="1212" t="s">
        <v>1728</v>
      </c>
      <c r="C62" s="1213"/>
      <c r="D62" s="1213"/>
    </row>
    <row r="63" spans="1:9" s="1210" customFormat="1" ht="13.5" customHeight="1" x14ac:dyDescent="0.2">
      <c r="A63" s="1207"/>
      <c r="B63" s="1211" t="s">
        <v>1576</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33"/>
  </sheetPr>
  <dimension ref="A1:M41"/>
  <sheetViews>
    <sheetView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4" t="str">
        <f>'Single Audit Cover'!A7</f>
        <v xml:space="preserve">   Lincolnshire-Prairieview SD 103</v>
      </c>
      <c r="C1" s="2624"/>
      <c r="D1" s="2624"/>
      <c r="E1" s="2624"/>
      <c r="F1" s="2624"/>
      <c r="G1" s="2624"/>
      <c r="H1" s="2624"/>
      <c r="I1" s="2624"/>
      <c r="J1" s="2624"/>
      <c r="K1" s="2624"/>
      <c r="L1" s="1137"/>
      <c r="M1" s="1137"/>
    </row>
    <row r="2" spans="1:13" ht="12" customHeight="1" x14ac:dyDescent="0.2">
      <c r="B2" s="2626">
        <f>'Single Audit Cover'!E7</f>
        <v>34049103002</v>
      </c>
      <c r="C2" s="2626"/>
      <c r="D2" s="2626"/>
      <c r="E2" s="2626"/>
      <c r="F2" s="2626"/>
      <c r="G2" s="2626"/>
      <c r="H2" s="2626"/>
      <c r="I2" s="2626"/>
      <c r="J2" s="2626"/>
      <c r="K2" s="2626"/>
      <c r="L2" s="1138"/>
      <c r="M2" s="1139"/>
    </row>
    <row r="3" spans="1:13" ht="10.35" customHeight="1" x14ac:dyDescent="0.2">
      <c r="B3" s="2640" t="s">
        <v>1272</v>
      </c>
      <c r="C3" s="2640"/>
      <c r="D3" s="2640"/>
      <c r="E3" s="2640"/>
      <c r="F3" s="2640"/>
      <c r="G3" s="2640"/>
      <c r="H3" s="2640"/>
      <c r="I3" s="2640"/>
      <c r="J3" s="2640"/>
      <c r="K3" s="2640"/>
      <c r="L3" s="1140"/>
      <c r="M3" s="1140"/>
    </row>
    <row r="4" spans="1:13" ht="14.25" customHeight="1" x14ac:dyDescent="0.2">
      <c r="B4" s="2641" t="str">
        <f>'Single Audit Cover'!A4</f>
        <v>Year Ending June 30, 2020</v>
      </c>
      <c r="C4" s="2641"/>
      <c r="D4" s="2641"/>
      <c r="E4" s="2641"/>
      <c r="F4" s="2641"/>
      <c r="G4" s="2641"/>
      <c r="H4" s="2641"/>
      <c r="I4" s="2641"/>
      <c r="J4" s="2641"/>
      <c r="K4" s="2641"/>
      <c r="L4" s="291"/>
      <c r="M4" s="291"/>
    </row>
    <row r="5" spans="1:13" ht="7.5" customHeight="1" x14ac:dyDescent="0.2">
      <c r="B5" s="1029" t="s">
        <v>1157</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41" t="s">
        <v>1283</v>
      </c>
      <c r="C7" s="2641"/>
      <c r="D7" s="2642"/>
      <c r="E7" s="2642"/>
      <c r="F7" s="2642"/>
      <c r="G7" s="2642"/>
      <c r="H7" s="2642"/>
      <c r="I7" s="2642"/>
      <c r="J7" s="2642"/>
      <c r="K7" s="264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1715</v>
      </c>
      <c r="C10" s="1899" t="str">
        <f>'AFR20'!$E$2&amp;"-"</f>
        <v>2020-</v>
      </c>
      <c r="D10" s="1148"/>
      <c r="E10" s="300"/>
      <c r="F10" s="1149" t="s">
        <v>1282</v>
      </c>
      <c r="G10" s="1150"/>
      <c r="H10" s="1151" t="s">
        <v>1281</v>
      </c>
      <c r="I10" s="1150"/>
      <c r="J10" s="1152" t="s">
        <v>1280</v>
      </c>
      <c r="K10" s="300"/>
      <c r="L10" s="1144"/>
    </row>
    <row r="11" spans="1:13" ht="13.5" customHeight="1" x14ac:dyDescent="0.2">
      <c r="B11" s="300"/>
      <c r="C11" s="300"/>
      <c r="D11" s="300"/>
      <c r="E11" s="300"/>
      <c r="F11" s="300"/>
      <c r="G11" s="1146"/>
      <c r="H11" s="300"/>
      <c r="I11" s="1153" t="s">
        <v>1279</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1278</v>
      </c>
      <c r="C13" s="1155"/>
      <c r="D13" s="1156"/>
      <c r="E13" s="1156"/>
      <c r="F13" s="1156"/>
      <c r="G13" s="1157"/>
      <c r="H13" s="1156"/>
      <c r="I13" s="1157"/>
      <c r="J13" s="1156"/>
      <c r="K13" s="1156"/>
      <c r="L13" s="1158"/>
    </row>
    <row r="14" spans="1:13" ht="45.75" customHeight="1" x14ac:dyDescent="0.2">
      <c r="B14" s="2639"/>
      <c r="C14" s="2639"/>
      <c r="D14" s="2639"/>
      <c r="E14" s="2639"/>
      <c r="F14" s="2639"/>
      <c r="G14" s="2639"/>
      <c r="H14" s="2639"/>
      <c r="I14" s="2639"/>
      <c r="J14" s="2639"/>
      <c r="K14" s="263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1277</v>
      </c>
      <c r="C16" s="1155"/>
      <c r="D16" s="1156"/>
      <c r="E16" s="1156"/>
      <c r="F16" s="1156"/>
      <c r="G16" s="1157"/>
      <c r="H16" s="1156"/>
      <c r="I16" s="1157"/>
      <c r="J16" s="1156"/>
      <c r="K16" s="1156"/>
      <c r="L16" s="1158"/>
    </row>
    <row r="17" spans="2:12" ht="45.75" customHeight="1" x14ac:dyDescent="0.2">
      <c r="B17" s="2639"/>
      <c r="C17" s="2639"/>
      <c r="D17" s="2639"/>
      <c r="E17" s="2639"/>
      <c r="F17" s="2639"/>
      <c r="G17" s="2639"/>
      <c r="H17" s="2639"/>
      <c r="I17" s="2639"/>
      <c r="J17" s="2639"/>
      <c r="K17" s="2639"/>
      <c r="L17" s="1144"/>
    </row>
    <row r="18" spans="2:12" ht="4.5" customHeight="1" x14ac:dyDescent="0.2">
      <c r="B18" s="1160"/>
      <c r="C18" s="1160"/>
      <c r="L18" s="1144"/>
    </row>
    <row r="19" spans="2:12" s="1051" customFormat="1" ht="13.5" customHeight="1" x14ac:dyDescent="0.2">
      <c r="B19" s="1155" t="s">
        <v>1716</v>
      </c>
      <c r="C19" s="1155"/>
      <c r="D19" s="1156"/>
      <c r="E19" s="1156"/>
      <c r="F19" s="1156"/>
      <c r="G19" s="1157"/>
      <c r="H19" s="1156"/>
      <c r="I19" s="1157"/>
      <c r="J19" s="1156"/>
      <c r="K19" s="1156"/>
      <c r="L19" s="1158"/>
    </row>
    <row r="20" spans="2:12" ht="45.75" customHeight="1" x14ac:dyDescent="0.2">
      <c r="B20" s="2643"/>
      <c r="C20" s="2643"/>
      <c r="D20" s="2639"/>
      <c r="E20" s="2639"/>
      <c r="F20" s="2639"/>
      <c r="G20" s="2639"/>
      <c r="H20" s="2639"/>
      <c r="I20" s="2639"/>
      <c r="J20" s="2639"/>
      <c r="K20" s="2639"/>
      <c r="L20" s="1144"/>
    </row>
    <row r="21" spans="2:12" ht="4.5" customHeight="1" x14ac:dyDescent="0.2">
      <c r="B21" s="1162"/>
      <c r="C21" s="1162"/>
      <c r="L21" s="1144"/>
    </row>
    <row r="22" spans="2:12" ht="13.5" customHeight="1" x14ac:dyDescent="0.2">
      <c r="B22" s="1155" t="s">
        <v>1276</v>
      </c>
      <c r="C22" s="1155"/>
      <c r="D22" s="1142"/>
      <c r="E22" s="1142"/>
      <c r="F22" s="1142"/>
      <c r="G22" s="1143"/>
      <c r="H22" s="1142"/>
      <c r="I22" s="1143"/>
      <c r="J22" s="1142"/>
      <c r="K22" s="1142"/>
      <c r="L22" s="1144"/>
    </row>
    <row r="23" spans="2:12" ht="45" customHeight="1" x14ac:dyDescent="0.2">
      <c r="B23" s="2639"/>
      <c r="C23" s="2639"/>
      <c r="D23" s="2639"/>
      <c r="E23" s="2639"/>
      <c r="F23" s="2639"/>
      <c r="G23" s="2639"/>
      <c r="H23" s="2639"/>
      <c r="I23" s="2639"/>
      <c r="J23" s="2639"/>
      <c r="K23" s="2639"/>
      <c r="L23" s="1144"/>
    </row>
    <row r="24" spans="2:12" ht="4.5" customHeight="1" x14ac:dyDescent="0.2">
      <c r="B24" s="1160"/>
      <c r="C24" s="1160"/>
      <c r="L24" s="1144"/>
    </row>
    <row r="25" spans="2:12" ht="13.5" customHeight="1" x14ac:dyDescent="0.2">
      <c r="B25" s="1155" t="s">
        <v>1275</v>
      </c>
      <c r="C25" s="1155"/>
      <c r="D25" s="1142"/>
      <c r="E25" s="1142"/>
      <c r="F25" s="1142"/>
      <c r="G25" s="1143"/>
      <c r="H25" s="1142"/>
      <c r="I25" s="1143"/>
      <c r="J25" s="1142"/>
      <c r="K25" s="1142"/>
      <c r="L25" s="1144"/>
    </row>
    <row r="26" spans="2:12" ht="45.75" customHeight="1" x14ac:dyDescent="0.2">
      <c r="B26" s="2639"/>
      <c r="C26" s="2639"/>
      <c r="D26" s="2639"/>
      <c r="E26" s="2639"/>
      <c r="F26" s="2639"/>
      <c r="G26" s="2639"/>
      <c r="H26" s="2639"/>
      <c r="I26" s="2639"/>
      <c r="J26" s="2639"/>
      <c r="K26" s="2639"/>
      <c r="L26" s="1144"/>
    </row>
    <row r="27" spans="2:12" ht="4.5" customHeight="1" x14ac:dyDescent="0.2">
      <c r="B27" s="1160"/>
      <c r="C27" s="1160"/>
      <c r="L27" s="1144"/>
    </row>
    <row r="28" spans="2:12" ht="13.5" customHeight="1" x14ac:dyDescent="0.2">
      <c r="B28" s="1163" t="s">
        <v>1274</v>
      </c>
      <c r="C28" s="1163"/>
      <c r="D28" s="1142"/>
      <c r="E28" s="1142"/>
      <c r="F28" s="1142"/>
      <c r="G28" s="1143"/>
      <c r="H28" s="1142"/>
      <c r="I28" s="1143"/>
      <c r="J28" s="1142"/>
      <c r="K28" s="1142"/>
      <c r="L28" s="1144"/>
    </row>
    <row r="29" spans="2:12" ht="45.75" customHeight="1" x14ac:dyDescent="0.2">
      <c r="B29" s="2638"/>
      <c r="C29" s="2638"/>
      <c r="D29" s="2639"/>
      <c r="E29" s="2639"/>
      <c r="F29" s="2639"/>
      <c r="G29" s="2639"/>
      <c r="H29" s="2639"/>
      <c r="I29" s="2639"/>
      <c r="J29" s="2639"/>
      <c r="K29" s="263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1717</v>
      </c>
      <c r="C31" s="1165"/>
      <c r="D31" s="1141"/>
      <c r="E31" s="1142"/>
      <c r="F31" s="1142"/>
      <c r="G31" s="1143"/>
      <c r="H31" s="1142"/>
      <c r="I31" s="1143"/>
      <c r="J31" s="1142"/>
      <c r="K31" s="1142"/>
      <c r="L31" s="1144"/>
    </row>
    <row r="32" spans="2:12" s="300" customFormat="1" ht="44.25" customHeight="1" x14ac:dyDescent="0.2">
      <c r="B32" s="2638"/>
      <c r="C32" s="2638"/>
      <c r="D32" s="2639"/>
      <c r="E32" s="2639"/>
      <c r="F32" s="2639"/>
      <c r="G32" s="2639"/>
      <c r="H32" s="2639"/>
      <c r="I32" s="2639"/>
      <c r="J32" s="2639"/>
      <c r="K32" s="263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1718</v>
      </c>
      <c r="C35" s="1168"/>
      <c r="D35" s="300"/>
      <c r="E35" s="300"/>
      <c r="F35" s="300"/>
      <c r="L35" s="1144"/>
    </row>
    <row r="36" spans="1:13" ht="9.6" customHeight="1" x14ac:dyDescent="0.2">
      <c r="B36" s="1069" t="s">
        <v>1809</v>
      </c>
      <c r="C36" s="1069"/>
      <c r="L36" s="1144"/>
    </row>
    <row r="37" spans="1:13" ht="9.6" customHeight="1" x14ac:dyDescent="0.2">
      <c r="B37" s="1069" t="s">
        <v>1810</v>
      </c>
      <c r="C37" s="1069"/>
    </row>
    <row r="38" spans="1:13" ht="11.85" customHeight="1" x14ac:dyDescent="0.2">
      <c r="B38" s="1169" t="s">
        <v>1719</v>
      </c>
      <c r="C38" s="1169"/>
    </row>
    <row r="39" spans="1:13" ht="9.6" customHeight="1" x14ac:dyDescent="0.2">
      <c r="B39" s="1069" t="s">
        <v>1273</v>
      </c>
      <c r="C39" s="1069"/>
      <c r="M39" s="1170"/>
    </row>
    <row r="40" spans="1:13" ht="12.6" customHeight="1" x14ac:dyDescent="0.2">
      <c r="B40" s="1169" t="s">
        <v>1720</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33"/>
  </sheetPr>
  <dimension ref="A1:L48"/>
  <sheetViews>
    <sheetView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7" t="str">
        <f>'Single Audit Cover'!A7</f>
        <v xml:space="preserve">   Lincolnshire-Prairieview SD 103</v>
      </c>
      <c r="C1" s="2647"/>
      <c r="D1" s="2647"/>
      <c r="E1" s="2647"/>
      <c r="F1" s="2647"/>
      <c r="G1" s="2647"/>
      <c r="H1" s="2647"/>
      <c r="I1" s="2647"/>
      <c r="J1" s="2647"/>
      <c r="K1" s="2647"/>
      <c r="L1" s="1214"/>
    </row>
    <row r="2" spans="1:12" ht="12.75" customHeight="1" x14ac:dyDescent="0.2">
      <c r="B2" s="2648">
        <f>'Single Audit Cover'!E7</f>
        <v>34049103002</v>
      </c>
      <c r="C2" s="2648"/>
      <c r="D2" s="2648"/>
      <c r="E2" s="2648"/>
      <c r="F2" s="2648"/>
      <c r="G2" s="2648"/>
      <c r="H2" s="2648"/>
      <c r="I2" s="2648"/>
      <c r="J2" s="2648"/>
      <c r="K2" s="2648"/>
      <c r="L2" s="1215"/>
    </row>
    <row r="3" spans="1:12" ht="12.75" customHeight="1" x14ac:dyDescent="0.2">
      <c r="B3" s="2640" t="s">
        <v>1272</v>
      </c>
      <c r="C3" s="2640"/>
      <c r="D3" s="2640"/>
      <c r="E3" s="2640"/>
      <c r="F3" s="2640"/>
      <c r="G3" s="2640"/>
      <c r="H3" s="2640"/>
      <c r="I3" s="2640"/>
      <c r="J3" s="2640"/>
      <c r="K3" s="2640"/>
      <c r="L3" s="1140"/>
    </row>
    <row r="4" spans="1:12" ht="12.75" customHeight="1" x14ac:dyDescent="0.2">
      <c r="B4" s="2640" t="str">
        <f>'Single Audit Cover'!A4</f>
        <v>Year Ending June 30, 2020</v>
      </c>
      <c r="C4" s="2640"/>
      <c r="D4" s="2640"/>
      <c r="E4" s="2640"/>
      <c r="F4" s="2640"/>
      <c r="G4" s="2640"/>
      <c r="H4" s="2640"/>
      <c r="I4" s="2640"/>
      <c r="J4" s="2640"/>
      <c r="K4" s="2640"/>
      <c r="L4" s="1140"/>
    </row>
    <row r="5" spans="1:12" ht="5.25" customHeight="1" x14ac:dyDescent="0.2">
      <c r="B5" s="1029" t="s">
        <v>1157</v>
      </c>
      <c r="C5" s="1029"/>
      <c r="L5" s="300"/>
    </row>
    <row r="6" spans="1:12" ht="30.75" customHeight="1" x14ac:dyDescent="0.2">
      <c r="A6" s="300"/>
      <c r="B6" s="2649" t="s">
        <v>1295</v>
      </c>
      <c r="C6" s="2649"/>
      <c r="D6" s="2649"/>
      <c r="E6" s="2649"/>
      <c r="F6" s="2649"/>
      <c r="G6" s="2649"/>
      <c r="H6" s="2649"/>
      <c r="I6" s="2649"/>
      <c r="J6" s="2649"/>
      <c r="K6" s="2649"/>
      <c r="L6" s="300"/>
    </row>
    <row r="7" spans="1:12" ht="4.5" customHeight="1" x14ac:dyDescent="0.2">
      <c r="B7" s="1142"/>
      <c r="C7" s="1142"/>
      <c r="D7" s="1142"/>
      <c r="E7" s="1142"/>
      <c r="F7" s="1142"/>
      <c r="G7" s="1143"/>
      <c r="H7" s="1142"/>
      <c r="I7" s="1143"/>
      <c r="J7" s="1142"/>
      <c r="K7" s="1142"/>
      <c r="L7" s="300"/>
    </row>
    <row r="8" spans="1:12" ht="13.5" customHeight="1" x14ac:dyDescent="0.2">
      <c r="B8" s="1149" t="s">
        <v>1729</v>
      </c>
      <c r="C8" s="1899" t="str">
        <f>'AFR20'!$E$2&amp;"-"</f>
        <v>2020-</v>
      </c>
      <c r="D8" s="1216"/>
      <c r="E8" s="300"/>
      <c r="F8" s="1147" t="s">
        <v>1282</v>
      </c>
      <c r="G8" s="1217"/>
      <c r="H8" s="1218" t="s">
        <v>1294</v>
      </c>
      <c r="I8" s="1217"/>
      <c r="J8" s="1219" t="s">
        <v>1293</v>
      </c>
      <c r="L8" s="300"/>
    </row>
    <row r="9" spans="1:12" ht="13.5" customHeight="1" x14ac:dyDescent="0.2">
      <c r="D9" s="300"/>
      <c r="E9" s="300"/>
      <c r="F9" s="300"/>
      <c r="G9" s="1146"/>
      <c r="H9" s="300"/>
      <c r="I9" s="1220" t="s">
        <v>1279</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1292</v>
      </c>
      <c r="C12" s="1147"/>
      <c r="D12" s="282"/>
      <c r="E12" s="300"/>
      <c r="F12" s="2631"/>
      <c r="G12" s="2631"/>
      <c r="H12" s="2631"/>
      <c r="I12" s="2631"/>
      <c r="J12" s="2631"/>
      <c r="K12" s="263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1291</v>
      </c>
      <c r="C14" s="1149"/>
      <c r="D14" s="2644"/>
      <c r="E14" s="2644"/>
      <c r="F14" s="2644"/>
      <c r="H14" s="1223" t="s">
        <v>1290</v>
      </c>
      <c r="I14" s="2645"/>
      <c r="J14" s="2645"/>
      <c r="K14" s="264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1289</v>
      </c>
      <c r="C16" s="1149"/>
      <c r="D16" s="2645"/>
      <c r="E16" s="2645"/>
      <c r="F16" s="2645"/>
      <c r="G16" s="2645"/>
      <c r="H16" s="2645"/>
      <c r="I16" s="2645"/>
      <c r="J16" s="2645"/>
      <c r="K16" s="2645"/>
      <c r="L16" s="300"/>
    </row>
    <row r="17" spans="2:12" ht="13.5" customHeight="1" x14ac:dyDescent="0.2">
      <c r="B17" s="1149" t="s">
        <v>1288</v>
      </c>
      <c r="C17" s="1149"/>
      <c r="D17" s="2646"/>
      <c r="E17" s="2646"/>
      <c r="F17" s="2646"/>
      <c r="G17" s="2646"/>
      <c r="H17" s="2646"/>
      <c r="I17" s="2646"/>
      <c r="J17" s="2646"/>
      <c r="K17" s="264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1287</v>
      </c>
      <c r="C19" s="1225"/>
      <c r="D19" s="306"/>
      <c r="E19" s="306"/>
      <c r="F19" s="306"/>
      <c r="G19" s="1226"/>
      <c r="H19" s="306"/>
      <c r="I19" s="1226"/>
      <c r="J19" s="300"/>
      <c r="K19" s="300"/>
      <c r="L19" s="300"/>
    </row>
    <row r="20" spans="2:12" ht="35.25" customHeight="1" x14ac:dyDescent="0.2">
      <c r="B20" s="2639"/>
      <c r="C20" s="2639"/>
      <c r="D20" s="2639"/>
      <c r="E20" s="2639"/>
      <c r="F20" s="2639"/>
      <c r="G20" s="2639"/>
      <c r="H20" s="2639"/>
      <c r="I20" s="2639"/>
      <c r="J20" s="2639"/>
      <c r="K20" s="263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1730</v>
      </c>
      <c r="C22" s="1225"/>
      <c r="D22" s="300"/>
      <c r="E22" s="300"/>
      <c r="F22" s="300"/>
      <c r="G22" s="1146"/>
      <c r="H22" s="300"/>
      <c r="I22" s="1146"/>
      <c r="J22" s="300"/>
      <c r="K22" s="300"/>
      <c r="L22" s="300"/>
    </row>
    <row r="23" spans="2:12" ht="37.5" customHeight="1" x14ac:dyDescent="0.2">
      <c r="B23" s="2639"/>
      <c r="C23" s="2639"/>
      <c r="D23" s="2639"/>
      <c r="E23" s="2639"/>
      <c r="F23" s="2639"/>
      <c r="G23" s="2639"/>
      <c r="H23" s="2639"/>
      <c r="I23" s="2639"/>
      <c r="J23" s="2639"/>
      <c r="K23" s="263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1731</v>
      </c>
      <c r="C25" s="1225"/>
      <c r="D25" s="300"/>
      <c r="E25" s="300"/>
      <c r="F25" s="300"/>
      <c r="G25" s="1146"/>
      <c r="H25" s="300"/>
      <c r="I25" s="1146"/>
      <c r="J25" s="300"/>
      <c r="K25" s="300"/>
      <c r="L25" s="300"/>
    </row>
    <row r="26" spans="2:12" ht="37.5" customHeight="1" x14ac:dyDescent="0.2">
      <c r="B26" s="2639"/>
      <c r="C26" s="2639"/>
      <c r="D26" s="2639"/>
      <c r="E26" s="2639"/>
      <c r="F26" s="2639"/>
      <c r="G26" s="2639"/>
      <c r="H26" s="2639"/>
      <c r="I26" s="2639"/>
      <c r="J26" s="2639"/>
      <c r="K26" s="263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1732</v>
      </c>
      <c r="C28" s="1225"/>
      <c r="D28" s="300"/>
      <c r="E28" s="300"/>
      <c r="F28" s="300"/>
      <c r="G28" s="1146"/>
      <c r="H28" s="300"/>
      <c r="I28" s="1146"/>
      <c r="J28" s="300"/>
      <c r="K28" s="300"/>
      <c r="L28" s="300"/>
    </row>
    <row r="29" spans="2:12" ht="37.5" customHeight="1" x14ac:dyDescent="0.2">
      <c r="B29" s="2639"/>
      <c r="C29" s="2639"/>
      <c r="D29" s="2639"/>
      <c r="E29" s="2639"/>
      <c r="F29" s="2639"/>
      <c r="G29" s="2639"/>
      <c r="H29" s="2639"/>
      <c r="I29" s="2639"/>
      <c r="J29" s="2639"/>
      <c r="K29" s="263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1286</v>
      </c>
      <c r="C31" s="1225"/>
      <c r="D31" s="300"/>
      <c r="E31" s="300"/>
      <c r="F31" s="300"/>
      <c r="G31" s="1146"/>
      <c r="H31" s="300"/>
      <c r="I31" s="1146"/>
      <c r="J31" s="300"/>
      <c r="K31" s="300"/>
      <c r="L31" s="300"/>
    </row>
    <row r="32" spans="2:12" ht="37.5" customHeight="1" x14ac:dyDescent="0.2">
      <c r="B32" s="2639"/>
      <c r="C32" s="2639"/>
      <c r="D32" s="2639"/>
      <c r="E32" s="2639"/>
      <c r="F32" s="2639"/>
      <c r="G32" s="2639"/>
      <c r="H32" s="2639"/>
      <c r="I32" s="2639"/>
      <c r="J32" s="2639"/>
      <c r="K32" s="263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1285</v>
      </c>
      <c r="C34" s="1147"/>
      <c r="D34" s="300"/>
      <c r="E34" s="300"/>
      <c r="F34" s="300"/>
      <c r="G34" s="1146"/>
      <c r="H34" s="300"/>
      <c r="I34" s="1146"/>
      <c r="J34" s="300"/>
      <c r="K34" s="300"/>
      <c r="L34" s="300"/>
    </row>
    <row r="35" spans="2:12" ht="37.5" customHeight="1" x14ac:dyDescent="0.2">
      <c r="B35" s="2639"/>
      <c r="C35" s="2639"/>
      <c r="D35" s="2639"/>
      <c r="E35" s="2639"/>
      <c r="F35" s="2639"/>
      <c r="G35" s="2639"/>
      <c r="H35" s="2639"/>
      <c r="I35" s="2639"/>
      <c r="J35" s="2639"/>
      <c r="K35" s="263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1284</v>
      </c>
      <c r="C37" s="1147"/>
      <c r="D37" s="300"/>
      <c r="E37" s="300"/>
      <c r="F37" s="300"/>
      <c r="G37" s="1146"/>
      <c r="H37" s="300"/>
      <c r="I37" s="1146"/>
      <c r="J37" s="300"/>
      <c r="K37" s="300"/>
      <c r="L37" s="300"/>
    </row>
    <row r="38" spans="2:12" ht="35.25" customHeight="1" x14ac:dyDescent="0.2">
      <c r="B38" s="2639"/>
      <c r="C38" s="2639"/>
      <c r="D38" s="2639"/>
      <c r="E38" s="2639"/>
      <c r="F38" s="2639"/>
      <c r="G38" s="2639"/>
      <c r="H38" s="2639"/>
      <c r="I38" s="2639"/>
      <c r="J38" s="2639"/>
      <c r="K38" s="263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1733</v>
      </c>
      <c r="C40" s="1165"/>
      <c r="D40" s="1141"/>
      <c r="E40" s="1142"/>
      <c r="F40" s="1142"/>
      <c r="G40" s="1143"/>
      <c r="H40" s="1142"/>
      <c r="I40" s="1143"/>
      <c r="J40" s="1142"/>
      <c r="K40" s="1142"/>
    </row>
    <row r="41" spans="2:12" s="300" customFormat="1" ht="33.75" customHeight="1" x14ac:dyDescent="0.2">
      <c r="B41" s="2639"/>
      <c r="C41" s="2639"/>
      <c r="D41" s="2639"/>
      <c r="E41" s="2639"/>
      <c r="F41" s="2639"/>
      <c r="G41" s="2639"/>
      <c r="H41" s="2639"/>
      <c r="I41" s="2639"/>
      <c r="J41" s="2639"/>
      <c r="K41" s="263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1734</v>
      </c>
      <c r="C44" s="1168"/>
      <c r="D44" s="300"/>
      <c r="E44" s="300"/>
      <c r="F44" s="300"/>
    </row>
    <row r="45" spans="2:12" ht="10.5" customHeight="1" x14ac:dyDescent="0.2">
      <c r="B45" s="1169" t="s">
        <v>1735</v>
      </c>
      <c r="C45" s="1169"/>
      <c r="G45" s="295"/>
      <c r="I45" s="295"/>
    </row>
    <row r="46" spans="2:12" ht="11.1" customHeight="1" x14ac:dyDescent="0.2">
      <c r="B46" s="1169" t="s">
        <v>1736</v>
      </c>
      <c r="C46" s="1169"/>
      <c r="G46" s="295"/>
      <c r="I46" s="295"/>
    </row>
    <row r="47" spans="2:12" ht="11.1" customHeight="1" x14ac:dyDescent="0.2">
      <c r="B47" s="1169" t="s">
        <v>1737</v>
      </c>
      <c r="C47" s="1169"/>
      <c r="G47" s="295"/>
      <c r="I47" s="295"/>
    </row>
    <row r="48" spans="2:12" ht="11.1" customHeight="1" x14ac:dyDescent="0.2">
      <c r="B48" s="1169" t="s">
        <v>1738</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33"/>
  </sheetPr>
  <dimension ref="B1:E73"/>
  <sheetViews>
    <sheetView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24" t="str">
        <f>'Single Audit Cover'!A7</f>
        <v xml:space="preserve">   Lincolnshire-Prairieview SD 103</v>
      </c>
      <c r="C1" s="2624"/>
      <c r="D1" s="2624"/>
      <c r="E1" s="1233"/>
    </row>
    <row r="2" spans="2:5" s="1051" customFormat="1" ht="12.75" customHeight="1" x14ac:dyDescent="0.2">
      <c r="B2" s="2626">
        <f>'Single Audit Cover'!E7</f>
        <v>34049103002</v>
      </c>
      <c r="C2" s="2626"/>
      <c r="D2" s="2626"/>
      <c r="E2" s="1234"/>
    </row>
    <row r="3" spans="2:5" ht="12.75" customHeight="1" x14ac:dyDescent="0.2">
      <c r="B3" s="2640" t="s">
        <v>1739</v>
      </c>
      <c r="C3" s="2640"/>
      <c r="D3" s="2640"/>
      <c r="E3" s="1043"/>
    </row>
    <row r="4" spans="2:5" s="1051" customFormat="1" ht="12.75" customHeight="1" x14ac:dyDescent="0.2">
      <c r="B4" s="2650" t="str">
        <f>'Single Audit Cover'!A4</f>
        <v>Year Ending June 30, 2020</v>
      </c>
      <c r="C4" s="2650"/>
      <c r="D4" s="2650"/>
      <c r="E4" s="1235"/>
    </row>
    <row r="5" spans="2:5" s="1051" customFormat="1" ht="40.15" customHeight="1" x14ac:dyDescent="0.2">
      <c r="B5" s="1236" t="s">
        <v>1740</v>
      </c>
      <c r="C5" s="306"/>
      <c r="D5" s="306"/>
      <c r="E5" s="306"/>
    </row>
    <row r="6" spans="2:5" s="1051" customFormat="1" ht="13.5" customHeight="1" x14ac:dyDescent="0.2">
      <c r="B6" s="1237" t="s">
        <v>1302</v>
      </c>
      <c r="C6" s="1237" t="s">
        <v>1301</v>
      </c>
      <c r="D6" s="1237" t="s">
        <v>1741</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1300</v>
      </c>
      <c r="C44" s="300"/>
    </row>
    <row r="45" spans="2:5" ht="12.2" customHeight="1" x14ac:dyDescent="0.2">
      <c r="B45" s="1247" t="s">
        <v>1742</v>
      </c>
    </row>
    <row r="46" spans="2:5" ht="12.2" customHeight="1" x14ac:dyDescent="0.2">
      <c r="B46" s="1247" t="s">
        <v>1743</v>
      </c>
    </row>
    <row r="47" spans="2:5" ht="12.2" customHeight="1" x14ac:dyDescent="0.2">
      <c r="B47" s="1248" t="s">
        <v>1299</v>
      </c>
    </row>
    <row r="48" spans="2:5" ht="12.2" customHeight="1" x14ac:dyDescent="0.2">
      <c r="B48" s="1248" t="s">
        <v>1298</v>
      </c>
    </row>
    <row r="49" spans="2:5" ht="12.2" customHeight="1" x14ac:dyDescent="0.2">
      <c r="B49" s="1248" t="s">
        <v>1297</v>
      </c>
    </row>
    <row r="50" spans="2:5" ht="12.2" customHeight="1" x14ac:dyDescent="0.2">
      <c r="B50" s="1248" t="s">
        <v>1296</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schemas.microsoft.com/office/infopath/2007/PartnerControls"/>
    <ds:schemaRef ds:uri="6ce3111e-7420-4802-b50a-75d4e9a0b980"/>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4d435f69-8686-490b-bd6d-b153bf22ab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2021-02-11T19:09:14Z</cp:lastPrinted>
  <dcterms:created xsi:type="dcterms:W3CDTF">2003-10-29T19:06:34Z</dcterms:created>
  <dcterms:modified xsi:type="dcterms:W3CDTF">2021-02-16T17:28:05Z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1050.01</vt:lpwstr>
  </property>
</Properties>
</file>