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034A6D8-2A9A-4362-A89E-9E0E90B7CAEC}" xr6:coauthVersionLast="36" xr6:coauthVersionMax="36" xr10:uidLastSave="{00000000-0000-0000-0000-000000000000}"/>
  <bookViews>
    <workbookView xWindow="-120" yWindow="-120" windowWidth="24240" windowHeight="131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3">'PCTC-OEPP 27-28'!$A$1:$F$180</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31'!$A$2:$F$43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3" i="11" l="1"/>
  <c r="C8" i="7"/>
  <c r="E8" i="7"/>
  <c r="G65" i="5" l="1"/>
  <c r="G5" i="5"/>
  <c r="M19" i="3" l="1"/>
  <c r="C8"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69" i="36" l="1"/>
  <c r="F36" i="34"/>
  <c r="B7828" i="106" s="1"/>
  <c r="D7828" i="106" s="1"/>
  <c r="G39" i="108"/>
  <c r="B2836" i="106"/>
  <c r="D2836" i="106" s="1"/>
  <c r="G30" i="108"/>
  <c r="L22" i="37"/>
  <c r="D22" i="37"/>
  <c r="F69" i="34"/>
  <c r="F64" i="34"/>
  <c r="F67" i="34"/>
  <c r="F34" i="34"/>
  <c r="B7826" i="106" s="1"/>
  <c r="D7826" i="106" s="1"/>
  <c r="G26" i="108"/>
  <c r="B1274" i="106"/>
  <c r="D1274" i="106" s="1"/>
  <c r="B6289" i="106"/>
  <c r="D6289" i="106" s="1"/>
  <c r="H342" i="29"/>
  <c r="B7221" i="106" s="1"/>
  <c r="D7221" i="106" s="1"/>
  <c r="D36" i="108"/>
  <c r="H28" i="118"/>
  <c r="D68" i="36"/>
  <c r="F70" i="34"/>
  <c r="F50" i="34"/>
  <c r="F37" i="34"/>
  <c r="B7829" i="106" s="1"/>
  <c r="D7829" i="106" s="1"/>
  <c r="H15" i="184"/>
  <c r="F42" i="34"/>
  <c r="F77" i="4"/>
  <c r="B3255" i="106" s="1"/>
  <c r="D3255" i="106" s="1"/>
  <c r="D24" i="37"/>
  <c r="B4270" i="106" s="1"/>
  <c r="D4270" i="106" s="1"/>
  <c r="C342" i="29"/>
  <c r="B7216" i="106" s="1"/>
  <c r="D7216" i="106" s="1"/>
  <c r="C352" i="29"/>
  <c r="C367" i="29" s="1"/>
  <c r="B3622" i="106" s="1"/>
  <c r="D3622" i="106" s="1"/>
  <c r="F71" i="34"/>
  <c r="J210" i="29"/>
  <c r="B7072" i="106" s="1"/>
  <c r="D7072" i="106" s="1"/>
  <c r="I210" i="29"/>
  <c r="B7071" i="106" s="1"/>
  <c r="D7071" i="106" s="1"/>
  <c r="G33" i="108"/>
  <c r="E17" i="184"/>
  <c r="H17" i="184" s="1"/>
  <c r="D31" i="108"/>
  <c r="E16" i="184"/>
  <c r="H16" i="184" s="1"/>
  <c r="H12" i="184"/>
  <c r="B7705" i="106"/>
  <c r="D7705" i="106" s="1"/>
  <c r="E67" i="184"/>
  <c r="N67" i="184" s="1"/>
  <c r="B7180" i="106"/>
  <c r="D7180" i="106" s="1"/>
  <c r="E63" i="184"/>
  <c r="N63" i="184" s="1"/>
  <c r="B7696" i="106"/>
  <c r="D7696" i="106" s="1"/>
  <c r="E66" i="184"/>
  <c r="N66" i="184" s="1"/>
  <c r="B7171" i="106"/>
  <c r="D7171" i="106" s="1"/>
  <c r="E62" i="184"/>
  <c r="N62" i="184" s="1"/>
  <c r="B7135" i="106"/>
  <c r="D7135" i="106" s="1"/>
  <c r="E58" i="184"/>
  <c r="N58" i="184" s="1"/>
  <c r="B7198" i="106"/>
  <c r="D7198" i="106" s="1"/>
  <c r="E65" i="184"/>
  <c r="N65" i="184" s="1"/>
  <c r="B7162" i="106"/>
  <c r="D7162" i="106" s="1"/>
  <c r="E61" i="184"/>
  <c r="N61" i="184" s="1"/>
  <c r="B7126" i="106"/>
  <c r="D7126" i="106" s="1"/>
  <c r="E57" i="184"/>
  <c r="H365" i="29"/>
  <c r="B7242" i="106" s="1"/>
  <c r="D7242" i="106" s="1"/>
  <c r="B7189" i="106"/>
  <c r="D7189" i="106" s="1"/>
  <c r="E64" i="184"/>
  <c r="N64" i="184" s="1"/>
  <c r="B7153" i="106"/>
  <c r="D7153" i="106" s="1"/>
  <c r="E60" i="184"/>
  <c r="N60" i="184" s="1"/>
  <c r="B7824" i="106"/>
  <c r="H76" i="4"/>
  <c r="B3298" i="106" s="1"/>
  <c r="D3298" i="106" s="1"/>
  <c r="H33" i="11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28" i="118" l="1"/>
  <c r="O27" i="118" s="1"/>
  <c r="O29" i="118" s="1"/>
  <c r="K77" i="4"/>
  <c r="B3587" i="106" s="1"/>
  <c r="D3587" i="106" s="1"/>
  <c r="H151" i="29"/>
  <c r="B1273" i="106" s="1"/>
  <c r="D1273" i="106" s="1"/>
  <c r="B1381" i="106"/>
  <c r="D1381" i="106" s="1"/>
  <c r="B3621" i="106"/>
  <c r="D3621" i="106" s="1"/>
  <c r="B6216" i="106"/>
  <c r="D6216" i="106" s="1"/>
  <c r="K365" i="29"/>
  <c r="B7243" i="106" s="1"/>
  <c r="D7243" i="106" s="1"/>
  <c r="F66" i="34"/>
  <c r="B1328" i="106"/>
  <c r="D1328" i="106" s="1"/>
  <c r="D44" i="36"/>
  <c r="E19" i="184"/>
  <c r="K342" i="29"/>
  <c r="F13" i="34" s="1"/>
  <c r="H77" i="4"/>
  <c r="B3299" i="106" s="1"/>
  <c r="D3299" i="106" s="1"/>
  <c r="F41" i="108"/>
  <c r="G43" i="108" s="1"/>
  <c r="L16" i="11"/>
  <c r="B2061" i="106" s="1"/>
  <c r="D2061" i="106" s="1"/>
  <c r="J16" i="4"/>
  <c r="B6226" i="106" s="1"/>
  <c r="D6226" i="106" s="1"/>
  <c r="B7235" i="106"/>
  <c r="D7235" i="106" s="1"/>
  <c r="H19" i="184"/>
  <c r="L20" i="184" s="1"/>
  <c r="L114" i="29"/>
  <c r="N57" i="184"/>
  <c r="N68" i="184" s="1"/>
  <c r="E68" i="184"/>
  <c r="E367" i="29"/>
  <c r="B3636" i="106" s="1"/>
  <c r="D3636" i="106" s="1"/>
  <c r="B3635" i="106"/>
  <c r="D3635" i="106" s="1"/>
  <c r="B7222" i="106"/>
  <c r="D7222" i="106" s="1"/>
  <c r="F76" i="34"/>
  <c r="B7887" i="106" s="1"/>
  <c r="D7887" i="106" s="1"/>
  <c r="B7215" i="106"/>
  <c r="D7215" i="106" s="1"/>
  <c r="B7220" i="106"/>
  <c r="D7220" i="106" s="1"/>
  <c r="F75" i="34"/>
  <c r="B7886" i="106" s="1"/>
  <c r="D7886" i="106" s="1"/>
  <c r="B5770" i="106"/>
  <c r="D5770" i="106" s="1"/>
  <c r="B5527" i="106"/>
  <c r="D5527" i="106" s="1"/>
  <c r="I7" i="4"/>
  <c r="B4444" i="106" s="1"/>
  <c r="D4444"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B6223" i="106"/>
  <c r="D6223" i="106" s="1"/>
  <c r="K17" i="4"/>
  <c r="K20" i="4" s="1"/>
  <c r="J20" i="4"/>
  <c r="J78" i="4" s="1"/>
  <c r="B6227" i="106"/>
  <c r="D6227" i="106" s="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D8" i="146"/>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8" i="146" l="1"/>
  <c r="D78" i="4"/>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<sst xmlns="http://schemas.openxmlformats.org/spreadsheetml/2006/main" count="5154" uniqueCount="2081">
  <si>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</si>
  <si>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</si>
  <si>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</si>
  <si>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</si>
  <si>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</si>
  <si>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</si>
  <si>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</si>
  <si>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</si>
  <si>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</si>
  <si>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</si>
  <si>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</si>
  <si>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</si>
  <si>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</si>
  <si>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</si>
  <si>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</si>
  <si>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</si>
  <si>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</si>
  <si>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</si>
  <si>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</si>
  <si>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</si>
  <si>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</si>
  <si>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</si>
  <si>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</si>
  <si>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</si>
  <si>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</si>
  <si>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</si>
  <si>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</si>
  <si>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</si>
  <si>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</si>
  <si>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</si>
  <si>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</si>
  <si>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</si>
  <si>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</si>
  <si>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</si>
  <si>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</si>
  <si>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</si>
  <si>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</si>
  <si>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</si>
  <si>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</si>
  <si>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</si>
  <si>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</si>
  <si>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</si>
  <si>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</si>
  <si>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</si>
  <si>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</si>
  <si>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</si>
  <si>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</si>
  <si>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</si>
  <si>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</si>
  <si>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</si>
  <si>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</si>
  <si>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</si>
  <si>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</si>
  <si>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</si>
  <si>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</si>
  <si>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</si>
  <si>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</si>
  <si>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</si>
  <si>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</si>
  <si>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</si>
  <si>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</si>
  <si>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</si>
  <si>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</si>
  <si>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</si>
  <si>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</si>
  <si>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</si>
  <si>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</si>
  <si>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</si>
  <si>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</si>
  <si>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</si>
  <si>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</si>
  <si>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</si>
  <si>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</si>
  <si>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</si>
  <si>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</si>
  <si>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</si>
  <si>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</si>
  <si>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</si>
  <si>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</si>
  <si>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</si>
  <si>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</si>
  <si>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</si>
  <si>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</si>
  <si>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</si>
  <si>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</si>
  <si>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</si>
  <si>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</si>
  <si>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</si>
  <si>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</si>
  <si>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</si>
  <si>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</si>
  <si>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</si>
  <si>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</si>
  <si>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</si>
  <si>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</si>
  <si>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</si>
  <si>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</si>
  <si>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</si>
  <si>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</si>
  <si>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</si>
  <si>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</si>
  <si>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</si>
  <si>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</si>
  <si>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</si>
  <si>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</si>
  <si>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</si>
  <si>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</si>
  <si>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</si>
  <si>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</si>
  <si>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</si>
  <si>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</si>
  <si>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</si>
  <si>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</si>
  <si>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</si>
  <si>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</si>
  <si>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</si>
  <si>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</si>
  <si>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</si>
  <si>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</si>
  <si>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</si>
  <si>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</si>
  <si>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</si>
  <si>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</si>
  <si>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</si>
  <si>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</si>
  <si>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</si>
  <si>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</si>
  <si>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</si>
  <si>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</si>
  <si>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</si>
  <si>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</si>
  <si>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</si>
  <si>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</si>
  <si>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</si>
  <si>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</si>
  <si>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</si>
  <si>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</si>
  <si>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</si>
  <si>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</si>
  <si>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</si>
  <si>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</si>
  <si>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</si>
  <si>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</si>
  <si>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</si>
  <si>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</si>
  <si>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</si>
  <si>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</si>
  <si>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</si>
  <si>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</si>
  <si>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</si>
  <si>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</si>
  <si>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</si>
  <si>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</si>
  <si>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</si>
  <si>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</si>
  <si>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</si>
  <si>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</si>
  <si>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</si>
  <si>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</si>
  <si>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</si>
  <si>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</si>
  <si>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</si>
  <si>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</si>
  <si>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</si>
  <si>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</si>
  <si>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</si>
  <si>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</si>
  <si>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</si>
  <si>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</si>
  <si>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</si>
  <si>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</si>
  <si>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</si>
  <si>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</si>
  <si>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</si>
  <si>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</si>
  <si>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</si>
  <si>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</si>
  <si>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</si>
  <si>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</si>
  <si>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</si>
  <si>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</si>
  <si>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</si>
  <si>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</si>
  <si>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</si>
  <si>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</si>
  <si>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</si>
  <si>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</si>
  <si>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</si>
  <si>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</si>
  <si>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</si>
  <si>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</si>
  <si>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</si>
  <si>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</si>
  <si>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</si>
  <si>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</si>
  <si>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</si>
  <si>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</si>
  <si>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</si>
  <si>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</si>
  <si>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</si>
  <si>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</si>
  <si>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</si>
  <si>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</si>
  <si>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</si>
  <si>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</si>
  <si>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</si>
  <si>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</si>
  <si>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</si>
  <si>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</si>
  <si>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</si>
  <si>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</si>
  <si>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</si>
  <si>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</si>
  <si>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</si>
  <si>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</si>
  <si>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</si>
  <si>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</si>
  <si>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</si>
  <si>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</si>
  <si>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</si>
  <si>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</si>
  <si>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</si>
  <si>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</si>
  <si>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</si>
  <si>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</si>
  <si>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</si>
  <si>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</si>
  <si>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</si>
  <si>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</si>
  <si>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</si>
  <si>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</si>
  <si>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</si>
  <si>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</si>
  <si>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</si>
  <si>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</si>
  <si>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</si>
  <si>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</si>
  <si>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</si>
  <si>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</si>
  <si>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</si>
  <si>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</si>
  <si>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</si>
  <si>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</si>
  <si>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</si>
  <si>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</si>
  <si>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</si>
  <si>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</si>
  <si>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</si>
  <si>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</si>
  <si>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</si>
  <si>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</si>
  <si>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</si>
  <si>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</si>
  <si>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</si>
  <si>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</si>
  <si>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</si>
  <si>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</si>
  <si>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</si>
  <si>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</si>
  <si>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</si>
  <si>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</si>
  <si>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</si>
  <si>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</si>
  <si>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</si>
  <si>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</si>
  <si>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</si>
  <si>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</si>
  <si>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</si>
  <si>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</si>
  <si>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</si>
  <si>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</si>
  <si>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</si>
  <si>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</si>
  <si>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</si>
  <si>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</si>
  <si>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</si>
  <si>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</si>
  <si>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</si>
  <si>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</si>
  <si>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</si>
  <si>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</si>
  <si>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</si>
  <si>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</si>
  <si>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</si>
  <si>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</si>
  <si>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</si>
  <si>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</si>
  <si>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</si>
  <si>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</si>
  <si>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</si>
  <si>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</si>
  <si>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</si>
  <si>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</si>
  <si>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</si>
  <si>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</si>
  <si>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</si>
  <si>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</si>
  <si>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</si>
  <si>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</si>
  <si>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</si>
  <si>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</si>
  <si>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</si>
  <si>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</si>
  <si>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</si>
  <si>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</si>
  <si>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</si>
  <si>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</si>
  <si>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</si>
  <si>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</si>
  <si>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</si>
  <si>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</si>
  <si>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</si>
  <si>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</si>
  <si>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</si>
  <si>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</si>
  <si>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</si>
  <si>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</si>
  <si>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</si>
  <si>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</si>
  <si>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</si>
  <si>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</si>
  <si>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</si>
  <si>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</si>
  <si>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</si>
  <si>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</si>
  <si>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</si>
  <si>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</si>
  <si>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</si>
  <si>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</si>
  <si>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</si>
  <si>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</si>
  <si>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</si>
  <si>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</si>
  <si>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</si>
  <si>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</si>
  <si>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</si>
  <si>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</si>
  <si>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</si>
  <si>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</si>
  <si>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</si>
  <si>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</si>
  <si>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</si>
  <si>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</si>
  <si>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</si>
  <si>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</si>
  <si>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</si>
  <si>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</si>
  <si>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</si>
  <si>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</si>
  <si>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</si>
  <si>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</si>
  <si>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</si>
  <si>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</si>
  <si>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</si>
  <si>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</si>
  <si>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</si>
  <si>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</si>
  <si>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</si>
  <si>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</si>
  <si>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</si>
  <si>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</si>
  <si>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</si>
  <si>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</si>
  <si>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</si>
  <si>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</si>
  <si>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</si>
  <si>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</si>
  <si>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</si>
  <si>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</si>
  <si>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</si>
  <si>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</si>
  <si>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</si>
  <si>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</si>
  <si>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</si>
  <si>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</si>
  <si>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</si>
  <si>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</si>
  <si>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</si>
  <si>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</si>
  <si>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</si>
  <si>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</si>
  <si>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</si>
  <si>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</si>
  <si>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</si>
  <si>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</si>
  <si>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</si>
  <si>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</si>
  <si>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</si>
  <si>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</si>
  <si>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</si>
  <si>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</si>
  <si>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</si>
  <si>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</si>
  <si>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</si>
  <si>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</si>
  <si>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</si>
  <si>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</si>
  <si>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</si>
  <si>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</si>
  <si>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</si>
  <si>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</si>
  <si>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</si>
  <si>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</si>
  <si>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</si>
  <si>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</si>
  <si>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</si>
  <si>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</si>
  <si>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</si>
  <si>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</si>
  <si>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</si>
  <si>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</si>
  <si>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</si>
  <si>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</si>
  <si>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</si>
  <si>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</si>
  <si>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</si>
  <si>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</si>
  <si>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</si>
  <si>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</si>
  <si>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</si>
  <si>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</si>
  <si>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</si>
  <si>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</si>
  <si>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</si>
  <si>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</si>
  <si>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</si>
  <si>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</si>
  <si>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</si>
  <si>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</si>
  <si>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</si>
  <si>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</si>
  <si>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</si>
  <si>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</si>
  <si>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</si>
  <si>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</si>
  <si>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</si>
  <si>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</si>
  <si>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</si>
  <si>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</si>
  <si>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</si>
  <si>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</si>
  <si>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</si>
  <si>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</si>
  <si>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</si>
  <si>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</si>
  <si>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</si>
  <si>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</si>
  <si>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</si>
  <si>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</si>
  <si>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</si>
  <si>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</si>
  <si>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</si>
  <si>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</si>
  <si>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</si>
  <si>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</si>
  <si>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</si>
  <si>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</si>
  <si>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</si>
  <si>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</si>
  <si>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</si>
  <si>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</si>
  <si>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</si>
  <si>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</si>
  <si>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</si>
  <si>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</si>
  <si>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</si>
  <si>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</si>
  <si>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</si>
  <si>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</si>
  <si>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</si>
  <si>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</si>
  <si>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</si>
  <si>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</si>
  <si>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</si>
  <si>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</si>
  <si>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</si>
  <si>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</si>
  <si>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</si>
  <si>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</si>
  <si>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</si>
  <si>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</si>
  <si>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</si>
  <si>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</si>
  <si>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</si>
  <si>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</si>
  <si>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</si>
  <si>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</si>
  <si>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</si>
  <si>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</si>
  <si>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</si>
  <si>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</si>
  <si>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</si>
  <si>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</si>
  <si>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</si>
  <si>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</si>
  <si>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</si>
  <si>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</si>
  <si>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</si>
  <si>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</si>
  <si>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</si>
  <si>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</si>
  <si>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</si>
  <si>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</si>
  <si>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</si>
  <si>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</si>
  <si>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</si>
  <si>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</si>
  <si>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</si>
  <si>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</si>
  <si>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</si>
  <si>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</si>
  <si>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</si>
  <si>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</si>
  <si>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</si>
  <si>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</si>
  <si>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</si>
  <si>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</si>
  <si>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</si>
  <si>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</si>
  <si>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</si>
  <si>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</si>
  <si>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</si>
  <si>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</si>
  <si>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</si>
  <si>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</si>
  <si>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</si>
  <si>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</si>
  <si>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</si>
  <si>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</si>
  <si>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</si>
  <si>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</si>
  <si>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</si>
  <si>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</si>
  <si>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</si>
  <si>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</si>
  <si>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</si>
  <si>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</si>
  <si>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</si>
  <si>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</si>
  <si>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</si>
  <si>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</si>
  <si>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</si>
  <si>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</si>
  <si>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</si>
  <si>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</si>
  <si>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</si>
  <si>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</si>
  <si>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</si>
  <si>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</si>
  <si>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</si>
  <si>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</si>
  <si>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</si>
  <si>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</si>
  <si>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</si>
  <si>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</si>
  <si>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</si>
  <si>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</si>
  <si>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</si>
  <si>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</si>
  <si>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</si>
  <si>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</si>
  <si>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</si>
  <si>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</si>
  <si>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</si>
  <si>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</si>
  <si>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</si>
  <si>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</si>
  <si>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</si>
  <si>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</si>
  <si>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</si>
  <si>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</si>
  <si>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</si>
  <si>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</si>
  <si>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</si>
  <si>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</si>
  <si>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</si>
  <si>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</si>
  <si>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</si>
  <si>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</si>
  <si>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</si>
  <si>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</si>
  <si>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</si>
  <si>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</si>
  <si>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</si>
  <si>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</si>
  <si>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</si>
  <si>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</si>
  <si>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</si>
  <si>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</si>
  <si>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</si>
  <si>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</si>
  <si>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</si>
  <si>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</si>
  <si>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</si>
  <si>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</si>
  <si>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</si>
  <si>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</si>
  <si>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</si>
  <si>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</si>
  <si>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</si>
  <si>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</si>
  <si>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</si>
  <si>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</si>
  <si>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</si>
  <si>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</si>
  <si>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</si>
  <si>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</si>
  <si>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</si>
  <si>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</si>
  <si>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</si>
  <si>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</si>
  <si>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</si>
  <si>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</si>
  <si>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</si>
  <si>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</si>
  <si>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</si>
  <si>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</si>
  <si>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</si>
  <si>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</si>
  <si>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</si>
  <si>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</si>
  <si>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</si>
  <si>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</si>
  <si>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</si>
  <si>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</si>
  <si>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</si>
  <si>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</si>
  <si>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</si>
  <si>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</si>
  <si>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</si>
  <si>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</si>
  <si>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</si>
  <si>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</si>
  <si>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</si>
  <si>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</si>
  <si>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</si>
  <si>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</si>
  <si>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</si>
  <si>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</si>
  <si>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</si>
  <si>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</si>
  <si>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</si>
  <si>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</si>
  <si>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</si>
  <si>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</si>
  <si>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</si>
  <si>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</si>
  <si>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</si>
  <si>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</si>
  <si>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</si>
  <si>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</si>
  <si>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</si>
  <si>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</si>
  <si>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</si>
  <si>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</si>
  <si>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</si>
  <si>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</si>
  <si>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</si>
  <si>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</si>
  <si>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</si>
  <si>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</si>
  <si>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</si>
  <si>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</si>
  <si>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</si>
  <si>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</si>
  <si>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</si>
  <si>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</si>
  <si>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</si>
  <si>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</si>
  <si>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</si>
  <si>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</si>
  <si>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</si>
  <si>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</si>
  <si>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</si>
  <si>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</si>
  <si>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</si>
  <si>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</si>
  <si>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</si>
  <si>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</si>
  <si>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</si>
  <si>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</si>
  <si>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</si>
  <si>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</si>
  <si>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</si>
  <si>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</si>
  <si>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</si>
  <si>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</si>
  <si>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</si>
  <si>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</si>
  <si>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</si>
  <si>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</si>
  <si>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</si>
  <si>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</si>
  <si>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</si>
  <si>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</si>
  <si>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</si>
  <si>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</si>
  <si>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</si>
  <si>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</si>
  <si>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</si>
  <si>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</si>
  <si>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</si>
  <si>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</si>
  <si>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</si>
  <si>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</si>
  <si>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</si>
  <si>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</si>
  <si>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</si>
  <si>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</si>
  <si>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</si>
  <si>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</si>
  <si>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</si>
  <si>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</si>
  <si>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</si>
  <si>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</si>
  <si>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</si>
  <si>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</si>
  <si>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</si>
  <si>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</si>
  <si>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</si>
  <si>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</si>
  <si>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</si>
  <si>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</si>
  <si>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</si>
  <si>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</si>
  <si>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</si>
  <si>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</si>
  <si>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</si>
  <si>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</si>
  <si>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</si>
  <si>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</si>
  <si>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</si>
  <si>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</si>
  <si>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</si>
  <si>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</si>
  <si>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</si>
  <si>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</si>
  <si>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</si>
  <si>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</si>
  <si>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</si>
  <si>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</si>
  <si>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</si>
  <si>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</si>
  <si>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</si>
  <si>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</si>
  <si>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</si>
  <si>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</si>
  <si>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</si>
  <si>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</si>
  <si>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</si>
  <si>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</si>
  <si>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</si>
  <si>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</si>
  <si>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</si>
  <si>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</si>
  <si>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</si>
  <si>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</si>
  <si>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</si>
  <si>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</si>
  <si>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</si>
  <si>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</si>
  <si>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</si>
  <si>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</si>
  <si>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</si>
  <si>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</si>
  <si>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</si>
  <si>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</si>
  <si>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</si>
  <si>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</si>
  <si>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</si>
  <si>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</si>
  <si>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</si>
  <si>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</si>
  <si>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</si>
  <si>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</si>
  <si>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</si>
  <si>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</si>
  <si>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</si>
  <si>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</si>
  <si>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</si>
  <si>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</si>
  <si>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</si>
  <si>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</si>
  <si>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</si>
  <si>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</si>
  <si>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</si>
  <si>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</si>
  <si>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</si>
  <si>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</si>
  <si>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</si>
  <si>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</si>
  <si>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</si>
  <si>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</si>
  <si>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</si>
  <si>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</si>
  <si>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</si>
  <si>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</si>
  <si>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</si>
  <si>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</si>
  <si>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</si>
  <si>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</si>
  <si>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</si>
  <si>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</si>
  <si>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</si>
  <si>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</si>
  <si>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</si>
  <si>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</si>
  <si>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</si>
  <si>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</si>
  <si>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</si>
  <si>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</si>
  <si>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</si>
  <si>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</si>
  <si>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</si>
  <si>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</si>
  <si>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</si>
  <si>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</si>
  <si>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</si>
  <si>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</si>
  <si>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</si>
  <si>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</si>
  <si>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</si>
  <si>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</si>
  <si>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</si>
  <si>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</si>
  <si>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</si>
  <si>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</si>
  <si>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</si>
  <si>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</si>
  <si>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</si>
  <si>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</si>
  <si>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</si>
  <si>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</si>
  <si>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</si>
  <si>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</si>
  <si>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</si>
  <si>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</si>
  <si>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</si>
  <si>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</si>
  <si>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</si>
  <si>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</si>
  <si>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</si>
  <si>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</si>
  <si>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</si>
  <si>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</si>
  <si>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</si>
  <si>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</si>
  <si>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</si>
  <si>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</si>
  <si>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</si>
  <si>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</si>
  <si>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</si>
  <si>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</si>
  <si>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</si>
  <si>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</si>
  <si>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</si>
  <si>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</si>
  <si>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</si>
  <si>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</si>
  <si>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</si>
  <si>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</si>
  <si>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</si>
  <si>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</si>
  <si>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</si>
  <si>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</si>
  <si>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</si>
  <si>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</si>
  <si>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</si>
  <si>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</si>
  <si>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</si>
  <si>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</si>
  <si>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</si>
  <si>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</si>
  <si>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</si>
  <si>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</si>
  <si>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</si>
  <si>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</si>
  <si>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</si>
  <si>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</si>
  <si>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</si>
  <si>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</si>
  <si>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</si>
  <si>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</si>
  <si>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</si>
  <si>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</si>
  <si>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</si>
  <si>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</si>
  <si>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</si>
  <si>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</si>
  <si>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</si>
  <si>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</si>
  <si>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</si>
  <si>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</si>
  <si>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</si>
  <si>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</si>
  <si>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</si>
  <si>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</si>
  <si>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</si>
  <si>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</si>
  <si>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</si>
  <si>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</si>
  <si>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</si>
  <si>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</si>
  <si>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</si>
  <si>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</si>
  <si>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</si>
  <si>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</si>
  <si>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</si>
  <si>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</si>
  <si>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</si>
  <si>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</si>
  <si>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</si>
  <si>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</si>
  <si>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</si>
  <si>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</si>
  <si>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</si>
  <si>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</si>
  <si>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</si>
  <si>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</si>
  <si>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</si>
  <si>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</si>
  <si>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</si>
  <si>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</si>
  <si>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</si>
  <si>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</si>
  <si>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</si>
  <si>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</si>
  <si>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</si>
  <si>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</si>
  <si>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</si>
  <si>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</si>
  <si>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</si>
  <si>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</si>
  <si>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</si>
  <si>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</si>
  <si>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</si>
  <si>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</si>
  <si>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</si>
  <si>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</si>
  <si>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</si>
  <si>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</si>
  <si>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</si>
  <si>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</si>
  <si>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</si>
  <si>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</si>
  <si>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</si>
  <si>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</si>
  <si>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</si>
  <si>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</si>
  <si>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</si>
  <si>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</si>
  <si>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</si>
  <si>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</si>
  <si>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</si>
  <si>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</si>
  <si>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</si>
  <si>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</si>
  <si>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</si>
  <si>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</si>
  <si>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</si>
  <si>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</si>
  <si>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</si>
  <si>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</si>
  <si>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</si>
  <si>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</si>
  <si>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</si>
  <si>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</si>
  <si>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</si>
  <si>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</si>
  <si>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</si>
  <si>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</si>
  <si>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</si>
  <si>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</si>
  <si>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</si>
  <si>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</si>
  <si>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</si>
  <si>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</si>
  <si>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</si>
  <si>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</si>
  <si>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</si>
  <si>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</si>
  <si>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</si>
  <si>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</si>
  <si>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</si>
  <si>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</si>
  <si>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</si>
  <si>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</si>
  <si>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</si>
  <si>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</si>
  <si>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</si>
  <si>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</si>
  <si>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</si>
  <si>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</si>
  <si>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</si>
  <si>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</si>
  <si>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</si>
  <si>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</si>
  <si>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</si>
  <si>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</si>
  <si>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</si>
  <si>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</si>
  <si>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</si>
  <si>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</si>
  <si>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</si>
  <si>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</si>
  <si>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</si>
  <si>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</si>
  <si>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</si>
  <si>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</si>
  <si>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</si>
  <si>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</si>
  <si>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</si>
  <si>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</si>
  <si>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</si>
  <si>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</si>
  <si>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</si>
  <si>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</si>
  <si>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</si>
  <si>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</si>
  <si>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</si>
  <si>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</si>
  <si>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</si>
  <si>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</si>
  <si>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</si>
  <si>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</si>
  <si>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</si>
  <si>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</si>
  <si>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</si>
  <si>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</si>
  <si>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</si>
  <si>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</si>
  <si>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</si>
  <si>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</si>
  <si>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</si>
  <si>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</si>
  <si>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</si>
  <si>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</si>
  <si>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</si>
  <si>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</si>
  <si>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</si>
  <si>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</si>
  <si>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</si>
  <si>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</si>
  <si>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</si>
  <si>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</si>
  <si>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</si>
  <si>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</si>
  <si>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</si>
  <si>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</si>
  <si>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</si>
  <si>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</si>
  <si>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</si>
  <si>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</si>
  <si>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</si>
  <si>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</si>
  <si>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</si>
  <si>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</si>
  <si>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</si>
  <si>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</si>
  <si>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</si>
  <si>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</si>
  <si>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</si>
  <si>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</si>
  <si>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</si>
  <si>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</si>
  <si>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</si>
  <si>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</si>
  <si>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</si>
  <si>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</si>
  <si>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</si>
  <si>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</si>
  <si>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</si>
  <si>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</si>
  <si>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</si>
  <si>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</si>
  <si>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</si>
  <si>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</si>
  <si>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</si>
  <si>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</si>
  <si>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</si>
  <si>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</si>
  <si>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</si>
  <si>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</si>
  <si>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</si>
  <si>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</si>
  <si>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</si>
  <si>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</si>
  <si>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</si>
  <si>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</si>
  <si>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</si>
  <si>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</si>
  <si>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</si>
  <si>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</si>
  <si>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</si>
  <si>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</si>
  <si>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</si>
  <si>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</si>
  <si>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</si>
  <si>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</si>
  <si>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</si>
  <si>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</si>
  <si>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</si>
  <si>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</si>
  <si>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</si>
  <si>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</si>
  <si>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</si>
  <si>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</si>
  <si>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</si>
  <si>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</si>
  <si>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</si>
  <si>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</si>
  <si>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</si>
  <si>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</si>
  <si>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</si>
  <si>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</si>
  <si>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</si>
  <si>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</si>
  <si>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</si>
  <si>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</si>
  <si>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</si>
  <si>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</si>
  <si>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</si>
  <si>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</si>
  <si>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</si>
  <si>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</si>
  <si>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</si>
  <si>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</si>
  <si>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</si>
  <si>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</si>
  <si>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</si>
  <si>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</si>
  <si>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</si>
  <si>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</si>
  <si>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</si>
  <si>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</si>
  <si>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</si>
  <si>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</si>
  <si>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</si>
  <si>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</si>
  <si>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</si>
  <si>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</si>
  <si>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</si>
  <si>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</si>
  <si>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</si>
  <si>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</si>
  <si>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</si>
  <si>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</si>
  <si>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</si>
  <si>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</si>
  <si>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</si>
  <si>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</si>
  <si>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</si>
  <si>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</si>
  <si>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</si>
  <si>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</si>
  <si>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</si>
  <si>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</si>
  <si>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</si>
  <si>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</si>
  <si>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</si>
  <si>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</si>
  <si>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</si>
  <si>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</si>
  <si>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</si>
  <si>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</si>
  <si>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</si>
  <si>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</si>
  <si>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</si>
  <si>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</si>
  <si>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</si>
  <si>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</si>
  <si>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</si>
  <si>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</si>
  <si>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</si>
  <si>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</si>
  <si>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</si>
  <si>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</si>
  <si>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</si>
  <si>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</si>
  <si>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</si>
  <si>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</si>
  <si>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</si>
  <si>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</si>
  <si>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</si>
  <si>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</si>
  <si>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</si>
  <si>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</si>
  <si>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</si>
  <si>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</si>
  <si>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</si>
  <si>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</si>
  <si>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</si>
  <si>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</si>
  <si>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</si>
  <si>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</si>
  <si>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</si>
  <si>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</si>
  <si>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</si>
  <si>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</si>
  <si>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</si>
  <si>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</si>
  <si>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</si>
  <si>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</si>
  <si>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</si>
  <si>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</si>
  <si>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</si>
  <si>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</si>
  <si>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</si>
  <si>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</si>
  <si>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</si>
  <si>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</si>
  <si>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</si>
  <si>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</si>
  <si>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</si>
  <si>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</si>
  <si>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</si>
  <si>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</si>
  <si>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</si>
  <si>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</si>
  <si>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</si>
  <si>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</si>
  <si>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</si>
  <si>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</si>
  <si>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</si>
  <si>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</si>
  <si>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</si>
  <si>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</si>
  <si>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</si>
  <si>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</si>
  <si>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</si>
  <si>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</si>
  <si>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</si>
  <si>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</si>
  <si>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</si>
  <si>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</si>
  <si>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</si>
  <si>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</si>
  <si>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</si>
  <si>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</si>
  <si>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</si>
  <si>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</si>
  <si>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</si>
  <si>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</si>
  <si>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</si>
  <si>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</si>
  <si>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</si>
  <si>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</si>
  <si>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</si>
  <si>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</si>
  <si>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</si>
  <si>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</si>
  <si>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</si>
  <si>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</si>
  <si>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</si>
  <si>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</si>
  <si>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</si>
  <si>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</si>
  <si>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</si>
  <si>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</si>
  <si>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</si>
  <si>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</si>
  <si>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</si>
  <si>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</si>
  <si>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</si>
  <si>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</si>
  <si>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</si>
  <si>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</si>
  <si>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</si>
  <si>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</si>
  <si>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</si>
  <si>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</si>
  <si>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</si>
  <si>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</si>
  <si>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</si>
  <si>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</si>
  <si>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</si>
  <si>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</si>
  <si>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</si>
  <si>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</si>
  <si>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</si>
  <si>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</si>
  <si>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</si>
  <si>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</si>
  <si>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</si>
  <si>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</si>
  <si>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</si>
  <si>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</si>
  <si>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</si>
  <si>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</si>
  <si>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</si>
  <si>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</si>
  <si>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</si>
  <si>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</si>
  <si>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</si>
  <si>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</si>
  <si>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</si>
  <si>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</si>
  <si>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</si>
  <si>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</si>
  <si>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</si>
  <si>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</si>
  <si>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</si>
  <si>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</si>
  <si>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</si>
  <si>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</si>
  <si>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</si>
  <si>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</si>
  <si>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</si>
  <si>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</si>
  <si>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</si>
  <si>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</si>
  <si>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</si>
  <si>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</si>
  <si>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</si>
  <si>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</si>
  <si>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</si>
  <si>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</si>
  <si>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</si>
  <si>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</si>
  <si>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</si>
  <si>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</si>
  <si>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</si>
  <si>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</si>
  <si>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</si>
  <si>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</si>
  <si>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</si>
  <si>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</si>
  <si>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</si>
  <si>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</si>
  <si>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</si>
  <si>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</si>
  <si>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</si>
  <si>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</si>
  <si>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</si>
  <si>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</si>
  <si>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</si>
  <si>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</si>
  <si>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</si>
  <si>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</si>
  <si>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</si>
  <si>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</si>
  <si>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</si>
  <si>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</si>
  <si>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</si>
  <si>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</si>
  <si>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</si>
  <si>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</si>
  <si>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</si>
  <si>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</si>
  <si>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</si>
  <si>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</si>
  <si>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</si>
  <si>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</si>
  <si>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</si>
  <si>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</si>
  <si>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</si>
  <si>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</si>
  <si>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</si>
  <si>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</si>
  <si>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</si>
  <si>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</si>
  <si>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</si>
  <si>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</si>
  <si>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</si>
  <si>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</si>
  <si>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</si>
  <si>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</si>
  <si>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</si>
  <si>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</si>
  <si>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</si>
  <si>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</si>
  <si>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</si>
  <si>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</si>
  <si>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</si>
  <si>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</si>
  <si>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</si>
  <si>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</si>
  <si>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</si>
  <si>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</si>
  <si>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</si>
  <si>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</si>
  <si>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</si>
  <si>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</si>
  <si>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</si>
  <si>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</si>
  <si>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</si>
  <si>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</si>
  <si>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</si>
  <si>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</si>
  <si>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</si>
  <si>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</si>
  <si>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</si>
  <si>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</si>
  <si>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</si>
  <si>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</si>
  <si>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</si>
  <si>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</si>
  <si>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</si>
  <si>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</si>
  <si>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</si>
  <si>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</si>
  <si>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</si>
  <si>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</si>
  <si>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</si>
  <si>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</si>
  <si>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</si>
  <si>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</si>
  <si>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</si>
  <si>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</si>
  <si>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</si>
  <si>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</si>
  <si>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</si>
  <si>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</si>
  <si>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</si>
  <si>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</si>
  <si>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</si>
  <si>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</si>
  <si>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</si>
  <si>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</si>
  <si>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</si>
  <si>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</si>
  <si>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</si>
  <si>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</si>
  <si>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</si>
  <si>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</si>
  <si>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</si>
  <si>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</si>
  <si>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</si>
  <si>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</si>
  <si>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</si>
  <si>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</si>
  <si>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</si>
  <si>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</si>
  <si>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</si>
  <si>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</si>
  <si>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</si>
  <si>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</si>
  <si>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</si>
  <si>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</si>
  <si>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</si>
  <si>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</si>
  <si>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</si>
  <si>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</si>
  <si>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</si>
  <si>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</si>
  <si>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</si>
  <si>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</si>
  <si>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</si>
  <si>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</si>
  <si>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</si>
  <si>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</si>
  <si>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</si>
  <si>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</si>
  <si>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</si>
  <si>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</si>
  <si>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</si>
  <si>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</si>
  <si>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</si>
  <si>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</si>
  <si>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</si>
  <si>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</si>
  <si>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</si>
  <si>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</si>
  <si>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</si>
  <si>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</si>
  <si>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</si>
  <si>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</si>
  <si>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</si>
  <si>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</si>
  <si>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</si>
  <si>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</si>
  <si>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</si>
  <si>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</si>
  <si>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</si>
  <si>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</si>
  <si>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</si>
  <si>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</si>
  <si>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</si>
  <si>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</si>
  <si>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</si>
  <si>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</si>
  <si>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</si>
  <si>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</si>
  <si>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</si>
  <si>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</si>
  <si>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</si>
  <si>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</si>
  <si>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</si>
  <si>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</si>
  <si>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</si>
  <si>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</si>
  <si>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</si>
  <si>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</si>
  <si>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</si>
  <si>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</si>
  <si>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</si>
  <si>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</si>
  <si>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</si>
  <si>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</si>
  <si>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</si>
  <si>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</si>
  <si>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</si>
  <si>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</si>
  <si>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</si>
  <si>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</si>
  <si>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</si>
  <si>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</si>
  <si>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</si>
  <si>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</si>
  <si>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</si>
  <si>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</si>
  <si>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</si>
  <si>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</si>
  <si>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</si>
  <si>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</si>
  <si>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</si>
  <si>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</si>
  <si>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</si>
  <si>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</si>
  <si>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</si>
  <si>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</si>
  <si>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</si>
  <si>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</si>
  <si>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</si>
  <si>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</si>
  <si>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</si>
  <si>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</si>
  <si>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</si>
  <si>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</si>
  <si>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</si>
  <si>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</si>
  <si>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</si>
  <si>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</si>
  <si>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</si>
  <si>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</si>
  <si>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</si>
  <si>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</si>
  <si>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</si>
  <si>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</si>
  <si>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</si>
  <si>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</si>
  <si>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</si>
  <si>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</si>
  <si>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</si>
  <si>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</si>
  <si>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</si>
  <si>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</si>
  <si>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</si>
  <si>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</si>
  <si>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</si>
  <si>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</si>
  <si>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</si>
  <si>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</si>
  <si>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</si>
  <si>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</si>
  <si>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</si>
  <si>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</si>
  <si>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</si>
  <si>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</si>
  <si>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</si>
  <si>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</si>
  <si>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</si>
  <si>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</si>
  <si>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</si>
  <si>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</si>
  <si>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</si>
  <si>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</si>
  <si>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</si>
  <si>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</si>
  <si>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</si>
  <si>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</si>
  <si>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</si>
  <si>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</si>
  <si>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</si>
  <si>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</si>
  <si>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</si>
  <si>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</si>
  <si>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</si>
  <si>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</si>
  <si>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</si>
  <si>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</si>
  <si>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</si>
  <si>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</si>
  <si>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</si>
  <si>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</si>
  <si>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</si>
  <si>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</si>
  <si>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</si>
  <si>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</si>
  <si>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</si>
  <si>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</si>
  <si>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</si>
  <si>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</si>
  <si>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</si>
  <si>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</si>
  <si>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</si>
  <si>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</si>
  <si>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</si>
  <si>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</si>
  <si>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</si>
  <si>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</si>
  <si>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</si>
  <si>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</si>
  <si>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</si>
  <si>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</si>
  <si>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</si>
  <si>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</si>
  <si>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</si>
  <si>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</si>
  <si>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</si>
  <si>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</si>
  <si>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</si>
  <si>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</si>
  <si>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</si>
  <si>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</si>
  <si>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</si>
  <si>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</si>
  <si>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</si>
  <si>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</si>
  <si>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</si>
  <si>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</si>
  <si>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</si>
  <si>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</si>
  <si>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</si>
  <si>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</si>
  <si>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</si>
  <si>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</si>
  <si>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</si>
  <si>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</si>
  <si>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</si>
  <si>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</si>
  <si>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</si>
  <si>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</si>
  <si>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</si>
  <si>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</si>
  <si>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</si>
  <si>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</si>
  <si>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</si>
  <si>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</si>
  <si>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</si>
  <si>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</si>
  <si>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</si>
  <si>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</si>
  <si>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</si>
  <si>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</si>
  <si>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</si>
  <si>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</si>
  <si>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</si>
  <si>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</si>
  <si>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</si>
  <si>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</si>
  <si>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</si>
  <si>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</si>
  <si>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</si>
  <si>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</si>
  <si>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</si>
  <si>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</si>
  <si>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</si>
  <si>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</si>
  <si>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</si>
  <si>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</si>
  <si>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</si>
  <si>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</si>
  <si>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</si>
  <si>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</si>
  <si>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</si>
  <si>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</si>
  <si>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</si>
  <si>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</si>
  <si>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</si>
  <si>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</si>
  <si>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</si>
  <si>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</si>
  <si>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</si>
  <si>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</si>
  <si>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</si>
  <si>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</si>
  <si>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</si>
  <si>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</si>
  <si>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</si>
  <si>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</si>
  <si>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</si>
  <si>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</si>
  <si>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</si>
  <si>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</si>
  <si>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</si>
  <si>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</si>
  <si>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</si>
  <si>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</si>
  <si>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</si>
  <si>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</si>
  <si>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</si>
  <si>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</si>
  <si>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</si>
  <si>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</si>
  <si>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</si>
  <si>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</si>
  <si>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</si>
  <si>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</si>
  <si>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</si>
  <si>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</si>
  <si>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</si>
  <si>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</si>
  <si>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</si>
  <si>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</si>
  <si>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</si>
  <si>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</si>
  <si>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</si>
  <si>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</si>
  <si>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</si>
  <si>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</si>
  <si>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</si>
  <si>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</si>
  <si>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</si>
  <si>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</si>
  <si>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</si>
  <si>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</si>
  <si>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</si>
  <si>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</si>
  <si>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</si>
  <si>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</si>
  <si>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</si>
  <si>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</si>
  <si>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</si>
  <si>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</si>
  <si>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</si>
  <si>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</si>
  <si>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</si>
  <si>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</si>
  <si>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</si>
  <si>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</si>
  <si>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</si>
  <si>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</si>
  <si>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</si>
  <si>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</si>
  <si>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</si>
  <si>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</si>
  <si>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</si>
  <si>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</si>
  <si>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</si>
  <si>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</si>
  <si>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</si>
  <si>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</si>
  <si>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</si>
  <si>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</si>
  <si>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</si>
  <si>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</si>
  <si>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</si>
  <si>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</si>
  <si>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</si>
  <si>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</si>
  <si>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</si>
  <si>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</si>
  <si>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</si>
  <si>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</si>
  <si>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</si>
  <si>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</si>
  <si>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</si>
  <si>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</si>
  <si>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</si>
  <si>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</si>
  <si>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</si>
  <si>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</si>
  <si>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</si>
  <si>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</si>
  <si>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</si>
  <si>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</si>
  <si>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</si>
  <si>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</si>
  <si>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</si>
  <si>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</si>
  <si>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</si>
  <si>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</si>
  <si>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</si>
  <si>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</si>
  <si>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</si>
  <si>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</si>
  <si>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</si>
  <si>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</si>
  <si>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</si>
  <si>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</si>
  <si>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</si>
  <si>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</si>
  <si>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</si>
  <si>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</si>
  <si>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</si>
  <si>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</si>
  <si>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</si>
  <si>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</si>
  <si>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</si>
  <si>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</si>
  <si>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</si>
  <si>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</si>
  <si>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</si>
  <si>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</si>
  <si>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</si>
  <si>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</si>
  <si>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</si>
  <si>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</si>
  <si>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</si>
  <si>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</si>
  <si>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</si>
  <si>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</si>
  <si>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</si>
  <si>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</si>
  <si>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</si>
  <si>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</si>
  <si>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</si>
  <si>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</si>
  <si>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</si>
  <si>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</si>
  <si>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</si>
  <si>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</si>
  <si>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</si>
  <si>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</si>
  <si>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</si>
  <si>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</si>
  <si>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</si>
  <si>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</si>
  <si>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</si>
  <si>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</si>
  <si>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</si>
  <si>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</si>
  <si>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</si>
  <si>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</si>
  <si>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</si>
  <si>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</si>
  <si>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</si>
  <si>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</si>
  <si>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</si>
  <si>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</si>
  <si>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</si>
  <si>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</si>
  <si>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</si>
  <si>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</si>
  <si>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</si>
  <si>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</si>
  <si>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</si>
  <si>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</si>
  <si>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</si>
  <si>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</si>
  <si>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</si>
  <si>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</si>
  <si>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</si>
  <si>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</si>
  <si>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</si>
  <si>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</si>
  <si>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</si>
  <si>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</si>
  <si>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</si>
  <si>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</si>
  <si>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</si>
  <si>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</si>
  <si>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</si>
  <si>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</si>
  <si>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</si>
  <si>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</si>
  <si>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</si>
  <si>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</si>
  <si>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</si>
  <si>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</si>
  <si>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</si>
  <si>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</si>
  <si>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</si>
  <si>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</si>
  <si>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</si>
  <si>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</si>
  <si>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</si>
  <si>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</si>
  <si>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</si>
  <si>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</si>
  <si>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</si>
  <si>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</si>
  <si>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</si>
  <si>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</si>
  <si>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</si>
  <si>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</si>
  <si>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</si>
  <si>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</si>
  <si>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</si>
  <si>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</si>
  <si>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</si>
  <si>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</si>
  <si>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</si>
  <si>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</si>
  <si>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</si>
  <si>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</si>
  <si>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</si>
  <si>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</si>
  <si>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</si>
  <si>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</si>
  <si>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</si>
  <si>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</si>
  <si>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</si>
  <si>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</si>
  <si>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</si>
  <si>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</si>
  <si>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</si>
  <si>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</si>
  <si>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</si>
  <si>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</si>
  <si>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</si>
  <si>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</si>
  <si>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</si>
  <si>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</si>
  <si>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</si>
  <si>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</si>
  <si>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</si>
  <si>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</si>
  <si>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</si>
  <si>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</si>
  <si>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</si>
  <si>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</si>
  <si>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</si>
  <si>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</si>
  <si>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</si>
  <si>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</si>
  <si>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</si>
  <si>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</si>
  <si>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</si>
  <si>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</si>
  <si>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</si>
  <si>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</si>
  <si>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</si>
  <si>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</si>
  <si>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</si>
  <si>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</si>
  <si>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</si>
  <si>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</si>
  <si>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</si>
  <si>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</si>
  <si>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</si>
  <si>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</si>
  <si>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</si>
  <si>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</si>
  <si>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</si>
  <si>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</si>
  <si>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</si>
  <si>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</si>
  <si>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</si>
  <si>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</si>
  <si>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</si>
  <si>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</si>
  <si>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</si>
  <si>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</si>
  <si>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</si>
  <si>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</si>
  <si>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</si>
  <si>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</si>
  <si>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</si>
  <si>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</si>
  <si>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</si>
  <si>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</si>
  <si>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</si>
  <si>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</si>
  <si>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</si>
  <si>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</si>
  <si>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</si>
  <si>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</si>
  <si>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</si>
  <si>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</si>
  <si>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</si>
  <si>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</si>
  <si>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</si>
  <si>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</si>
  <si>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</si>
  <si>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</si>
  <si>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</si>
  <si>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</si>
  <si>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</si>
  <si>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</si>
  <si>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</si>
  <si>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</si>
  <si>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</si>
  <si>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</si>
  <si>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</si>
  <si>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</si>
  <si>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</si>
  <si>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</si>
  <si>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</si>
  <si>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</si>
  <si>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</si>
  <si>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</si>
  <si>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</si>
  <si>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</si>
  <si>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</si>
  <si>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</si>
  <si>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</si>
  <si>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</si>
  <si>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</si>
  <si>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</si>
  <si>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</si>
  <si>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</si>
  <si>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</si>
  <si>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</si>
  <si>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</si>
  <si>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</si>
  <si>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</si>
  <si>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</si>
  <si>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</si>
  <si>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</si>
  <si>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</si>
  <si>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</si>
  <si>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</si>
  <si>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</si>
  <si>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</si>
  <si>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</si>
  <si>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</si>
  <si>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</si>
  <si>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</si>
  <si>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</si>
  <si>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</si>
  <si>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</si>
  <si>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</si>
  <si>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</si>
  <si>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</si>
  <si>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</si>
  <si>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</si>
  <si>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</si>
  <si>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</si>
  <si>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</si>
  <si>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</si>
  <si>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</si>
  <si>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</si>
  <si>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</si>
  <si>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</si>
  <si>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</si>
  <si>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</si>
  <si>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</si>
  <si>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</si>
  <si>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</si>
  <si>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</si>
  <si>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</si>
  <si>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</si>
  <si>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</si>
  <si>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</si>
  <si>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</si>
  <si>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</si>
  <si>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</si>
  <si>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</si>
  <si>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</si>
  <si>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</si>
  <si>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</si>
  <si>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</si>
  <si>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</si>
  <si>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</si>
  <si>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</si>
  <si>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</si>
  <si>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</si>
  <si>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</si>
  <si>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</si>
  <si>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</si>
  <si>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Evans, Marshall and Pease, PC</t>
  </si>
  <si>
    <t>Lake</t>
  </si>
  <si>
    <t>Jeffery M. Rollefson, CPA</t>
  </si>
  <si>
    <t>1875 Hicks Road</t>
  </si>
  <si>
    <t>28855 N. Fremont Center</t>
  </si>
  <si>
    <t>Rolling Meadows</t>
  </si>
  <si>
    <t>IL</t>
  </si>
  <si>
    <t>Mundelein</t>
  </si>
  <si>
    <t>847-221-5700</t>
  </si>
  <si>
    <t>847-221-5701</t>
  </si>
  <si>
    <t>jeff@empcpa.com</t>
  </si>
  <si>
    <t>Evans, Marshall, and Pease, PC</t>
  </si>
  <si>
    <t>Refunding School Bonds-Series 2015</t>
  </si>
  <si>
    <t>Refunding School Bonds-Series 2016</t>
  </si>
  <si>
    <t>Capital leases</t>
  </si>
  <si>
    <t>var</t>
  </si>
  <si>
    <t>Capital Leases</t>
  </si>
  <si>
    <t>ED-Educationsl Media Services-Purchased Services</t>
  </si>
  <si>
    <t>Single Path</t>
  </si>
  <si>
    <t>O&amp;M-Operations and Plant Services-Purchased Services</t>
  </si>
  <si>
    <t>Tenancious Cleaning</t>
  </si>
  <si>
    <t>COMMON CORE PLANNING SD 75 AND SD 120</t>
  </si>
  <si>
    <t>X</t>
  </si>
  <si>
    <t>SD 75</t>
  </si>
  <si>
    <t>CLIC</t>
  </si>
  <si>
    <t>SEDOL</t>
  </si>
  <si>
    <t>Page 24, cell G33-payment of bus leases through Transportation Fund</t>
  </si>
  <si>
    <t>066-005340</t>
  </si>
  <si>
    <t xml:space="preserve"> Fremont SD 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</si>
</sst>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quotePrefix="1"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xdr:row>
          <xdr:rowOff>0</xdr:rowOff>
        </xdr:from>
        <xdr:to>
          <xdr:col>6</xdr:col>
          <xdr:colOff>304800</xdr:colOff>
          <xdr:row>10</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79" t="s">
        <v>402</v>
      </c>
      <c r="J1" s="2080"/>
      <c r="K1" s="2080"/>
      <c r="L1" s="2080"/>
      <c r="M1" s="2080"/>
      <c r="N1" s="2080"/>
      <c r="O1" s="2080"/>
      <c r="P1" s="2080"/>
      <c r="Q1" s="2080"/>
      <c r="R1" s="2080"/>
      <c r="S1" s="2080"/>
    </row>
    <row r="2" spans="1:32" ht="12" customHeight="1" x14ac:dyDescent="0.2">
      <c r="A2" s="1831" t="str">
        <f>"Due to ISBE on "</f>
        <v xml:space="preserve">Due to ISBE on </v>
      </c>
      <c r="B2" s="2122">
        <f>+'AFR20'!F4</f>
        <v>44151</v>
      </c>
      <c r="C2" s="2122"/>
      <c r="D2" s="2123"/>
      <c r="I2" s="2081" t="s">
        <v>2003</v>
      </c>
      <c r="J2" s="2080"/>
      <c r="K2" s="2080"/>
      <c r="L2" s="2080"/>
      <c r="M2" s="2080"/>
      <c r="N2" s="2080"/>
      <c r="O2" s="2080"/>
      <c r="P2" s="2080"/>
      <c r="Q2" s="2080"/>
      <c r="R2" s="2080"/>
      <c r="S2" s="2080"/>
    </row>
    <row r="3" spans="1:32" ht="12" customHeight="1" x14ac:dyDescent="0.2">
      <c r="A3" s="1834" t="str">
        <f>"SD/JA"&amp;MID('AFR20'!E2,3,2)</f>
        <v>SD/JA20</v>
      </c>
      <c r="B3" s="151"/>
      <c r="C3" s="151"/>
      <c r="D3" s="152"/>
      <c r="I3" s="2081" t="s">
        <v>52</v>
      </c>
      <c r="J3" s="2080"/>
      <c r="K3" s="2080"/>
      <c r="L3" s="2080"/>
      <c r="M3" s="2080"/>
      <c r="N3" s="2080"/>
      <c r="O3" s="2080"/>
      <c r="P3" s="2080"/>
      <c r="Q3" s="2080"/>
      <c r="R3" s="2080"/>
      <c r="S3" s="2080"/>
    </row>
    <row r="4" spans="1:32" ht="12" customHeight="1" x14ac:dyDescent="0.2">
      <c r="A4" s="37"/>
      <c r="I4" s="2081" t="s">
        <v>521</v>
      </c>
      <c r="J4" s="2080"/>
      <c r="K4" s="2080"/>
      <c r="L4" s="2080"/>
      <c r="M4" s="2080"/>
      <c r="N4" s="2080"/>
      <c r="O4" s="2080"/>
      <c r="P4" s="2080"/>
      <c r="Q4" s="2080"/>
      <c r="R4" s="2080"/>
      <c r="S4" s="2080"/>
    </row>
    <row r="5" spans="1:32" ht="14.1" customHeight="1" x14ac:dyDescent="0.2">
      <c r="B5" s="101" t="s">
        <v>2051</v>
      </c>
      <c r="C5" s="26" t="s">
        <v>904</v>
      </c>
      <c r="D5" s="81"/>
      <c r="E5" s="81"/>
      <c r="H5" s="38"/>
      <c r="I5" s="2089" t="s">
        <v>675</v>
      </c>
      <c r="J5" s="2088"/>
      <c r="K5" s="2088"/>
      <c r="L5" s="2088"/>
      <c r="M5" s="2088"/>
      <c r="N5" s="2088"/>
      <c r="O5" s="2088"/>
      <c r="P5" s="2088"/>
      <c r="Q5" s="2088"/>
      <c r="R5" s="2088"/>
      <c r="S5" s="2088"/>
      <c r="AF5" s="1827"/>
    </row>
    <row r="6" spans="1:32" ht="14.1" customHeight="1" x14ac:dyDescent="0.2">
      <c r="B6" s="101"/>
      <c r="C6" s="26" t="s">
        <v>905</v>
      </c>
      <c r="D6" s="81"/>
      <c r="E6" s="81"/>
      <c r="I6" s="2087" t="s">
        <v>877</v>
      </c>
      <c r="J6" s="2088"/>
      <c r="K6" s="2088"/>
      <c r="L6" s="2088"/>
      <c r="M6" s="2088"/>
      <c r="N6" s="2088"/>
      <c r="O6" s="2088"/>
      <c r="P6" s="2088"/>
      <c r="Q6" s="2088"/>
      <c r="R6" s="2088"/>
      <c r="S6" s="2088"/>
    </row>
    <row r="7" spans="1:32" ht="12.2" customHeight="1" x14ac:dyDescent="0.2">
      <c r="I7" s="2082" t="str">
        <f>"June 30, "&amp;'AFR20'!E2</f>
        <v>June 30, 2020</v>
      </c>
      <c r="J7" s="2083"/>
      <c r="K7" s="2083"/>
      <c r="L7" s="2083"/>
      <c r="M7" s="2083"/>
      <c r="N7" s="2083"/>
      <c r="O7" s="2083"/>
      <c r="P7" s="2083"/>
      <c r="Q7" s="2083"/>
      <c r="R7" s="2083"/>
      <c r="S7" s="208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4" t="s">
        <v>669</v>
      </c>
      <c r="J9" s="2085"/>
      <c r="K9" s="2085"/>
      <c r="L9" s="2085"/>
      <c r="M9" s="2085"/>
      <c r="N9" s="2085"/>
      <c r="O9" s="2085"/>
      <c r="P9" s="2085"/>
      <c r="Q9" s="2085"/>
      <c r="R9" s="2085"/>
      <c r="S9" s="2086"/>
      <c r="T9" s="2138" t="s">
        <v>530</v>
      </c>
      <c r="U9" s="2139"/>
      <c r="V9" s="2139"/>
      <c r="W9" s="2139"/>
      <c r="X9" s="2139"/>
      <c r="Y9" s="2139"/>
      <c r="Z9" s="2139"/>
      <c r="AA9" s="2140"/>
    </row>
    <row r="10" spans="1:32" ht="13.5" customHeight="1" x14ac:dyDescent="0.2">
      <c r="A10" s="2145" t="s">
        <v>670</v>
      </c>
      <c r="B10" s="2146"/>
      <c r="C10" s="2146"/>
      <c r="D10" s="2146"/>
      <c r="E10" s="2146"/>
      <c r="F10" s="2146"/>
      <c r="G10" s="2146"/>
      <c r="H10" s="2147"/>
      <c r="I10" s="29"/>
      <c r="J10" s="30"/>
      <c r="K10" s="28"/>
      <c r="R10" s="30"/>
      <c r="S10" s="30"/>
      <c r="T10" s="2141"/>
      <c r="U10" s="2088"/>
      <c r="V10" s="2088"/>
      <c r="W10" s="2088"/>
      <c r="X10" s="2088"/>
      <c r="Y10" s="2088"/>
      <c r="Z10" s="2088"/>
      <c r="AA10" s="2094"/>
    </row>
    <row r="11" spans="1:32" ht="14.25" customHeight="1" x14ac:dyDescent="0.2">
      <c r="A11" s="2148" t="s">
        <v>949</v>
      </c>
      <c r="B11" s="2149"/>
      <c r="C11" s="2149"/>
      <c r="D11" s="2149"/>
      <c r="E11" s="2149"/>
      <c r="F11" s="2149"/>
      <c r="G11" s="2149"/>
      <c r="H11" s="2150"/>
      <c r="I11" s="27"/>
      <c r="J11" s="71"/>
      <c r="K11" s="27"/>
      <c r="O11" s="144"/>
      <c r="P11" s="97" t="s">
        <v>199</v>
      </c>
      <c r="Q11" s="30"/>
      <c r="R11" s="28"/>
      <c r="S11" s="27"/>
      <c r="T11" s="2142"/>
      <c r="U11" s="2143"/>
      <c r="V11" s="2143"/>
      <c r="W11" s="2143"/>
      <c r="X11" s="2143"/>
      <c r="Y11" s="2143"/>
      <c r="Z11" s="2143"/>
      <c r="AA11" s="2144"/>
    </row>
    <row r="12" spans="1:32" ht="13.5" customHeight="1" x14ac:dyDescent="0.2">
      <c r="A12" s="82" t="s">
        <v>919</v>
      </c>
      <c r="B12" s="73"/>
      <c r="C12" s="73"/>
      <c r="D12" s="73"/>
      <c r="E12" s="73"/>
      <c r="F12" s="73"/>
      <c r="G12" s="73"/>
      <c r="H12" s="50"/>
      <c r="I12" s="29"/>
      <c r="J12" s="30"/>
      <c r="K12" s="28"/>
      <c r="O12" s="145" t="s">
        <v>2051</v>
      </c>
      <c r="P12" s="97" t="s">
        <v>200</v>
      </c>
      <c r="Q12" s="71"/>
      <c r="R12" s="30"/>
      <c r="S12" s="30"/>
      <c r="T12" s="82" t="s">
        <v>263</v>
      </c>
      <c r="U12" s="48"/>
      <c r="V12" s="48"/>
      <c r="W12" s="48"/>
      <c r="X12" s="48"/>
      <c r="Y12" s="43"/>
      <c r="Z12" s="43"/>
      <c r="AA12" s="44"/>
    </row>
    <row r="13" spans="1:32" ht="13.5" customHeight="1" x14ac:dyDescent="0.2">
      <c r="A13" s="2100">
        <v>34049079002</v>
      </c>
      <c r="B13" s="2101"/>
      <c r="C13" s="2101"/>
      <c r="D13" s="2101"/>
      <c r="E13" s="2101"/>
      <c r="F13" s="2101"/>
      <c r="G13" s="2101"/>
      <c r="H13" s="2102"/>
      <c r="I13" s="31"/>
      <c r="J13" s="30"/>
      <c r="K13" s="28"/>
      <c r="L13" s="30"/>
      <c r="M13" s="30"/>
      <c r="N13" s="30"/>
      <c r="O13" s="30"/>
      <c r="P13" s="30"/>
      <c r="Q13" s="30"/>
      <c r="R13" s="30"/>
      <c r="S13" s="30"/>
      <c r="T13" s="2106" t="s">
        <v>2052</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3" t="s">
        <v>2053</v>
      </c>
      <c r="B15" s="2104"/>
      <c r="C15" s="2104"/>
      <c r="D15" s="2104"/>
      <c r="E15" s="2104"/>
      <c r="F15" s="2104"/>
      <c r="G15" s="2104"/>
      <c r="H15" s="2105"/>
      <c r="T15" s="2110" t="s">
        <v>2054</v>
      </c>
      <c r="U15" s="2067"/>
      <c r="V15" s="2067"/>
      <c r="W15" s="2067"/>
      <c r="X15" s="2067"/>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3" t="s">
        <v>2080</v>
      </c>
      <c r="B17" s="2074"/>
      <c r="C17" s="2074"/>
      <c r="D17" s="2074"/>
      <c r="E17" s="2074"/>
      <c r="F17" s="2074"/>
      <c r="G17" s="2074"/>
      <c r="H17" s="2099"/>
      <c r="T17" s="2117" t="s">
        <v>2055</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49"/>
      <c r="K18" s="2049"/>
      <c r="L18" s="2049"/>
      <c r="M18" s="2049"/>
      <c r="N18" s="2049"/>
      <c r="O18" s="2049"/>
      <c r="P18" s="2049"/>
      <c r="Q18" s="2049"/>
      <c r="R18" s="2049"/>
      <c r="S18" s="2050"/>
      <c r="T18" s="82" t="s">
        <v>706</v>
      </c>
      <c r="U18" s="48"/>
      <c r="V18" s="69"/>
      <c r="W18" s="47"/>
      <c r="X18" s="82" t="s">
        <v>264</v>
      </c>
      <c r="Y18" s="78"/>
      <c r="Z18" s="154" t="s">
        <v>672</v>
      </c>
      <c r="AA18" s="44"/>
    </row>
    <row r="19" spans="1:27" ht="13.5" customHeight="1" x14ac:dyDescent="0.2">
      <c r="A19" s="2103" t="s">
        <v>2056</v>
      </c>
      <c r="B19" s="2059"/>
      <c r="C19" s="2059"/>
      <c r="D19" s="2059"/>
      <c r="E19" s="2059"/>
      <c r="F19" s="2059"/>
      <c r="G19" s="2059"/>
      <c r="H19" s="2039"/>
      <c r="I19" s="30"/>
      <c r="J19" s="96"/>
      <c r="K19" s="40"/>
      <c r="L19" s="38"/>
      <c r="M19" s="109" t="s">
        <v>312</v>
      </c>
      <c r="P19" s="27"/>
      <c r="Q19" s="27"/>
      <c r="R19" s="27"/>
      <c r="S19" s="31"/>
      <c r="T19" s="2103" t="s">
        <v>2057</v>
      </c>
      <c r="U19" s="2038"/>
      <c r="V19" s="2038"/>
      <c r="W19" s="2039"/>
      <c r="X19" s="2115" t="s">
        <v>2058</v>
      </c>
      <c r="Y19" s="2116"/>
      <c r="Z19" s="2113">
        <v>60008</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7" t="s">
        <v>2059</v>
      </c>
      <c r="B21" s="2038"/>
      <c r="C21" s="2038"/>
      <c r="D21" s="2038"/>
      <c r="E21" s="2038"/>
      <c r="F21" s="2038"/>
      <c r="G21" s="2038"/>
      <c r="H21" s="2039"/>
      <c r="I21" s="2093" t="s">
        <v>673</v>
      </c>
      <c r="J21" s="2088"/>
      <c r="K21" s="2088"/>
      <c r="L21" s="2088"/>
      <c r="M21" s="2088"/>
      <c r="N21" s="2088"/>
      <c r="O21" s="2088"/>
      <c r="P21" s="2088"/>
      <c r="Q21" s="2088"/>
      <c r="R21" s="2088"/>
      <c r="S21" s="2094"/>
      <c r="T21" s="2129" t="s">
        <v>2060</v>
      </c>
      <c r="U21" s="2130"/>
      <c r="V21" s="2130"/>
      <c r="W21" s="2130"/>
      <c r="X21" s="2135" t="s">
        <v>2061</v>
      </c>
      <c r="Y21" s="2136"/>
      <c r="Z21" s="2136"/>
      <c r="AA21" s="2137"/>
    </row>
    <row r="22" spans="1:27" ht="13.5" customHeight="1" x14ac:dyDescent="0.2">
      <c r="A22" s="84" t="s">
        <v>528</v>
      </c>
      <c r="B22" s="56"/>
      <c r="C22" s="56"/>
      <c r="D22" s="56"/>
      <c r="E22" s="56"/>
      <c r="F22" s="56"/>
      <c r="G22" s="56"/>
      <c r="H22" s="57"/>
      <c r="I22" s="2095" t="s">
        <v>1412</v>
      </c>
      <c r="J22" s="2096"/>
      <c r="K22" s="2096"/>
      <c r="L22" s="2096"/>
      <c r="M22" s="2096"/>
      <c r="N22" s="2096"/>
      <c r="O22" s="2096"/>
      <c r="P22" s="2096"/>
      <c r="Q22" s="2096"/>
      <c r="R22" s="2096"/>
      <c r="S22" s="2097"/>
      <c r="T22" s="82" t="s">
        <v>1499</v>
      </c>
      <c r="U22" s="48"/>
      <c r="V22" s="69"/>
      <c r="W22" s="48"/>
      <c r="X22" s="155" t="s">
        <v>1307</v>
      </c>
      <c r="Z22" s="43"/>
      <c r="AA22" s="44"/>
    </row>
    <row r="23" spans="1:27" ht="13.5" customHeight="1" x14ac:dyDescent="0.2">
      <c r="A23" s="2090"/>
      <c r="B23" s="2091"/>
      <c r="C23" s="2091"/>
      <c r="D23" s="2091"/>
      <c r="E23" s="2091"/>
      <c r="F23" s="2091"/>
      <c r="G23" s="2091"/>
      <c r="H23" s="2092"/>
      <c r="T23" s="2127" t="s">
        <v>2079</v>
      </c>
      <c r="U23" s="2128"/>
      <c r="V23" s="2128"/>
      <c r="W23" s="2128"/>
      <c r="X23" s="2132">
        <v>44530</v>
      </c>
      <c r="Y23" s="2133"/>
      <c r="Z23" s="2133"/>
      <c r="AA23" s="2134"/>
    </row>
    <row r="24" spans="1:27" ht="14.1" customHeight="1" x14ac:dyDescent="0.2">
      <c r="A24" s="85" t="s">
        <v>672</v>
      </c>
      <c r="B24" s="46"/>
      <c r="C24" s="46"/>
      <c r="D24" s="46"/>
      <c r="E24" s="46"/>
      <c r="F24" s="46"/>
      <c r="G24" s="46"/>
      <c r="H24" s="58"/>
      <c r="J24" s="2060">
        <f>IF(B5="x",IF(AUDITCHECK!D29="AFR form Incomplete.","",IF(AUDITCHECK!D29="Deficit reduction plan is required.","School District must complete a deficit reduction plan in the 2020-2021 Budget",)),"")</f>
        <v>0</v>
      </c>
      <c r="K24" s="2060"/>
      <c r="L24" s="2060"/>
      <c r="M24" s="2060"/>
      <c r="N24" s="2060"/>
      <c r="O24" s="2060"/>
      <c r="P24" s="2060"/>
      <c r="Q24" s="2060"/>
      <c r="R24" s="2060"/>
      <c r="S24" s="2061"/>
      <c r="T24" s="102" t="s">
        <v>528</v>
      </c>
      <c r="U24" s="103"/>
      <c r="V24" s="103"/>
      <c r="W24" s="103"/>
      <c r="X24" s="104"/>
      <c r="Y24" s="104"/>
      <c r="Z24" s="104"/>
      <c r="AA24" s="105"/>
    </row>
    <row r="25" spans="1:27" ht="14.1" customHeight="1" x14ac:dyDescent="0.2">
      <c r="A25" s="2037">
        <v>60060</v>
      </c>
      <c r="B25" s="2038"/>
      <c r="C25" s="2038"/>
      <c r="D25" s="2038"/>
      <c r="E25" s="2038"/>
      <c r="F25" s="2038"/>
      <c r="G25" s="2038"/>
      <c r="H25" s="2039"/>
      <c r="I25" s="110"/>
      <c r="J25" s="2062"/>
      <c r="K25" s="2062"/>
      <c r="L25" s="2062"/>
      <c r="M25" s="2062"/>
      <c r="N25" s="2062"/>
      <c r="O25" s="2062"/>
      <c r="P25" s="2062"/>
      <c r="Q25" s="2062"/>
      <c r="R25" s="2062"/>
      <c r="S25" s="2063"/>
      <c r="T25" s="2124" t="s">
        <v>2062</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48" t="s">
        <v>1494</v>
      </c>
      <c r="J27" s="2049"/>
      <c r="K27" s="2049"/>
      <c r="L27" s="2049"/>
      <c r="M27" s="2049"/>
      <c r="N27" s="2049"/>
      <c r="O27" s="2049"/>
      <c r="P27" s="2049"/>
      <c r="Q27" s="2049"/>
      <c r="R27" s="2049"/>
      <c r="S27" s="2050"/>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59"/>
      <c r="Q35" s="2038"/>
      <c r="R35" s="203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3"/>
      <c r="B38" s="2074"/>
      <c r="C38" s="2074"/>
      <c r="D38" s="2074"/>
      <c r="E38" s="2074"/>
      <c r="F38" s="2038"/>
      <c r="G38" s="2038"/>
      <c r="H38" s="2039"/>
      <c r="I38" s="2066"/>
      <c r="J38" s="2067"/>
      <c r="K38" s="2067"/>
      <c r="L38" s="2067"/>
      <c r="M38" s="2067"/>
      <c r="N38" s="2067"/>
      <c r="O38" s="2067"/>
      <c r="P38" s="2068"/>
      <c r="Q38" s="2068"/>
      <c r="R38" s="2068"/>
      <c r="S38" s="2069"/>
      <c r="T38" s="2110"/>
      <c r="U38" s="2067"/>
      <c r="V38" s="2067"/>
      <c r="W38" s="2067"/>
      <c r="X38" s="2068"/>
      <c r="Y38" s="2068"/>
      <c r="Z38" s="2068"/>
      <c r="AA38" s="2069"/>
    </row>
    <row r="39" spans="1:27" ht="12" customHeight="1" x14ac:dyDescent="0.2">
      <c r="A39" s="2043" t="s">
        <v>528</v>
      </c>
      <c r="B39" s="2044"/>
      <c r="C39" s="69"/>
      <c r="D39" s="66"/>
      <c r="E39" s="66"/>
      <c r="F39" s="76"/>
      <c r="G39" s="66"/>
      <c r="H39" s="53"/>
      <c r="I39" s="2043" t="s">
        <v>528</v>
      </c>
      <c r="J39" s="2044"/>
      <c r="K39" s="2044"/>
      <c r="L39" s="2044"/>
      <c r="M39" s="2044"/>
      <c r="N39" s="64"/>
      <c r="O39" s="69"/>
      <c r="P39" s="69"/>
      <c r="Q39" s="75"/>
      <c r="R39" s="69"/>
      <c r="S39" s="53"/>
      <c r="T39" s="69" t="s">
        <v>528</v>
      </c>
      <c r="U39" s="48"/>
      <c r="V39" s="69"/>
      <c r="W39" s="47"/>
      <c r="X39" s="75"/>
      <c r="Y39" s="43"/>
      <c r="Z39" s="43"/>
      <c r="AA39" s="44"/>
    </row>
    <row r="40" spans="1:27" ht="13.5" customHeight="1" x14ac:dyDescent="0.2">
      <c r="A40" s="2051"/>
      <c r="B40" s="2052"/>
      <c r="C40" s="2053"/>
      <c r="D40" s="2053"/>
      <c r="E40" s="2053"/>
      <c r="F40" s="2054"/>
      <c r="G40" s="2054"/>
      <c r="H40" s="2055"/>
      <c r="I40" s="2076"/>
      <c r="J40" s="2077"/>
      <c r="K40" s="2077"/>
      <c r="L40" s="2077"/>
      <c r="M40" s="2077"/>
      <c r="N40" s="2077"/>
      <c r="O40" s="2077"/>
      <c r="P40" s="2077"/>
      <c r="Q40" s="2077"/>
      <c r="R40" s="2077"/>
      <c r="S40" s="2078"/>
      <c r="T40" s="2076"/>
      <c r="U40" s="2131"/>
      <c r="V40" s="2077"/>
      <c r="W40" s="2077"/>
      <c r="X40" s="2077"/>
      <c r="Y40" s="2077"/>
      <c r="Z40" s="2077"/>
      <c r="AA40" s="2078"/>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5"/>
      <c r="B42" s="2057"/>
      <c r="C42" s="2058"/>
      <c r="D42" s="2056"/>
      <c r="E42" s="2057"/>
      <c r="F42" s="2057"/>
      <c r="G42" s="2057"/>
      <c r="H42" s="2058"/>
      <c r="I42" s="2040"/>
      <c r="J42" s="2041"/>
      <c r="K42" s="2041"/>
      <c r="L42" s="2041"/>
      <c r="M42" s="2041"/>
      <c r="N42" s="2041"/>
      <c r="O42" s="2042"/>
      <c r="P42" s="2075"/>
      <c r="Q42" s="2041"/>
      <c r="R42" s="2041"/>
      <c r="S42" s="2042"/>
      <c r="T42" s="2040"/>
      <c r="U42" s="2041"/>
      <c r="V42" s="2041"/>
      <c r="W42" s="2042"/>
      <c r="X42" s="2075"/>
      <c r="Y42" s="2041"/>
      <c r="Z42" s="2041"/>
      <c r="AA42" s="204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0"/>
      <c r="B44" s="2071"/>
      <c r="C44" s="2071"/>
      <c r="D44" s="2071"/>
      <c r="E44" s="2071"/>
      <c r="F44" s="2071"/>
      <c r="G44" s="2071"/>
      <c r="H44" s="2072"/>
      <c r="I44" s="2045"/>
      <c r="J44" s="2046"/>
      <c r="K44" s="2046"/>
      <c r="L44" s="2046"/>
      <c r="M44" s="2046"/>
      <c r="N44" s="2046"/>
      <c r="O44" s="2046"/>
      <c r="P44" s="2046"/>
      <c r="Q44" s="2046"/>
      <c r="R44" s="2046"/>
      <c r="S44" s="2047"/>
      <c r="T44" s="2045"/>
      <c r="U44" s="2064"/>
      <c r="V44" s="2064"/>
      <c r="W44" s="2064"/>
      <c r="X44" s="2064"/>
      <c r="Y44" s="2064"/>
      <c r="Z44" s="2046"/>
      <c r="AA44" s="2047"/>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C9" sqref="C9"/>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9"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0"/>
      <c r="B3" s="1294"/>
      <c r="C3" s="1295"/>
      <c r="D3" s="1296" t="s">
        <v>254</v>
      </c>
      <c r="E3" s="1295"/>
      <c r="F3" s="1296" t="s">
        <v>255</v>
      </c>
    </row>
    <row r="4" spans="1:8" ht="13.7" customHeight="1" x14ac:dyDescent="0.2">
      <c r="A4" s="579" t="s">
        <v>1145</v>
      </c>
      <c r="B4" s="1721">
        <f>'Revenues 9-14'!C5</f>
        <v>20244393</v>
      </c>
      <c r="C4" s="1722">
        <v>8849326</v>
      </c>
      <c r="D4" s="1723">
        <f>B4-C4</f>
        <v>11395067</v>
      </c>
      <c r="E4" s="1722">
        <v>20858536</v>
      </c>
      <c r="F4" s="1723">
        <f>E4-C4</f>
        <v>12009210</v>
      </c>
    </row>
    <row r="5" spans="1:8" ht="13.7" customHeight="1" x14ac:dyDescent="0.2">
      <c r="A5" s="579" t="s">
        <v>865</v>
      </c>
      <c r="B5" s="1724">
        <f>'Revenues 9-14'!D5</f>
        <v>2487307</v>
      </c>
      <c r="C5" s="1664">
        <v>1081696</v>
      </c>
      <c r="D5" s="1725">
        <f t="shared" ref="D5:D18" si="0">B5-C5</f>
        <v>1405611</v>
      </c>
      <c r="E5" s="1664">
        <v>2549639</v>
      </c>
      <c r="F5" s="1725">
        <f>E5-C5</f>
        <v>1467943</v>
      </c>
    </row>
    <row r="6" spans="1:8" ht="13.7" customHeight="1" x14ac:dyDescent="0.2">
      <c r="A6" s="579" t="s">
        <v>408</v>
      </c>
      <c r="B6" s="1724">
        <f>'Revenues 9-14'!E5</f>
        <v>3020950</v>
      </c>
      <c r="C6" s="1664">
        <v>1303157</v>
      </c>
      <c r="D6" s="1725">
        <f t="shared" si="0"/>
        <v>1717793</v>
      </c>
      <c r="E6" s="1664">
        <v>3071640</v>
      </c>
      <c r="F6" s="1725">
        <f t="shared" ref="F6:F18" si="1">E6-C6</f>
        <v>1768483</v>
      </c>
    </row>
    <row r="7" spans="1:8" ht="13.7" customHeight="1" x14ac:dyDescent="0.2">
      <c r="A7" s="579" t="s">
        <v>154</v>
      </c>
      <c r="B7" s="1724">
        <f>'Revenues 9-14'!F5</f>
        <v>1222523</v>
      </c>
      <c r="C7" s="1664">
        <v>531659</v>
      </c>
      <c r="D7" s="1725">
        <f t="shared" si="0"/>
        <v>690864</v>
      </c>
      <c r="E7" s="1664">
        <v>1253160</v>
      </c>
      <c r="F7" s="1725">
        <f t="shared" si="1"/>
        <v>721501</v>
      </c>
    </row>
    <row r="8" spans="1:8" ht="13.7" customHeight="1" x14ac:dyDescent="0.2">
      <c r="A8" s="579" t="s">
        <v>1169</v>
      </c>
      <c r="B8" s="1724">
        <f>'Revenues 9-14'!G5</f>
        <v>727025</v>
      </c>
      <c r="C8" s="1664">
        <f>82057+235062</f>
        <v>317119</v>
      </c>
      <c r="D8" s="1725">
        <f t="shared" si="0"/>
        <v>409906</v>
      </c>
      <c r="E8" s="1664">
        <f>193414+554058</f>
        <v>747472</v>
      </c>
      <c r="F8" s="1725">
        <f t="shared" si="1"/>
        <v>430353</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52792</v>
      </c>
      <c r="C18" s="1664">
        <v>20984</v>
      </c>
      <c r="D18" s="1725">
        <f t="shared" si="0"/>
        <v>31808</v>
      </c>
      <c r="E18" s="1664">
        <v>49460</v>
      </c>
      <c r="F18" s="1725">
        <f t="shared" si="1"/>
        <v>28476</v>
      </c>
    </row>
    <row r="19" spans="1:6" ht="13.7" customHeight="1" thickBot="1" x14ac:dyDescent="0.25">
      <c r="A19" s="1432" t="s">
        <v>1151</v>
      </c>
      <c r="B19" s="1726">
        <f>SUM(B4:B18)</f>
        <v>27754990</v>
      </c>
      <c r="C19" s="1726">
        <f>SUM(C4:C18)</f>
        <v>12103941</v>
      </c>
      <c r="D19" s="1726">
        <f>SUM(D4:D18)</f>
        <v>15651049</v>
      </c>
      <c r="E19" s="1726">
        <f>SUM(E4:E18)</f>
        <v>28529907</v>
      </c>
      <c r="F19" s="1726">
        <f>SUM(F4:F18)</f>
        <v>16425966</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D1" colorId="8" zoomScale="110" zoomScaleNormal="110" workbookViewId="0">
      <selection activeCell="G34" sqref="G3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1" t="s">
        <v>625</v>
      </c>
      <c r="B1" s="2309"/>
      <c r="C1" s="585"/>
    </row>
    <row r="2" spans="1:7" ht="33.75" x14ac:dyDescent="0.2">
      <c r="A2" s="2316" t="s">
        <v>1779</v>
      </c>
      <c r="B2" s="2317"/>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8" t="s">
        <v>1104</v>
      </c>
      <c r="B3" s="2319"/>
      <c r="C3" s="2312"/>
      <c r="D3" s="2313"/>
      <c r="E3" s="2313"/>
      <c r="F3" s="2314"/>
    </row>
    <row r="4" spans="1:7" ht="12.75" customHeight="1" thickBot="1" x14ac:dyDescent="0.25">
      <c r="A4" s="2306" t="s">
        <v>626</v>
      </c>
      <c r="B4" s="2307"/>
      <c r="C4" s="1656"/>
      <c r="D4" s="1656"/>
      <c r="E4" s="1656"/>
      <c r="F4" s="1732">
        <f>SUM(C4+D4)-E4</f>
        <v>0</v>
      </c>
    </row>
    <row r="5" spans="1:7" ht="15.75" customHeight="1" thickTop="1" x14ac:dyDescent="0.2">
      <c r="A5" s="2310" t="s">
        <v>1101</v>
      </c>
      <c r="B5" s="2305"/>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2" t="s">
        <v>627</v>
      </c>
      <c r="B15" s="2303"/>
      <c r="C15" s="1732">
        <f>SUM(C6:C14)</f>
        <v>0</v>
      </c>
      <c r="D15" s="1732">
        <f>SUM(D6:D14)</f>
        <v>0</v>
      </c>
      <c r="E15" s="1732">
        <f>SUM(E6:E14)</f>
        <v>0</v>
      </c>
      <c r="F15" s="1732">
        <f>SUM(F6:F14)</f>
        <v>0</v>
      </c>
      <c r="G15" s="473"/>
    </row>
    <row r="16" spans="1:7" s="197" customFormat="1" ht="15.75" customHeight="1" thickTop="1" x14ac:dyDescent="0.2">
      <c r="A16" s="2315" t="s">
        <v>1102</v>
      </c>
      <c r="B16" s="2305"/>
      <c r="C16" s="2299"/>
      <c r="D16" s="2300"/>
      <c r="E16" s="2300"/>
      <c r="F16" s="2301"/>
    </row>
    <row r="17" spans="1:11" ht="12.75" customHeight="1" thickBot="1" x14ac:dyDescent="0.25">
      <c r="A17" s="2297" t="s">
        <v>64</v>
      </c>
      <c r="B17" s="2298"/>
      <c r="C17" s="1733"/>
      <c r="D17" s="1664"/>
      <c r="E17" s="1733"/>
      <c r="F17" s="1732">
        <f>SUM(C17+D17)-E17</f>
        <v>0</v>
      </c>
    </row>
    <row r="18" spans="1:11" ht="12.75" customHeight="1" thickTop="1" thickBot="1" x14ac:dyDescent="0.25">
      <c r="A18" s="2297" t="s">
        <v>6</v>
      </c>
      <c r="B18" s="2298"/>
      <c r="C18" s="1733"/>
      <c r="D18" s="1664"/>
      <c r="E18" s="1733"/>
      <c r="F18" s="1732">
        <f>SUM(C18+D18)-E18</f>
        <v>0</v>
      </c>
    </row>
    <row r="19" spans="1:11" ht="12.75" customHeight="1" thickTop="1" thickBot="1" x14ac:dyDescent="0.25">
      <c r="A19" s="2297" t="s">
        <v>385</v>
      </c>
      <c r="B19" s="2298"/>
      <c r="C19" s="1733"/>
      <c r="D19" s="1664"/>
      <c r="E19" s="1733"/>
      <c r="F19" s="1732">
        <f>SUM(C19+D19)-E19</f>
        <v>0</v>
      </c>
    </row>
    <row r="20" spans="1:11" ht="12.75" customHeight="1" thickTop="1" thickBot="1" x14ac:dyDescent="0.25">
      <c r="A20" s="2297" t="s">
        <v>445</v>
      </c>
      <c r="B20" s="2298"/>
      <c r="C20" s="1733"/>
      <c r="D20" s="1664"/>
      <c r="E20" s="1733"/>
      <c r="F20" s="1732">
        <f>SUM(C20+D20)-E20</f>
        <v>0</v>
      </c>
    </row>
    <row r="21" spans="1:11" ht="14.25" thickTop="1" thickBot="1" x14ac:dyDescent="0.25">
      <c r="A21" s="2302" t="s">
        <v>628</v>
      </c>
      <c r="B21" s="2303"/>
      <c r="C21" s="1732">
        <f>SUM(C17:C20)</f>
        <v>0</v>
      </c>
      <c r="D21" s="1732">
        <f>SUM(D17:D20)</f>
        <v>0</v>
      </c>
      <c r="E21" s="1732">
        <f>SUM(E17:E20)</f>
        <v>0</v>
      </c>
      <c r="F21" s="1732">
        <f>SUM(F17:F20)</f>
        <v>0</v>
      </c>
      <c r="G21" s="473"/>
    </row>
    <row r="22" spans="1:11" ht="15.75" customHeight="1" thickTop="1" x14ac:dyDescent="0.2">
      <c r="A22" s="2304" t="s">
        <v>1103</v>
      </c>
      <c r="B22" s="2305"/>
      <c r="C22" s="2299"/>
      <c r="D22" s="2300"/>
      <c r="E22" s="2300"/>
      <c r="F22" s="2301"/>
    </row>
    <row r="23" spans="1:11" ht="13.5" thickBot="1" x14ac:dyDescent="0.25">
      <c r="A23" s="2306" t="s">
        <v>629</v>
      </c>
      <c r="B23" s="2307"/>
      <c r="C23" s="1656"/>
      <c r="D23" s="1656"/>
      <c r="E23" s="1656"/>
      <c r="F23" s="1732">
        <f>SUM(C23+D23)-E23</f>
        <v>0</v>
      </c>
      <c r="G23" s="473"/>
    </row>
    <row r="24" spans="1:11" ht="15.75" customHeight="1" thickTop="1" x14ac:dyDescent="0.2">
      <c r="A24" s="2304" t="s">
        <v>2006</v>
      </c>
      <c r="B24" s="2305"/>
      <c r="C24" s="2299"/>
      <c r="D24" s="2300"/>
      <c r="E24" s="2300"/>
      <c r="F24" s="2301"/>
    </row>
    <row r="25" spans="1:11" ht="13.5" thickBot="1" x14ac:dyDescent="0.25">
      <c r="A25" s="2306" t="s">
        <v>2007</v>
      </c>
      <c r="B25" s="2307"/>
      <c r="C25" s="1656"/>
      <c r="D25" s="1656"/>
      <c r="E25" s="1656"/>
      <c r="F25" s="1732">
        <f>SUM(C25+D25)-E25</f>
        <v>0</v>
      </c>
      <c r="G25" s="473"/>
    </row>
    <row r="26" spans="1:11" ht="15.75" customHeight="1" thickTop="1" x14ac:dyDescent="0.2">
      <c r="A26" s="2310" t="s">
        <v>652</v>
      </c>
      <c r="B26" s="2305"/>
      <c r="C26" s="589"/>
      <c r="D26" s="589"/>
      <c r="E26" s="589"/>
      <c r="F26" s="590"/>
    </row>
    <row r="27" spans="1:11" ht="13.5" thickBot="1" x14ac:dyDescent="0.25">
      <c r="A27" s="2302" t="s">
        <v>1061</v>
      </c>
      <c r="B27" s="2303"/>
      <c r="C27" s="1664"/>
      <c r="D27" s="1664"/>
      <c r="E27" s="1664"/>
      <c r="F27" s="1732">
        <f>SUM(C27+D27)-E27</f>
        <v>0</v>
      </c>
      <c r="G27" s="473"/>
    </row>
    <row r="28" spans="1:11" ht="7.5" customHeight="1" thickTop="1" x14ac:dyDescent="0.2">
      <c r="A28" s="489"/>
    </row>
    <row r="29" spans="1:11" ht="23.25" customHeight="1" x14ac:dyDescent="0.2">
      <c r="A29" s="2308" t="s">
        <v>578</v>
      </c>
      <c r="B29" s="2309"/>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2064</v>
      </c>
      <c r="B31" s="595">
        <v>42332</v>
      </c>
      <c r="C31" s="1734">
        <v>7835000</v>
      </c>
      <c r="D31" s="1735">
        <v>3</v>
      </c>
      <c r="E31" s="1734">
        <v>7835000</v>
      </c>
      <c r="F31" s="1734"/>
      <c r="G31" s="1734"/>
      <c r="H31" s="1734">
        <v>710000</v>
      </c>
      <c r="I31" s="1736">
        <f>((E31+F31)-H31)+G31</f>
        <v>7125000</v>
      </c>
      <c r="J31" s="1734">
        <v>5709950</v>
      </c>
      <c r="K31" s="596"/>
    </row>
    <row r="32" spans="1:11" ht="12" customHeight="1" x14ac:dyDescent="0.2">
      <c r="A32" s="594" t="s">
        <v>2065</v>
      </c>
      <c r="B32" s="595">
        <v>42647</v>
      </c>
      <c r="C32" s="1734">
        <v>10840000</v>
      </c>
      <c r="D32" s="1735">
        <v>3</v>
      </c>
      <c r="E32" s="1734">
        <v>5910000</v>
      </c>
      <c r="F32" s="1734"/>
      <c r="G32" s="1734"/>
      <c r="H32" s="1734">
        <v>1895000</v>
      </c>
      <c r="I32" s="1736">
        <f>((E32+F32)-H32)+G32</f>
        <v>4015000</v>
      </c>
      <c r="J32" s="1734">
        <v>3217893</v>
      </c>
      <c r="K32" s="596"/>
    </row>
    <row r="33" spans="1:11" ht="12" customHeight="1" x14ac:dyDescent="0.2">
      <c r="A33" s="594" t="s">
        <v>2066</v>
      </c>
      <c r="B33" s="595" t="s">
        <v>2067</v>
      </c>
      <c r="C33" s="1734"/>
      <c r="D33" s="1735"/>
      <c r="E33" s="1734">
        <v>686409</v>
      </c>
      <c r="F33" s="1734"/>
      <c r="G33" s="1734">
        <v>-211549</v>
      </c>
      <c r="H33" s="1734"/>
      <c r="I33" s="1736">
        <f t="shared" ref="I33:I48" si="1">((E33+F33)-H33)+G33</f>
        <v>474860</v>
      </c>
      <c r="J33" s="1734">
        <v>380573</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18675000</v>
      </c>
      <c r="D49" s="1742"/>
      <c r="E49" s="1736">
        <f t="shared" ref="E49:J49" si="2">SUM(E31:E48)</f>
        <v>14431409</v>
      </c>
      <c r="F49" s="1736">
        <f t="shared" si="2"/>
        <v>0</v>
      </c>
      <c r="G49" s="1736">
        <f t="shared" si="2"/>
        <v>-211549</v>
      </c>
      <c r="H49" s="1736">
        <f t="shared" si="2"/>
        <v>2605000</v>
      </c>
      <c r="I49" s="1736">
        <f t="shared" si="2"/>
        <v>11614860</v>
      </c>
      <c r="J49" s="1736">
        <f t="shared" si="2"/>
        <v>9308416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1" t="s">
        <v>580</v>
      </c>
      <c r="C52" s="2292"/>
      <c r="D52" s="2292"/>
      <c r="E52" s="603" t="s">
        <v>840</v>
      </c>
      <c r="F52" s="2293" t="s">
        <v>2068</v>
      </c>
      <c r="G52" s="2294"/>
      <c r="H52" s="596"/>
      <c r="I52" s="596"/>
      <c r="J52" s="600"/>
    </row>
    <row r="53" spans="1:11" ht="11.25" customHeight="1" x14ac:dyDescent="0.2">
      <c r="A53" s="604" t="s">
        <v>907</v>
      </c>
      <c r="B53" s="605" t="s">
        <v>945</v>
      </c>
      <c r="C53" s="600"/>
      <c r="D53" s="597"/>
      <c r="E53" s="603" t="s">
        <v>494</v>
      </c>
      <c r="F53" s="2295"/>
      <c r="G53" s="2296"/>
      <c r="H53" s="596"/>
      <c r="I53" s="596"/>
      <c r="J53" s="600"/>
    </row>
    <row r="54" spans="1:11" ht="11.25" customHeight="1" x14ac:dyDescent="0.2">
      <c r="A54" s="606" t="s">
        <v>908</v>
      </c>
      <c r="B54" s="601" t="s">
        <v>946</v>
      </c>
      <c r="C54" s="600"/>
      <c r="D54" s="597"/>
      <c r="E54" s="603" t="s">
        <v>495</v>
      </c>
      <c r="F54" s="2295"/>
      <c r="G54" s="229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0" t="s">
        <v>851</v>
      </c>
      <c r="B1" s="2321"/>
      <c r="C1" s="2321"/>
      <c r="D1" s="2321"/>
      <c r="E1" s="2321"/>
      <c r="F1" s="2321"/>
      <c r="G1" s="2322"/>
      <c r="H1" s="1298"/>
      <c r="I1" s="614"/>
      <c r="J1" s="400"/>
    </row>
    <row r="2" spans="1:11" ht="26.25" x14ac:dyDescent="0.2">
      <c r="A2" s="2339" t="s">
        <v>1658</v>
      </c>
      <c r="B2" s="2340"/>
      <c r="C2" s="2340"/>
      <c r="D2" s="2340"/>
      <c r="E2" s="2341"/>
      <c r="F2" s="615" t="s">
        <v>898</v>
      </c>
      <c r="G2" s="616" t="s">
        <v>1655</v>
      </c>
      <c r="H2" s="616" t="s">
        <v>407</v>
      </c>
      <c r="I2" s="616" t="s">
        <v>1148</v>
      </c>
      <c r="J2" s="616" t="s">
        <v>1789</v>
      </c>
      <c r="K2" s="616" t="s">
        <v>137</v>
      </c>
    </row>
    <row r="3" spans="1:11" x14ac:dyDescent="0.2">
      <c r="A3" s="2342" t="str">
        <f>"Cash Basis Fund Balance as of July 1, "&amp;'AFR20'!E2-1</f>
        <v>Cash Basis Fund Balance as of July 1, 2019</v>
      </c>
      <c r="B3" s="2343"/>
      <c r="C3" s="2343"/>
      <c r="D3" s="2343"/>
      <c r="E3" s="2344"/>
      <c r="F3" s="617"/>
      <c r="G3" s="1744"/>
      <c r="H3" s="1744"/>
      <c r="I3" s="1744"/>
      <c r="J3" s="1745"/>
      <c r="K3" s="1745"/>
    </row>
    <row r="4" spans="1:11" x14ac:dyDescent="0.2">
      <c r="A4" s="2345" t="s">
        <v>366</v>
      </c>
      <c r="B4" s="2346"/>
      <c r="C4" s="2346"/>
      <c r="D4" s="2346"/>
      <c r="E4" s="2292"/>
      <c r="F4" s="620"/>
      <c r="G4" s="1746"/>
      <c r="H4" s="1747"/>
      <c r="I4" s="1746"/>
      <c r="J4" s="1748"/>
      <c r="K4" s="1748"/>
    </row>
    <row r="5" spans="1:11" x14ac:dyDescent="0.2">
      <c r="A5" s="2323" t="s">
        <v>1060</v>
      </c>
      <c r="B5" s="2324"/>
      <c r="C5" s="2324"/>
      <c r="D5" s="2324"/>
      <c r="E5" s="2325"/>
      <c r="F5" s="622" t="s">
        <v>843</v>
      </c>
      <c r="G5" s="1749"/>
      <c r="H5" s="1744">
        <v>52792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3" t="s">
        <v>1790</v>
      </c>
      <c r="B10" s="2324"/>
      <c r="C10" s="2324"/>
      <c r="D10" s="2324"/>
      <c r="E10" s="2326"/>
      <c r="F10" s="633" t="s">
        <v>857</v>
      </c>
      <c r="G10" s="1753"/>
      <c r="H10" s="1754"/>
      <c r="I10" s="1744"/>
      <c r="J10" s="1745"/>
      <c r="K10" s="1745"/>
    </row>
    <row r="11" spans="1:11" x14ac:dyDescent="0.2">
      <c r="A11" s="2323" t="s">
        <v>159</v>
      </c>
      <c r="B11" s="2324"/>
      <c r="C11" s="2324"/>
      <c r="D11" s="2324"/>
      <c r="E11" s="2325"/>
      <c r="F11" s="622" t="s">
        <v>847</v>
      </c>
      <c r="G11" s="1749"/>
      <c r="H11" s="1744"/>
      <c r="I11" s="1744"/>
      <c r="J11" s="1745"/>
      <c r="K11" s="1751"/>
    </row>
    <row r="12" spans="1:11" ht="13.5" thickBot="1" x14ac:dyDescent="0.25">
      <c r="A12" s="2350" t="s">
        <v>899</v>
      </c>
      <c r="B12" s="2351"/>
      <c r="C12" s="2351"/>
      <c r="D12" s="2351"/>
      <c r="E12" s="2352"/>
      <c r="F12" s="1433"/>
      <c r="G12" s="1755">
        <f>SUM(G5:G11)</f>
        <v>0</v>
      </c>
      <c r="H12" s="1755">
        <f>SUM(H5:H11)</f>
        <v>52792</v>
      </c>
      <c r="I12" s="1755">
        <f>SUM(I5:I11)</f>
        <v>0</v>
      </c>
      <c r="J12" s="1755">
        <f>SUM(J5:J11)</f>
        <v>0</v>
      </c>
      <c r="K12" s="1755">
        <f>SUM(K5:K11)</f>
        <v>0</v>
      </c>
    </row>
    <row r="13" spans="1:11" ht="13.5" thickTop="1" x14ac:dyDescent="0.2">
      <c r="A13" s="2347" t="s">
        <v>367</v>
      </c>
      <c r="B13" s="2348"/>
      <c r="C13" s="2348"/>
      <c r="D13" s="2348"/>
      <c r="E13" s="2349"/>
      <c r="F13" s="634"/>
      <c r="G13" s="1756"/>
      <c r="H13" s="1757"/>
      <c r="I13" s="1758"/>
      <c r="J13" s="1758"/>
      <c r="K13" s="1758"/>
    </row>
    <row r="14" spans="1:11" x14ac:dyDescent="0.2">
      <c r="A14" s="2330" t="s">
        <v>453</v>
      </c>
      <c r="B14" s="2330"/>
      <c r="C14" s="2330"/>
      <c r="D14" s="2330"/>
      <c r="E14" s="2331"/>
      <c r="F14" s="635" t="s">
        <v>849</v>
      </c>
      <c r="G14" s="1753"/>
      <c r="H14" s="1744">
        <v>52792</v>
      </c>
      <c r="I14" s="1749"/>
      <c r="J14" s="1751"/>
      <c r="K14" s="1745"/>
    </row>
    <row r="15" spans="1:11" x14ac:dyDescent="0.2">
      <c r="A15" s="2324" t="s">
        <v>4</v>
      </c>
      <c r="B15" s="2324"/>
      <c r="C15" s="2324"/>
      <c r="D15" s="2324"/>
      <c r="E15" s="2325"/>
      <c r="F15" s="635" t="s">
        <v>850</v>
      </c>
      <c r="G15" s="1749"/>
      <c r="H15" s="1744"/>
      <c r="I15" s="1744"/>
      <c r="J15" s="1745"/>
      <c r="K15" s="1745"/>
    </row>
    <row r="16" spans="1:11" x14ac:dyDescent="0.2">
      <c r="A16" s="2324" t="s">
        <v>295</v>
      </c>
      <c r="B16" s="2324"/>
      <c r="C16" s="2324"/>
      <c r="D16" s="2324"/>
      <c r="E16" s="2325"/>
      <c r="F16" s="635" t="s">
        <v>917</v>
      </c>
      <c r="G16" s="1750"/>
      <c r="H16" s="1746"/>
      <c r="I16" s="1746"/>
      <c r="J16" s="1748"/>
      <c r="K16" s="1748"/>
    </row>
    <row r="17" spans="1:15" x14ac:dyDescent="0.2">
      <c r="A17" s="2357" t="s">
        <v>929</v>
      </c>
      <c r="B17" s="2357"/>
      <c r="C17" s="2357"/>
      <c r="D17" s="2357"/>
      <c r="E17" s="2358"/>
      <c r="F17" s="636"/>
      <c r="G17" s="1759"/>
      <c r="H17" s="1760"/>
      <c r="I17" s="1760"/>
      <c r="J17" s="1761"/>
      <c r="K17" s="1762"/>
    </row>
    <row r="18" spans="1:15" x14ac:dyDescent="0.2">
      <c r="A18" s="2334" t="s">
        <v>365</v>
      </c>
      <c r="B18" s="2335"/>
      <c r="C18" s="2335"/>
      <c r="D18" s="2335"/>
      <c r="E18" s="2336"/>
      <c r="F18" s="635" t="s">
        <v>926</v>
      </c>
      <c r="G18" s="1753"/>
      <c r="H18" s="1753"/>
      <c r="I18" s="1753"/>
      <c r="J18" s="1745"/>
      <c r="K18" s="1763"/>
    </row>
    <row r="19" spans="1:15" ht="21.75" customHeight="1" x14ac:dyDescent="0.2">
      <c r="A19" s="2332" t="s">
        <v>1786</v>
      </c>
      <c r="B19" s="2332"/>
      <c r="C19" s="2332"/>
      <c r="D19" s="2332"/>
      <c r="E19" s="2333"/>
      <c r="F19" s="635" t="s">
        <v>927</v>
      </c>
      <c r="G19" s="1753"/>
      <c r="H19" s="1753"/>
      <c r="I19" s="1753"/>
      <c r="J19" s="1745"/>
      <c r="K19" s="1763"/>
    </row>
    <row r="20" spans="1:15" x14ac:dyDescent="0.2">
      <c r="A20" s="2334" t="s">
        <v>1791</v>
      </c>
      <c r="B20" s="2335"/>
      <c r="C20" s="2335"/>
      <c r="D20" s="2335"/>
      <c r="E20" s="2336"/>
      <c r="F20" s="635" t="s">
        <v>928</v>
      </c>
      <c r="G20" s="1753"/>
      <c r="H20" s="1753"/>
      <c r="I20" s="1753"/>
      <c r="J20" s="1745"/>
      <c r="K20" s="1763"/>
    </row>
    <row r="21" spans="1:15" ht="13.5" thickBot="1" x14ac:dyDescent="0.25">
      <c r="A21" s="2353" t="s">
        <v>633</v>
      </c>
      <c r="B21" s="2353"/>
      <c r="C21" s="2353"/>
      <c r="D21" s="2353"/>
      <c r="E21" s="2353"/>
      <c r="F21" s="1434"/>
      <c r="G21" s="1760"/>
      <c r="H21" s="1764"/>
      <c r="I21" s="1764"/>
      <c r="J21" s="1765">
        <f>SUM(J18:J20)</f>
        <v>0</v>
      </c>
      <c r="K21" s="1761"/>
    </row>
    <row r="22" spans="1:15" ht="13.5" thickTop="1" x14ac:dyDescent="0.2">
      <c r="A22" s="2324" t="s">
        <v>1792</v>
      </c>
      <c r="B22" s="2324"/>
      <c r="C22" s="2324"/>
      <c r="D22" s="2324"/>
      <c r="E22" s="2325"/>
      <c r="F22" s="635" t="s">
        <v>857</v>
      </c>
      <c r="G22" s="1753"/>
      <c r="H22" s="1744"/>
      <c r="I22" s="1744"/>
      <c r="J22" s="1766"/>
      <c r="K22" s="1745"/>
    </row>
    <row r="23" spans="1:15" ht="13.5" thickBot="1" x14ac:dyDescent="0.25">
      <c r="A23" s="2354" t="s">
        <v>900</v>
      </c>
      <c r="B23" s="2353"/>
      <c r="C23" s="2353"/>
      <c r="D23" s="2353"/>
      <c r="E23" s="2353"/>
      <c r="F23" s="1436"/>
      <c r="G23" s="1755">
        <f>SUM(G14:G16,G21,G22)</f>
        <v>0</v>
      </c>
      <c r="H23" s="1755">
        <f>SUM(H14:H16,H21,H22)</f>
        <v>52792</v>
      </c>
      <c r="I23" s="1755">
        <f>SUM(I14:I16,I21,I22)</f>
        <v>0</v>
      </c>
      <c r="J23" s="1755">
        <f>SUM(J14:J16,J21,J22)</f>
        <v>0</v>
      </c>
      <c r="K23" s="1755">
        <f>SUM(K14:K16,K21,K22)</f>
        <v>0</v>
      </c>
      <c r="M23" s="1846"/>
      <c r="N23" s="1846"/>
      <c r="O23" s="1846"/>
    </row>
    <row r="24" spans="1:15" ht="14.25" thickTop="1" thickBot="1" x14ac:dyDescent="0.25">
      <c r="A24" s="2355" t="str">
        <f>"Ending Cash Basis Fund Balance as of June 30, "&amp;'AFR20'!E2</f>
        <v>Ending Cash Basis Fund Balance as of June 30, 2020</v>
      </c>
      <c r="B24" s="2356"/>
      <c r="C24" s="2356"/>
      <c r="D24" s="2356"/>
      <c r="E24" s="2356"/>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7"/>
      <c r="I31" s="2328"/>
      <c r="J31" s="2328"/>
      <c r="K31" s="2328"/>
    </row>
    <row r="32" spans="1:15" x14ac:dyDescent="0.2">
      <c r="A32" s="649"/>
      <c r="B32" s="232"/>
      <c r="C32" s="232"/>
      <c r="D32" s="232"/>
      <c r="E32" s="645"/>
      <c r="F32" s="651" t="s">
        <v>537</v>
      </c>
      <c r="G32" s="618"/>
      <c r="H32" s="2329"/>
      <c r="I32" s="2328"/>
      <c r="J32" s="2328"/>
      <c r="K32" s="2328"/>
    </row>
    <row r="33" spans="1:11" ht="1.5" customHeight="1" x14ac:dyDescent="0.2">
      <c r="A33" s="652" t="s">
        <v>1159</v>
      </c>
      <c r="B33" s="341"/>
      <c r="C33" s="341"/>
      <c r="D33" s="341"/>
      <c r="E33" s="341"/>
      <c r="F33" s="341"/>
      <c r="G33" s="653"/>
      <c r="H33" s="2329"/>
      <c r="I33" s="2328"/>
      <c r="J33" s="2328"/>
      <c r="K33" s="232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v>83421</v>
      </c>
    </row>
    <row r="37" spans="1:11" x14ac:dyDescent="0.2">
      <c r="A37" s="660" t="s">
        <v>890</v>
      </c>
      <c r="B37" s="658"/>
      <c r="C37" s="658"/>
      <c r="D37" s="658"/>
      <c r="E37" s="658"/>
      <c r="F37" s="659"/>
      <c r="G37" s="619">
        <v>6649</v>
      </c>
    </row>
    <row r="38" spans="1:11" x14ac:dyDescent="0.2">
      <c r="A38" s="660" t="s">
        <v>986</v>
      </c>
      <c r="B38" s="658"/>
      <c r="C38" s="658"/>
      <c r="D38" s="658"/>
      <c r="E38" s="658"/>
      <c r="F38" s="659"/>
      <c r="G38" s="619">
        <v>93217</v>
      </c>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4" t="s">
        <v>538</v>
      </c>
      <c r="B41" s="2337"/>
      <c r="C41" s="2337"/>
      <c r="D41" s="2337"/>
      <c r="E41" s="2337"/>
      <c r="F41" s="2338"/>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topLeftCell="B1"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1" t="s">
        <v>1875</v>
      </c>
      <c r="B1" s="2362"/>
      <c r="C1" s="2363"/>
      <c r="D1" s="666"/>
      <c r="E1" s="667"/>
      <c r="F1" s="667"/>
      <c r="G1" s="668"/>
      <c r="H1" s="669"/>
      <c r="I1" s="670"/>
      <c r="J1" s="2359"/>
      <c r="K1" s="2360"/>
      <c r="L1" s="2360"/>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4698697</v>
      </c>
      <c r="D5" s="1770"/>
      <c r="E5" s="1770"/>
      <c r="F5" s="1765">
        <f>(C5+D5)-E5</f>
        <v>4698697</v>
      </c>
      <c r="G5" s="676"/>
      <c r="H5" s="680"/>
      <c r="I5" s="680"/>
      <c r="J5" s="680"/>
      <c r="K5" s="637"/>
      <c r="L5" s="1442">
        <f>F5-K5</f>
        <v>4698697</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53363883</v>
      </c>
      <c r="D8" s="1771">
        <v>1877423</v>
      </c>
      <c r="E8" s="1771"/>
      <c r="F8" s="1765">
        <f>(C8+D8)-E8</f>
        <v>55241306</v>
      </c>
      <c r="G8" s="681">
        <v>50</v>
      </c>
      <c r="H8" s="619">
        <v>17485075</v>
      </c>
      <c r="I8" s="619">
        <v>1420891</v>
      </c>
      <c r="J8" s="619"/>
      <c r="K8" s="1442">
        <f>(H8+I8)-J8</f>
        <v>18905966</v>
      </c>
      <c r="L8" s="1442">
        <f>F8-K8</f>
        <v>36335340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4057493</v>
      </c>
      <c r="D10" s="1772">
        <v>40700</v>
      </c>
      <c r="E10" s="1772"/>
      <c r="F10" s="1773">
        <f>(C10+D10)-E10</f>
        <v>4098193</v>
      </c>
      <c r="G10" s="681">
        <v>20</v>
      </c>
      <c r="H10" s="683">
        <v>2465404</v>
      </c>
      <c r="I10" s="683">
        <v>176154</v>
      </c>
      <c r="J10" s="683"/>
      <c r="K10" s="1442">
        <f>(H10+I10)-J10</f>
        <v>2641558</v>
      </c>
      <c r="L10" s="1442">
        <f>F10-K10</f>
        <v>1456635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c r="D12" s="1771"/>
      <c r="E12" s="1771"/>
      <c r="F12" s="1765">
        <f>(C12+D12)-E12</f>
        <v>0</v>
      </c>
      <c r="G12" s="681">
        <v>10</v>
      </c>
      <c r="H12" s="619"/>
      <c r="I12" s="619"/>
      <c r="J12" s="619"/>
      <c r="K12" s="1442">
        <f>(H12+I12)-J12</f>
        <v>0</v>
      </c>
      <c r="L12" s="1442">
        <f>F12-K12</f>
        <v>0</v>
      </c>
    </row>
    <row r="13" spans="1:14" ht="14.25" thickTop="1" thickBot="1" x14ac:dyDescent="0.25">
      <c r="A13" s="684" t="s">
        <v>1112</v>
      </c>
      <c r="B13" s="679">
        <v>252</v>
      </c>
      <c r="C13" s="1771">
        <v>8104797</v>
      </c>
      <c r="D13" s="1771">
        <v>705559</v>
      </c>
      <c r="E13" s="1771">
        <v>3849</v>
      </c>
      <c r="F13" s="1765">
        <f>(C13+D13)-E13</f>
        <v>8806507</v>
      </c>
      <c r="G13" s="681">
        <v>5</v>
      </c>
      <c r="H13" s="619">
        <v>4756593</v>
      </c>
      <c r="I13" s="619">
        <f>448519+320625</f>
        <v>769144</v>
      </c>
      <c r="J13" s="619"/>
      <c r="K13" s="1442">
        <f>(H13+I13)-J13</f>
        <v>5525737</v>
      </c>
      <c r="L13" s="1442">
        <f>F13-K13</f>
        <v>3280770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394682</v>
      </c>
      <c r="D15" s="1771">
        <v>1065275</v>
      </c>
      <c r="E15" s="1771">
        <v>394681</v>
      </c>
      <c r="F15" s="1765">
        <f>(C15+D15)-E15</f>
        <v>1065276</v>
      </c>
      <c r="G15" s="685" t="s">
        <v>857</v>
      </c>
      <c r="H15" s="632"/>
      <c r="I15" s="632"/>
      <c r="J15" s="632"/>
      <c r="K15" s="632"/>
      <c r="L15" s="1442">
        <f>F15-K15</f>
        <v>1065276</v>
      </c>
    </row>
    <row r="16" spans="1:14" ht="15" customHeight="1" thickTop="1" thickBot="1" x14ac:dyDescent="0.25">
      <c r="A16" s="1438" t="s">
        <v>638</v>
      </c>
      <c r="B16" s="1439">
        <v>200</v>
      </c>
      <c r="C16" s="1765">
        <f>SUM(C3,C5:C6,C8:C10,C12:C15)</f>
        <v>70619552</v>
      </c>
      <c r="D16" s="1765">
        <f>SUM(D3,D5:D6,D8:D10,D12:D15)</f>
        <v>3688957</v>
      </c>
      <c r="E16" s="1765">
        <f>SUM(E3,E5:E6,E8:E10,E12:E15)</f>
        <v>398530</v>
      </c>
      <c r="F16" s="1765">
        <f>SUM(F3,F5:F6,F8:F10,F12:F15)</f>
        <v>73909979</v>
      </c>
      <c r="G16" s="681"/>
      <c r="H16" s="1435">
        <f>SUM(H3,H6,H8:H10,H12:H14,)</f>
        <v>24707072</v>
      </c>
      <c r="I16" s="1435">
        <f>SUM(I3,I6,I8:I10,I12:I14,)</f>
        <v>2366189</v>
      </c>
      <c r="J16" s="1435">
        <f>SUM(J3,J6,J8:J10,J12:J14,)</f>
        <v>0</v>
      </c>
      <c r="K16" s="1435">
        <f>(H16+I16)-J16</f>
        <v>27073261</v>
      </c>
      <c r="L16" s="1435">
        <f>F16-K16</f>
        <v>46836718</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26852</v>
      </c>
      <c r="G17" s="676">
        <v>10</v>
      </c>
      <c r="H17" s="621"/>
      <c r="I17" s="1442">
        <f>F17/G17</f>
        <v>2685.2</v>
      </c>
      <c r="J17" s="621"/>
      <c r="K17" s="638"/>
      <c r="L17" s="638"/>
    </row>
    <row r="18" spans="1:12" ht="14.25" thickTop="1" thickBot="1" x14ac:dyDescent="0.25">
      <c r="A18" s="1440" t="s">
        <v>680</v>
      </c>
      <c r="B18" s="1441"/>
      <c r="C18" s="623"/>
      <c r="D18" s="623"/>
      <c r="E18" s="623"/>
      <c r="F18" s="686"/>
      <c r="G18" s="687"/>
      <c r="H18" s="624"/>
      <c r="I18" s="1435">
        <f>SUM(I16,I17)</f>
        <v>2368874.2000000002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activeCell="D14" sqref="D1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7" t="str">
        <f>"ESTIMATED OPERATING EXPENSE PER PUPIL (OEPP)/PER CAPITA TUITION CHARGE (PCTC) COMPUTATIONS ("&amp;'AFR20'!E2-1&amp;" - "&amp;'AFR20'!E2&amp;")"</f>
        <v>ESTIMATED OPERATING EXPENSE PER PUPIL (OEPP)/PER CAPITA TUITION CHARGE (PCTC) COMPUTATIONS (2019 - 2020)</v>
      </c>
      <c r="B1" s="2368"/>
      <c r="C1" s="2368"/>
      <c r="D1" s="2368"/>
      <c r="E1" s="2368"/>
      <c r="F1" s="2369"/>
      <c r="G1" s="691"/>
      <c r="I1" s="701"/>
    </row>
    <row r="2" spans="1:9" ht="15" customHeight="1" thickBot="1" x14ac:dyDescent="0.25">
      <c r="A2" s="2370" t="s">
        <v>474</v>
      </c>
      <c r="B2" s="2371"/>
      <c r="C2" s="2371"/>
      <c r="D2" s="2371"/>
      <c r="E2" s="2371"/>
      <c r="F2" s="2372"/>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3"/>
      <c r="B5" s="2374"/>
      <c r="C5" s="2374"/>
      <c r="D5" s="2374"/>
      <c r="E5" s="2374"/>
      <c r="F5" s="2374"/>
    </row>
    <row r="6" spans="1:9" ht="13.5" customHeight="1" thickBot="1" x14ac:dyDescent="0.25">
      <c r="A6" s="2364" t="s">
        <v>1095</v>
      </c>
      <c r="B6" s="2365"/>
      <c r="C6" s="2365"/>
      <c r="D6" s="2365"/>
      <c r="E6" s="2365"/>
      <c r="F6" s="2366"/>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23489212</v>
      </c>
      <c r="G8" s="701"/>
    </row>
    <row r="9" spans="1:9" x14ac:dyDescent="0.2">
      <c r="A9" s="705" t="s">
        <v>457</v>
      </c>
      <c r="B9" s="706" t="s">
        <v>1848</v>
      </c>
      <c r="C9" s="707"/>
      <c r="D9" s="705" t="s">
        <v>498</v>
      </c>
      <c r="E9" s="704"/>
      <c r="F9" s="1775">
        <f>'Expenditures 15-22'!K151</f>
        <v>2501453</v>
      </c>
      <c r="G9" s="708"/>
    </row>
    <row r="10" spans="1:9" x14ac:dyDescent="0.2">
      <c r="A10" s="705" t="s">
        <v>496</v>
      </c>
      <c r="B10" s="706" t="s">
        <v>1849</v>
      </c>
      <c r="C10" s="707"/>
      <c r="D10" s="705" t="s">
        <v>498</v>
      </c>
      <c r="E10" s="704"/>
      <c r="F10" s="1775">
        <f>'Expenditures 15-22'!K174</f>
        <v>3042712</v>
      </c>
      <c r="G10" s="708"/>
    </row>
    <row r="11" spans="1:9" x14ac:dyDescent="0.2">
      <c r="A11" s="705" t="s">
        <v>458</v>
      </c>
      <c r="B11" s="706" t="s">
        <v>1850</v>
      </c>
      <c r="C11" s="707"/>
      <c r="D11" s="705" t="s">
        <v>498</v>
      </c>
      <c r="E11" s="704"/>
      <c r="F11" s="1775">
        <f>'Expenditures 15-22'!K210</f>
        <v>2073224</v>
      </c>
      <c r="G11" s="708"/>
    </row>
    <row r="12" spans="1:9" x14ac:dyDescent="0.2">
      <c r="A12" s="705" t="s">
        <v>459</v>
      </c>
      <c r="B12" s="706" t="s">
        <v>1851</v>
      </c>
      <c r="C12" s="707"/>
      <c r="D12" s="705" t="s">
        <v>498</v>
      </c>
      <c r="E12" s="704"/>
      <c r="F12" s="1775">
        <f>'Expenditures 15-22'!K295</f>
        <v>730286</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31836887</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503</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69376</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166342</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24840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1137156</v>
      </c>
      <c r="G53" s="701"/>
    </row>
    <row r="54" spans="1:7" x14ac:dyDescent="0.2">
      <c r="A54" s="705" t="s">
        <v>456</v>
      </c>
      <c r="B54" s="705" t="s">
        <v>1459</v>
      </c>
      <c r="C54" s="724" t="s">
        <v>975</v>
      </c>
      <c r="D54" s="720" t="s">
        <v>1086</v>
      </c>
      <c r="E54" s="704"/>
      <c r="F54" s="1782">
        <f>'Expenditures 15-22'!G114</f>
        <v>907546</v>
      </c>
      <c r="G54" s="701"/>
    </row>
    <row r="55" spans="1:7" x14ac:dyDescent="0.2">
      <c r="A55" s="705" t="s">
        <v>456</v>
      </c>
      <c r="B55" s="705" t="s">
        <v>1460</v>
      </c>
      <c r="C55" s="724" t="s">
        <v>975</v>
      </c>
      <c r="D55" s="720" t="s">
        <v>288</v>
      </c>
      <c r="E55" s="704"/>
      <c r="F55" s="1782">
        <f>'Expenditures 15-22'!I114</f>
        <v>26852</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47795</v>
      </c>
      <c r="G57" s="701"/>
    </row>
    <row r="58" spans="1:7" x14ac:dyDescent="0.2">
      <c r="A58" s="705" t="s">
        <v>457</v>
      </c>
      <c r="B58" s="705" t="s">
        <v>1854</v>
      </c>
      <c r="C58" s="721" t="s">
        <v>975</v>
      </c>
      <c r="D58" s="720" t="s">
        <v>1086</v>
      </c>
      <c r="E58" s="704"/>
      <c r="F58" s="1784">
        <f>'Expenditures 15-22'!G151</f>
        <v>464203</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2605000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211549</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691</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1841</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352</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53358</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5717404</v>
      </c>
      <c r="G77" s="701"/>
    </row>
    <row r="78" spans="1:9" s="728" customFormat="1" ht="12" customHeight="1" thickTop="1" thickBot="1" x14ac:dyDescent="0.25">
      <c r="A78" s="1450"/>
      <c r="B78" s="1448"/>
      <c r="C78" s="1445"/>
      <c r="D78" s="1449" t="s">
        <v>2012</v>
      </c>
      <c r="E78" s="1447"/>
      <c r="F78" s="1788">
        <f>(F14-F77)</f>
        <v>26119483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2039</v>
      </c>
      <c r="G79" s="733"/>
      <c r="H79" s="705"/>
      <c r="I79" s="705"/>
    </row>
    <row r="80" spans="1:9" s="728" customFormat="1" ht="12" customHeight="1" thickBot="1" x14ac:dyDescent="0.25">
      <c r="A80" s="1452"/>
      <c r="B80" s="1448"/>
      <c r="C80" s="1445"/>
      <c r="D80" s="1449" t="s">
        <v>2013</v>
      </c>
      <c r="E80" s="1447" t="s">
        <v>952</v>
      </c>
      <c r="F80" s="1790">
        <f>IF(F79&gt;0,F78/F79," Complete Line 79")</f>
        <v>12809.947523295734</v>
      </c>
      <c r="G80" s="705"/>
    </row>
    <row r="81" spans="1:7" s="728" customFormat="1" ht="8.25" customHeight="1" thickTop="1" x14ac:dyDescent="0.2">
      <c r="A81" s="734"/>
      <c r="B81" s="705"/>
      <c r="C81" s="707"/>
      <c r="D81" s="735"/>
      <c r="E81" s="704"/>
      <c r="F81" s="1791"/>
      <c r="G81" s="705"/>
    </row>
    <row r="82" spans="1:7" s="728" customFormat="1" ht="12" thickBot="1" x14ac:dyDescent="0.25">
      <c r="A82" s="2364" t="s">
        <v>1096</v>
      </c>
      <c r="B82" s="2365"/>
      <c r="C82" s="2365"/>
      <c r="D82" s="2365"/>
      <c r="E82" s="2365"/>
      <c r="F82" s="236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1452</v>
      </c>
      <c r="G85" s="745"/>
    </row>
    <row r="86" spans="1:7" x14ac:dyDescent="0.2">
      <c r="A86" s="741" t="s">
        <v>458</v>
      </c>
      <c r="B86" s="741" t="s">
        <v>182</v>
      </c>
      <c r="C86" s="746">
        <f>'Revenues 9-14'!B44</f>
        <v>1413</v>
      </c>
      <c r="D86" s="744" t="str">
        <f>'Revenues 9-14'!A44</f>
        <v>Regular - Transp Fees from Other Sources (In State)</v>
      </c>
      <c r="E86" s="739"/>
      <c r="F86" s="1793">
        <f>'Revenues 9-14'!F44</f>
        <v>2435</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29791</v>
      </c>
      <c r="G96" s="745"/>
    </row>
    <row r="97" spans="1:7" x14ac:dyDescent="0.2">
      <c r="A97" s="741" t="s">
        <v>456</v>
      </c>
      <c r="B97" s="741" t="s">
        <v>175</v>
      </c>
      <c r="C97" s="743">
        <f>'Revenues 9-14'!B84</f>
        <v>1811</v>
      </c>
      <c r="D97" s="744" t="str">
        <f>'Revenues 9-14'!A84</f>
        <v>Rentals - Regular Textbooks</v>
      </c>
      <c r="E97" s="739"/>
      <c r="F97" s="1793">
        <f>'Revenues 9-14'!C84</f>
        <v>460378</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37726</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129220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149139</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908877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8774</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124249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9315</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233009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28418</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19480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20475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46144</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619083</v>
      </c>
      <c r="G172" s="760"/>
    </row>
    <row r="173" spans="1:7" x14ac:dyDescent="0.2">
      <c r="A173" s="1529" t="s">
        <v>659</v>
      </c>
      <c r="B173" s="1530" t="s">
        <v>1885</v>
      </c>
      <c r="C173" s="1531">
        <v>3300</v>
      </c>
      <c r="D173" s="1532" t="s">
        <v>1888</v>
      </c>
      <c r="E173" s="739"/>
      <c r="F173" s="1794">
        <v>55436</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2933401</v>
      </c>
    </row>
    <row r="176" spans="1:7" ht="12" customHeight="1" x14ac:dyDescent="0.2">
      <c r="A176" s="1443"/>
      <c r="B176" s="1453"/>
      <c r="C176" s="1454"/>
      <c r="D176" s="1455" t="s">
        <v>2014</v>
      </c>
      <c r="E176" s="1456"/>
      <c r="F176" s="1793">
        <f>'PCTC-OEPP 27-28'!F78-F175</f>
        <v>23186082</v>
      </c>
    </row>
    <row r="177" spans="1:9" ht="12" customHeight="1" x14ac:dyDescent="0.2">
      <c r="A177" s="1443"/>
      <c r="B177" s="1453"/>
      <c r="C177" s="1454"/>
      <c r="D177" s="1455" t="s">
        <v>1794</v>
      </c>
      <c r="E177" s="1456"/>
      <c r="F177" s="1793">
        <f>'Cap Outlay Deprec 26'!I18</f>
        <v>2368874.2000000002</v>
      </c>
    </row>
    <row r="178" spans="1:9" ht="12" customHeight="1" x14ac:dyDescent="0.2">
      <c r="A178" s="1443"/>
      <c r="B178" s="1453"/>
      <c r="C178" s="1454"/>
      <c r="D178" s="1455" t="s">
        <v>2015</v>
      </c>
      <c r="E178" s="1456"/>
      <c r="F178" s="1793">
        <f>F176+F177</f>
        <v>25554956.199999999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2039</v>
      </c>
      <c r="G179" s="763"/>
      <c r="I179" s="701"/>
    </row>
    <row r="180" spans="1:9" ht="12" customHeight="1" thickBot="1" x14ac:dyDescent="0.25">
      <c r="A180" s="1443"/>
      <c r="B180" s="1457"/>
      <c r="C180" s="1454"/>
      <c r="D180" s="1455" t="s">
        <v>2017</v>
      </c>
      <c r="E180" s="1456" t="s">
        <v>1528</v>
      </c>
      <c r="F180" s="1798">
        <f>F178/F179</f>
        <v>12533.08298185385</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zoomScaleNormal="100" workbookViewId="0">
      <selection activeCell="D20" sqref="D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8" t="s">
        <v>1795</v>
      </c>
      <c r="B4" s="2379"/>
      <c r="C4" s="2379"/>
      <c r="D4" s="2379"/>
      <c r="E4" s="2379"/>
      <c r="F4" s="2380"/>
    </row>
    <row r="5" spans="1:6" x14ac:dyDescent="0.25">
      <c r="A5" s="2381"/>
      <c r="B5" s="2382"/>
      <c r="C5" s="2382"/>
      <c r="D5" s="2382"/>
      <c r="E5" s="2382"/>
      <c r="F5" s="2383"/>
    </row>
    <row r="6" spans="1:6" ht="18.75" x14ac:dyDescent="0.25">
      <c r="A6" s="1867" t="s">
        <v>1796</v>
      </c>
      <c r="B6" s="1868"/>
      <c r="C6" s="1869"/>
      <c r="D6" s="1869"/>
      <c r="E6" s="1869"/>
      <c r="F6" s="1870"/>
    </row>
    <row r="7" spans="1:6" ht="47.25" customHeight="1" x14ac:dyDescent="0.25">
      <c r="A7" s="2384" t="s">
        <v>1985</v>
      </c>
      <c r="B7" s="2385"/>
      <c r="C7" s="2385"/>
      <c r="D7" s="2385"/>
      <c r="E7" s="2385"/>
      <c r="F7" s="2386"/>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7" t="s">
        <v>1981</v>
      </c>
      <c r="B10" s="2388"/>
      <c r="C10" s="2388"/>
      <c r="D10" s="2388"/>
      <c r="E10" s="2388"/>
      <c r="F10" s="2389"/>
    </row>
    <row r="11" spans="1:6" ht="33" customHeight="1" x14ac:dyDescent="0.25">
      <c r="A11" s="2384" t="s">
        <v>1986</v>
      </c>
      <c r="B11" s="2385"/>
      <c r="C11" s="2385"/>
      <c r="D11" s="2385"/>
      <c r="E11" s="2385"/>
      <c r="F11" s="2386"/>
    </row>
    <row r="12" spans="1:6" ht="15" customHeight="1" x14ac:dyDescent="0.25">
      <c r="A12" s="1873" t="s">
        <v>1982</v>
      </c>
      <c r="B12" s="1874"/>
      <c r="C12" s="1875"/>
      <c r="D12" s="1875"/>
      <c r="E12" s="1875"/>
      <c r="F12" s="1876"/>
    </row>
    <row r="13" spans="1:6" ht="17.25" customHeight="1" x14ac:dyDescent="0.25">
      <c r="A13" s="2384" t="s">
        <v>1983</v>
      </c>
      <c r="B13" s="2385"/>
      <c r="C13" s="2385"/>
      <c r="D13" s="2385"/>
      <c r="E13" s="2385"/>
      <c r="F13" s="2386"/>
    </row>
    <row r="14" spans="1:6" ht="15" customHeight="1" x14ac:dyDescent="0.25">
      <c r="A14" s="1873" t="s">
        <v>1800</v>
      </c>
      <c r="B14" s="1874"/>
      <c r="C14" s="1875"/>
      <c r="D14" s="1875"/>
      <c r="E14" s="1875"/>
      <c r="F14" s="1876"/>
    </row>
    <row r="15" spans="1:6" ht="32.25" customHeight="1" x14ac:dyDescent="0.25">
      <c r="A15" s="237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6"/>
      <c r="C15" s="2376"/>
      <c r="D15" s="2376"/>
      <c r="E15" s="2376"/>
      <c r="F15" s="2377"/>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2069</v>
      </c>
      <c r="B18" s="1908">
        <v>102200300</v>
      </c>
      <c r="C18" s="2036" t="s">
        <v>2070</v>
      </c>
      <c r="D18" s="1886">
        <v>298515</v>
      </c>
      <c r="E18" s="1906" t="str">
        <f t="shared" ref="E18:E81" si="0">IF(D18&lt;25000,D18,"25,000")</f>
        <v>25,000</v>
      </c>
      <c r="F18" s="1906">
        <f t="shared" ref="F18:F81" si="1">IF(D18&gt;=25000,(D18-E18),"0")</f>
        <v>273515</v>
      </c>
      <c r="G18" s="1887"/>
    </row>
    <row r="19" spans="1:7" x14ac:dyDescent="0.25">
      <c r="A19" s="2035" t="s">
        <v>2071</v>
      </c>
      <c r="B19" s="1908">
        <v>202540300</v>
      </c>
      <c r="C19" s="2036" t="s">
        <v>2072</v>
      </c>
      <c r="D19" s="1886">
        <v>533214</v>
      </c>
      <c r="E19" s="1906" t="str">
        <f t="shared" si="0"/>
        <v>25,000</v>
      </c>
      <c r="F19" s="1906">
        <f t="shared" si="1"/>
        <v>508214</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831729</v>
      </c>
      <c r="E142" s="1893">
        <f>SUM(E18:E141)</f>
        <v>0</v>
      </c>
      <c r="F142" s="1894">
        <f>SUM(F18:F141)</f>
        <v>781729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election activeCell="J5" sqref="J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0" t="s">
        <v>1660</v>
      </c>
      <c r="B5" s="2391"/>
      <c r="C5" s="2391"/>
      <c r="D5" s="2391"/>
      <c r="E5" s="2391"/>
      <c r="F5" s="2391"/>
      <c r="G5" s="2392"/>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6"/>
      <c r="C11" s="2396"/>
      <c r="D11" s="2397"/>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14980155</v>
      </c>
      <c r="F19" s="1802"/>
      <c r="G19" s="1804">
        <f>'Expenditures 15-22'!K33-SUM('Expenditures 15-22'!G33,'Expenditures 15-22'!I33)+'Expenditures 15-22'!D229</f>
        <v>14980155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1591565</v>
      </c>
      <c r="F21" s="1805"/>
      <c r="G21" s="1808">
        <f>'Expenditures 15-22'!K42-SUM('Expenditures 15-22'!G42,'Expenditures 15-22'!I42)+'Expenditures 15-22'!K120-SUM('Expenditures 15-22'!G120,'Expenditures 15-22'!I120)+'Expenditures 15-22'!K180-SUM('Expenditures 15-22'!G180,'Expenditures 15-22'!I180)+'Expenditures 15-22'!D238</f>
        <v>1591565</v>
      </c>
      <c r="H21" s="817"/>
      <c r="I21" s="157"/>
    </row>
    <row r="22" spans="1:9" s="542" customFormat="1" ht="12" customHeight="1" x14ac:dyDescent="0.2">
      <c r="A22" s="824" t="s">
        <v>560</v>
      </c>
      <c r="B22" s="825"/>
      <c r="C22" s="823">
        <v>2200</v>
      </c>
      <c r="D22" s="1805"/>
      <c r="E22" s="1807">
        <f>'Expenditures 15-22'!K47-SUM('Expenditures 15-22'!G47,'Expenditures 15-22'!I47)+'Expenditures 15-22'!D243</f>
        <v>2251600</v>
      </c>
      <c r="F22" s="1805"/>
      <c r="G22" s="1808">
        <f>'Expenditures 15-22'!K47-SUM('Expenditures 15-22'!G47,'Expenditures 15-22'!I47)+'Expenditures 15-22'!D243</f>
        <v>2251600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925611</v>
      </c>
      <c r="F23" s="1805"/>
      <c r="G23" s="1807">
        <f>'Expenditures 15-22'!K53-SUM('Expenditures 15-22'!G53,'Expenditures 15-22'!I53)+'Expenditures 15-22'!D257+'Expenditures 15-22'!K330-SUM('Expenditures 15-22'!G330,'Expenditures 15-22'!I330)</f>
        <v>925611</v>
      </c>
      <c r="H23" s="817"/>
      <c r="I23" s="157"/>
    </row>
    <row r="24" spans="1:9" s="542" customFormat="1" ht="12" customHeight="1" x14ac:dyDescent="0.2">
      <c r="A24" s="824" t="s">
        <v>562</v>
      </c>
      <c r="B24" s="825"/>
      <c r="C24" s="823">
        <v>2400</v>
      </c>
      <c r="D24" s="1805"/>
      <c r="E24" s="1807">
        <f>'Expenditures 15-22'!K57-SUM('Expenditures 15-22'!G57,'Expenditures 15-22'!I57)+'Expenditures 15-22'!D261</f>
        <v>1239926</v>
      </c>
      <c r="F24" s="1805"/>
      <c r="G24" s="1808">
        <f>'Expenditures 15-22'!K57-SUM('Expenditures 15-22'!G57,'Expenditures 15-22'!I57)+'Expenditures 15-22'!D261</f>
        <v>1239926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347744</v>
      </c>
      <c r="E26" s="1807">
        <f>'Expenditures 15-22'!K122-SUM('Expenditures 15-22'!G122,'Expenditures 15-22'!I122)+E7</f>
        <v>0</v>
      </c>
      <c r="F26" s="1807">
        <f>'Expenditures 15-22'!K59-SUM('Expenditures 15-22'!G59,'Expenditures 15-22'!I59)+'Expenditures 15-22'!D263-E7</f>
        <v>347744</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0</v>
      </c>
      <c r="E27" s="1807">
        <f>E8</f>
        <v>0</v>
      </c>
      <c r="F27" s="1807">
        <f>'Expenditures 15-22'!K60-SUM('Expenditures 15-22'!G60,'Expenditures 15-22'!I60)+'Expenditures 15-22'!D264-E8</f>
        <v>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2046472</v>
      </c>
      <c r="F28" s="1809">
        <f>'Expenditures 15-22'!K61-SUM('Expenditures 15-22'!G61,'Expenditures 15-22'!I61)+'Expenditures 15-22'!K124-SUM('Expenditures 15-22'!G124,'Expenditures 15-22'!I124)+'Expenditures 15-22'!D266-E9</f>
        <v>2046472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2034263</v>
      </c>
      <c r="F29" s="1805"/>
      <c r="G29" s="1808">
        <f>'Expenditures 15-22'!K62-SUM('Expenditures 15-22'!G62,'Expenditures 15-22'!I62)+'Expenditures 15-22'!K125-SUM('Expenditures 15-22'!G125,'Expenditures 15-22'!I125)+'Expenditures 15-22'!K182-SUM('Expenditures 15-22'!G182,'Expenditures 15-22'!I182)+'Expenditures 15-22'!D267</f>
        <v>2034263</v>
      </c>
      <c r="H29" s="815"/>
    </row>
    <row r="30" spans="1:9" ht="12" customHeight="1" x14ac:dyDescent="0.2">
      <c r="A30" s="824" t="s">
        <v>100</v>
      </c>
      <c r="B30" s="827"/>
      <c r="C30" s="823">
        <v>2560</v>
      </c>
      <c r="D30" s="1805"/>
      <c r="E30" s="1807">
        <f>'Expenditures 15-22'!K63-SUM('Expenditures 15-22'!G63,'Expenditures 15-22'!I63)+'Expenditures 15-22'!D268-E10</f>
        <v>115316</v>
      </c>
      <c r="F30" s="1805"/>
      <c r="G30" s="1807">
        <f>'Expenditures 15-22'!K63-SUM('Expenditures 15-22'!G63,'Expenditures 15-22'!I63)+'Expenditures 15-22'!D268-E10</f>
        <v>115316</v>
      </c>
    </row>
    <row r="31" spans="1:9" ht="12" customHeight="1" x14ac:dyDescent="0.2">
      <c r="A31" s="824" t="s">
        <v>101</v>
      </c>
      <c r="B31" s="827"/>
      <c r="C31" s="823">
        <v>2570</v>
      </c>
      <c r="D31" s="1807">
        <f>'Expenditures 15-22'!K64-SUM('Expenditures 15-22'!G64,'Expenditures 15-22'!I64)+'Expenditures 15-22'!D269-E12</f>
        <v>63785</v>
      </c>
      <c r="E31" s="1807">
        <f>E12</f>
        <v>0</v>
      </c>
      <c r="F31" s="1807">
        <f>'Expenditures 15-22'!K64-SUM('Expenditures 15-22'!G64,'Expenditures 15-22'!I64)+'Expenditures 15-22'!D269-E12</f>
        <v>63785</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94014</v>
      </c>
      <c r="F33" s="1805"/>
      <c r="G33" s="1807">
        <f>'Expenditures 15-22'!K67-SUM('Expenditures 15-22'!G67,'Expenditures 15-22'!I67)+'Expenditures 15-22'!D272</f>
        <v>94014</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12559</v>
      </c>
      <c r="F35" s="1805"/>
      <c r="G35" s="1807">
        <f>'Expenditures 15-22'!K69-SUM('Expenditures 15-22'!G69,'Expenditures 15-22'!I69)+'Expenditures 15-22'!D274</f>
        <v>12559</v>
      </c>
    </row>
    <row r="36" spans="1:7" ht="12" customHeight="1" x14ac:dyDescent="0.2">
      <c r="A36" s="824" t="s">
        <v>400</v>
      </c>
      <c r="B36" s="827"/>
      <c r="C36" s="823">
        <v>2640</v>
      </c>
      <c r="D36" s="1807">
        <f>'Expenditures 15-22'!K70-SUM('Expenditures 15-22'!G70,'Expenditures 15-22'!I70)+'Expenditures 15-22'!D275-E13</f>
        <v>198149</v>
      </c>
      <c r="E36" s="1807">
        <f>E13</f>
        <v>0</v>
      </c>
      <c r="F36" s="1807">
        <f>'Expenditures 15-22'!K70-SUM('Expenditures 15-22'!G70,'Expenditures 15-22'!I70)+'Expenditures 15-22'!D275-E13</f>
        <v>198149</v>
      </c>
      <c r="G36" s="1807">
        <f>E13</f>
        <v>0</v>
      </c>
    </row>
    <row r="37" spans="1:7" ht="12" customHeight="1" x14ac:dyDescent="0.2">
      <c r="A37" s="824" t="s">
        <v>401</v>
      </c>
      <c r="B37" s="827"/>
      <c r="C37" s="823">
        <v>2660</v>
      </c>
      <c r="D37" s="1807">
        <f>'Expenditures 15-22'!K71-SUM('Expenditures 15-22'!G71,'Expenditures 15-22'!I71)+'Expenditures 15-22'!D276-E14</f>
        <v>27711</v>
      </c>
      <c r="E37" s="1807">
        <f>E14</f>
        <v>0</v>
      </c>
      <c r="F37" s="1807">
        <f>'Expenditures 15-22'!K71-SUM('Expenditures 15-22'!G71,'Expenditures 15-22'!I71)+'Expenditures 15-22'!D276-E14</f>
        <v>27711</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-781729</v>
      </c>
      <c r="F40" s="1805"/>
      <c r="G40" s="1809">
        <f>-'Contracts Paid in CY 29'!F142</f>
        <v>-781729</v>
      </c>
    </row>
    <row r="41" spans="1:7" ht="12" customHeight="1" x14ac:dyDescent="0.2">
      <c r="A41" s="828" t="s">
        <v>155</v>
      </c>
      <c r="B41" s="829"/>
      <c r="C41" s="830"/>
      <c r="D41" s="1809">
        <f>SUM(D19:D39)</f>
        <v>637389</v>
      </c>
      <c r="E41" s="1809">
        <f>SUM(E19:E40)</f>
        <v>24509752</v>
      </c>
      <c r="F41" s="1809">
        <f>SUM(F19:F39)</f>
        <v>2683861</v>
      </c>
      <c r="G41" s="1809">
        <f>SUM(G19:G40)</f>
        <v>22463280</v>
      </c>
    </row>
    <row r="42" spans="1:7" x14ac:dyDescent="0.2">
      <c r="A42" s="817"/>
      <c r="B42" s="157"/>
      <c r="C42" s="831"/>
      <c r="D42" s="2393" t="s">
        <v>519</v>
      </c>
      <c r="E42" s="2394"/>
      <c r="F42" s="832" t="s">
        <v>520</v>
      </c>
      <c r="G42" s="833"/>
    </row>
    <row r="43" spans="1:7" ht="12" customHeight="1" x14ac:dyDescent="0.2">
      <c r="A43" s="817"/>
      <c r="B43" s="157"/>
      <c r="C43" s="831"/>
      <c r="D43" s="1458" t="s">
        <v>470</v>
      </c>
      <c r="E43" s="1810">
        <f>D41</f>
        <v>637389</v>
      </c>
      <c r="F43" s="1458" t="s">
        <v>470</v>
      </c>
      <c r="G43" s="1810">
        <f>F41</f>
        <v>2683861</v>
      </c>
    </row>
    <row r="44" spans="1:7" ht="12" customHeight="1" x14ac:dyDescent="0.2">
      <c r="A44" s="817"/>
      <c r="B44" s="157"/>
      <c r="C44" s="831"/>
      <c r="D44" s="1458" t="s">
        <v>471</v>
      </c>
      <c r="E44" s="1810">
        <f>E41</f>
        <v>24509752</v>
      </c>
      <c r="F44" s="1458" t="s">
        <v>471</v>
      </c>
      <c r="G44" s="1810">
        <f>G41</f>
        <v>22463280</v>
      </c>
    </row>
    <row r="45" spans="1:7" ht="12" customHeight="1" x14ac:dyDescent="0.2">
      <c r="A45" s="817"/>
      <c r="B45" s="157"/>
      <c r="C45" s="157"/>
      <c r="D45" s="1459" t="s">
        <v>999</v>
      </c>
      <c r="E45" s="1811">
        <f>(E43/E44)</f>
        <v>2.6005526290106894E-2</v>
      </c>
      <c r="F45" s="1459" t="s">
        <v>999</v>
      </c>
      <c r="G45" s="1811">
        <f>(G43/G44)</f>
        <v>0.11947769871541467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O97"/>
  <sheetViews>
    <sheetView showGridLines="0" zoomScale="110" zoomScaleNormal="110" workbookViewId="0">
      <selection activeCell="A2" sqref="A2: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2" t="s">
        <v>1363</v>
      </c>
      <c r="B1" s="2412"/>
      <c r="C1" s="2412"/>
      <c r="D1" s="2412"/>
      <c r="E1" s="2412"/>
      <c r="F1" s="241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3" t="s">
        <v>1529</v>
      </c>
      <c r="B5" s="2414"/>
      <c r="C5" s="2415"/>
      <c r="D5" s="2415"/>
      <c r="E5" s="2415"/>
      <c r="F5" s="2415"/>
      <c r="G5" s="1507"/>
      <c r="L5" s="1507"/>
      <c r="M5" s="1855"/>
      <c r="N5" s="1855"/>
      <c r="O5" s="1855"/>
    </row>
    <row r="6" spans="1:15" ht="12" customHeight="1" x14ac:dyDescent="0.25">
      <c r="A6" s="1480"/>
      <c r="B6" s="1481"/>
      <c r="C6" s="2416" t="str">
        <f>COVER!A17</f>
        <v xml:space="preserve"> Fremont SD 79</v>
      </c>
      <c r="D6" s="2416"/>
      <c r="E6" s="2416"/>
      <c r="F6" s="1482"/>
      <c r="G6" s="1507"/>
      <c r="L6" s="1507"/>
      <c r="M6" s="1855"/>
      <c r="N6" s="1855"/>
      <c r="O6" s="1855"/>
    </row>
    <row r="7" spans="1:15" ht="11.25" customHeight="1" thickBot="1" x14ac:dyDescent="0.3">
      <c r="A7" s="1480"/>
      <c r="B7" s="1481"/>
      <c r="C7" s="2417">
        <f>COVER!A13</f>
        <v>34049079002</v>
      </c>
      <c r="D7" s="2417"/>
      <c r="E7" s="241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t="s">
        <v>2051</v>
      </c>
      <c r="F11" s="1497" t="s">
        <v>2073</v>
      </c>
      <c r="G11" s="1507"/>
      <c r="H11" s="1507">
        <f>IF(C11="X",5,0)</f>
        <v>5</v>
      </c>
      <c r="I11" s="1507">
        <f>IF(D11="X",5,0)</f>
        <v>5</v>
      </c>
      <c r="J11" s="1507">
        <f>IF(E11="X",5,0)</f>
        <v>5</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2074</v>
      </c>
      <c r="D13" s="1495"/>
      <c r="E13" s="1498"/>
      <c r="F13" s="1497"/>
      <c r="G13" s="1507"/>
      <c r="H13" s="1507">
        <f t="shared" si="0"/>
        <v>5</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2074</v>
      </c>
      <c r="D19" s="1495" t="s">
        <v>2074</v>
      </c>
      <c r="E19" s="1498" t="s">
        <v>2074</v>
      </c>
      <c r="F19" s="1497" t="s">
        <v>2076</v>
      </c>
      <c r="G19" s="1507"/>
      <c r="H19" s="1507">
        <f t="shared" si="0"/>
        <v>5</v>
      </c>
      <c r="I19" s="1507">
        <f t="shared" si="1"/>
        <v>5</v>
      </c>
      <c r="J19" s="1507">
        <f t="shared" si="2"/>
        <v>5</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2074</v>
      </c>
      <c r="D23" s="1495"/>
      <c r="E23" s="1498"/>
      <c r="F23" s="1497"/>
      <c r="G23" s="1507"/>
      <c r="H23" s="1507">
        <f t="shared" si="0"/>
        <v>5</v>
      </c>
      <c r="I23" s="1507">
        <f t="shared" si="1"/>
        <v>0</v>
      </c>
      <c r="J23" s="1507">
        <f t="shared" si="2"/>
        <v>0</v>
      </c>
      <c r="L23" s="1507"/>
      <c r="M23" s="1855"/>
      <c r="N23" s="1855"/>
      <c r="O23" s="1855"/>
    </row>
    <row r="24" spans="1:15" ht="12" customHeight="1" x14ac:dyDescent="0.2">
      <c r="A24" s="1493" t="s">
        <v>1515</v>
      </c>
      <c r="B24" s="1494"/>
      <c r="C24" s="1495" t="s">
        <v>2074</v>
      </c>
      <c r="D24" s="1495"/>
      <c r="E24" s="1498"/>
      <c r="F24" s="1497"/>
      <c r="G24" s="1507"/>
      <c r="H24" s="1507">
        <f t="shared" si="0"/>
        <v>5</v>
      </c>
      <c r="I24" s="1507">
        <f t="shared" si="1"/>
        <v>0</v>
      </c>
      <c r="J24" s="1507">
        <f t="shared" si="2"/>
        <v>0</v>
      </c>
      <c r="L24" s="1507"/>
      <c r="M24" s="1855"/>
      <c r="N24" s="1855"/>
      <c r="O24" s="1855"/>
    </row>
    <row r="25" spans="1:15" ht="12" customHeight="1" x14ac:dyDescent="0.2">
      <c r="A25" s="1493" t="s">
        <v>1516</v>
      </c>
      <c r="B25" s="1494"/>
      <c r="C25" s="1495" t="s">
        <v>2074</v>
      </c>
      <c r="D25" s="1495"/>
      <c r="E25" s="1498"/>
      <c r="F25" s="1497"/>
      <c r="G25" s="1507"/>
      <c r="H25" s="1507">
        <f t="shared" si="0"/>
        <v>5</v>
      </c>
      <c r="I25" s="1507">
        <f t="shared" si="1"/>
        <v>0</v>
      </c>
      <c r="J25" s="1507">
        <f t="shared" si="2"/>
        <v>0</v>
      </c>
      <c r="L25" s="1507"/>
      <c r="M25" s="1855"/>
      <c r="N25" s="1855"/>
      <c r="O25" s="1855"/>
    </row>
    <row r="26" spans="1:15" ht="12" customHeight="1" x14ac:dyDescent="0.2">
      <c r="A26" s="1493" t="s">
        <v>1517</v>
      </c>
      <c r="B26" s="1494"/>
      <c r="C26" s="1495" t="s">
        <v>2074</v>
      </c>
      <c r="D26" s="1495" t="s">
        <v>2074</v>
      </c>
      <c r="E26" s="1498" t="s">
        <v>2074</v>
      </c>
      <c r="F26" s="1497" t="s">
        <v>2077</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2074</v>
      </c>
      <c r="D30" s="1495" t="s">
        <v>2074</v>
      </c>
      <c r="E30" s="1498" t="s">
        <v>2074</v>
      </c>
      <c r="F30" s="1497" t="s">
        <v>2075</v>
      </c>
      <c r="G30" s="1507"/>
      <c r="H30" s="1507">
        <f t="shared" si="0"/>
        <v>5</v>
      </c>
      <c r="I30" s="1507">
        <f t="shared" si="1"/>
        <v>5</v>
      </c>
      <c r="J30" s="1507">
        <f t="shared" si="2"/>
        <v>5</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20</v>
      </c>
      <c r="J34" s="1507">
        <f>SUM(J11:J32)</f>
        <v>20</v>
      </c>
      <c r="K34" s="1507">
        <f>SUM(H34:J34)</f>
        <v>80</v>
      </c>
      <c r="L34" s="1507"/>
      <c r="M34" s="1855"/>
      <c r="N34" s="1855"/>
      <c r="O34" s="1855"/>
    </row>
    <row r="35" spans="1:15" ht="12" customHeight="1" x14ac:dyDescent="0.2">
      <c r="A35" s="1500" t="s">
        <v>1376</v>
      </c>
      <c r="B35" s="1501"/>
      <c r="C35" s="2418"/>
      <c r="D35" s="2418"/>
      <c r="E35" s="2418"/>
      <c r="F35" s="2419"/>
    </row>
    <row r="36" spans="1:15" ht="12" customHeight="1" x14ac:dyDescent="0.2">
      <c r="A36" s="2401"/>
      <c r="B36" s="2402"/>
      <c r="C36" s="2402"/>
      <c r="D36" s="2402"/>
      <c r="E36" s="2402"/>
      <c r="F36" s="2403"/>
    </row>
    <row r="37" spans="1:15" ht="12" customHeight="1" x14ac:dyDescent="0.2">
      <c r="A37" s="2401"/>
      <c r="B37" s="2402"/>
      <c r="C37" s="2402"/>
      <c r="D37" s="2402"/>
      <c r="E37" s="2402"/>
      <c r="F37" s="2403"/>
    </row>
    <row r="38" spans="1:15" ht="12" customHeight="1" x14ac:dyDescent="0.2">
      <c r="A38" s="2404"/>
      <c r="B38" s="2405"/>
      <c r="C38" s="2405"/>
      <c r="D38" s="2405"/>
      <c r="E38" s="2405"/>
      <c r="F38" s="2406"/>
    </row>
    <row r="39" spans="1:15" ht="4.5" hidden="1" customHeight="1" x14ac:dyDescent="0.2">
      <c r="A39" s="1502"/>
      <c r="B39" s="1502"/>
      <c r="C39" s="1502"/>
      <c r="D39" s="1502"/>
      <c r="E39" s="1502"/>
      <c r="F39" s="1502"/>
    </row>
    <row r="40" spans="1:15" s="1499" customFormat="1" ht="12" customHeight="1" x14ac:dyDescent="0.25">
      <c r="A40" s="1503" t="s">
        <v>1375</v>
      </c>
      <c r="B40" s="1504"/>
      <c r="C40" s="2407"/>
      <c r="D40" s="2407"/>
      <c r="E40" s="2407"/>
      <c r="F40" s="2408"/>
      <c r="H40" s="1508"/>
      <c r="I40" s="1508"/>
      <c r="J40" s="1508"/>
      <c r="K40" s="1508"/>
    </row>
    <row r="41" spans="1:15" s="1499" customFormat="1" ht="12" customHeight="1" x14ac:dyDescent="0.25">
      <c r="A41" s="2409"/>
      <c r="B41" s="2410"/>
      <c r="C41" s="2410"/>
      <c r="D41" s="2410"/>
      <c r="E41" s="2410"/>
      <c r="F41" s="2411"/>
      <c r="H41" s="1508"/>
      <c r="I41" s="1508"/>
      <c r="J41" s="1508"/>
      <c r="K41" s="1508"/>
    </row>
    <row r="42" spans="1:15" s="1499" customFormat="1" ht="12" customHeight="1" x14ac:dyDescent="0.25">
      <c r="A42" s="2409"/>
      <c r="B42" s="2410"/>
      <c r="C42" s="2410"/>
      <c r="D42" s="2410"/>
      <c r="E42" s="2410"/>
      <c r="F42" s="2411"/>
      <c r="H42" s="1508"/>
      <c r="I42" s="1508"/>
      <c r="J42" s="1508"/>
      <c r="K42" s="1508"/>
    </row>
    <row r="43" spans="1:15" s="1499" customFormat="1" ht="15" x14ac:dyDescent="0.25">
      <c r="A43" s="2398"/>
      <c r="B43" s="2399"/>
      <c r="C43" s="2399"/>
      <c r="D43" s="2399"/>
      <c r="E43" s="2399"/>
      <c r="F43" s="2400"/>
      <c r="H43" s="1508"/>
      <c r="I43" s="1508"/>
      <c r="J43" s="1508"/>
      <c r="K43" s="1508"/>
    </row>
    <row r="44" spans="1:15" s="1499" customFormat="1" ht="12" hidden="1" customHeight="1" x14ac:dyDescent="0.25">
      <c r="A44" s="2398"/>
      <c r="B44" s="2399"/>
      <c r="C44" s="2399"/>
      <c r="D44" s="2399"/>
      <c r="E44" s="2399"/>
      <c r="F44" s="240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18" sqref="I18"/>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38" t="str">
        <f>COVER!A17</f>
        <v xml:space="preserve"> Fremont SD 79</v>
      </c>
      <c r="K6" s="2438"/>
      <c r="L6" s="2452"/>
      <c r="M6" s="838"/>
      <c r="N6" s="1998"/>
    </row>
    <row r="7" spans="1:14" x14ac:dyDescent="0.2">
      <c r="A7" s="2453" t="s">
        <v>864</v>
      </c>
      <c r="B7" s="2454"/>
      <c r="C7" s="2454"/>
      <c r="D7" s="2454"/>
      <c r="E7" s="2455"/>
      <c r="F7" s="839"/>
      <c r="G7" s="838"/>
      <c r="H7" s="838"/>
      <c r="I7" s="1924" t="s">
        <v>369</v>
      </c>
      <c r="J7" s="2440">
        <f>COVER!A13</f>
        <v>34049079002</v>
      </c>
      <c r="K7" s="2440"/>
      <c r="L7" s="244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56" t="s">
        <v>478</v>
      </c>
      <c r="B11" s="2457"/>
      <c r="C11" s="245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410805</v>
      </c>
      <c r="F12" s="1942"/>
      <c r="G12" s="1968">
        <f>G68</f>
        <v>0</v>
      </c>
      <c r="H12" s="1944">
        <f t="shared" ref="H12:H18" si="0">SUM(E12:G12)</f>
        <v>410805</v>
      </c>
      <c r="I12" s="1943">
        <v>419872</v>
      </c>
      <c r="J12" s="1942"/>
      <c r="K12" s="1943"/>
      <c r="L12" s="1944">
        <f t="shared" ref="L12:L18" si="1">SUM(I12:K12)</f>
        <v>419872</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262530</v>
      </c>
      <c r="F14" s="1942"/>
      <c r="G14" s="1968">
        <f>I68</f>
        <v>0</v>
      </c>
      <c r="H14" s="1944">
        <f t="shared" si="0"/>
        <v>262530</v>
      </c>
      <c r="I14" s="1943">
        <v>272185</v>
      </c>
      <c r="J14" s="1942"/>
      <c r="K14" s="1943"/>
      <c r="L14" s="1944">
        <f t="shared" si="1"/>
        <v>272185</v>
      </c>
      <c r="M14" s="838"/>
      <c r="N14" s="1998"/>
    </row>
    <row r="15" spans="1:14" x14ac:dyDescent="0.2">
      <c r="A15" s="2003">
        <v>4</v>
      </c>
      <c r="B15" s="1940" t="s">
        <v>1059</v>
      </c>
      <c r="C15" s="842"/>
      <c r="D15" s="1941">
        <v>2510</v>
      </c>
      <c r="E15" s="1944">
        <f>'Expenditures 15-22'!K59</f>
        <v>332681</v>
      </c>
      <c r="F15" s="1944">
        <f>'Expenditures 15-22'!K122</f>
        <v>0</v>
      </c>
      <c r="G15" s="1968">
        <f>J68</f>
        <v>0</v>
      </c>
      <c r="H15" s="1944">
        <f t="shared" si="0"/>
        <v>332681</v>
      </c>
      <c r="I15" s="1943">
        <v>421192</v>
      </c>
      <c r="J15" s="1943"/>
      <c r="K15" s="1943"/>
      <c r="L15" s="1944">
        <f t="shared" si="1"/>
        <v>421192</v>
      </c>
      <c r="M15" s="838"/>
      <c r="N15" s="1998"/>
    </row>
    <row r="16" spans="1:14" x14ac:dyDescent="0.2">
      <c r="A16" s="2003">
        <v>5</v>
      </c>
      <c r="B16" s="1940" t="s">
        <v>101</v>
      </c>
      <c r="C16" s="842"/>
      <c r="D16" s="1941">
        <v>2570</v>
      </c>
      <c r="E16" s="1944">
        <f>'Expenditures 15-22'!K64</f>
        <v>63785</v>
      </c>
      <c r="F16" s="1942"/>
      <c r="G16" s="1968">
        <f>K68</f>
        <v>0</v>
      </c>
      <c r="H16" s="1944">
        <f t="shared" si="0"/>
        <v>63785</v>
      </c>
      <c r="I16" s="1943">
        <v>80000</v>
      </c>
      <c r="J16" s="1942"/>
      <c r="K16" s="1943"/>
      <c r="L16" s="1944">
        <f t="shared" si="1"/>
        <v>80000</v>
      </c>
      <c r="M16" s="838"/>
      <c r="N16" s="1998"/>
    </row>
    <row r="17" spans="1:14" x14ac:dyDescent="0.2">
      <c r="A17" s="2003">
        <v>6</v>
      </c>
      <c r="B17" s="1940" t="s">
        <v>1051</v>
      </c>
      <c r="C17" s="842"/>
      <c r="D17" s="1941">
        <v>2610</v>
      </c>
      <c r="E17" s="1944">
        <f>'Expenditures 15-22'!K67</f>
        <v>94014</v>
      </c>
      <c r="F17" s="1942"/>
      <c r="G17" s="1968">
        <f>L68</f>
        <v>0</v>
      </c>
      <c r="H17" s="1944">
        <f t="shared" si="0"/>
        <v>94014</v>
      </c>
      <c r="I17" s="1943">
        <v>0</v>
      </c>
      <c r="J17" s="1942"/>
      <c r="K17" s="1943"/>
      <c r="L17" s="1944">
        <f t="shared" si="1"/>
        <v>0</v>
      </c>
      <c r="M17" s="838"/>
      <c r="N17" s="1998"/>
    </row>
    <row r="18" spans="1:14" ht="26.25" customHeight="1" x14ac:dyDescent="0.2">
      <c r="A18" s="2004">
        <v>7</v>
      </c>
      <c r="B18" s="2459" t="s">
        <v>7</v>
      </c>
      <c r="C18" s="2460"/>
      <c r="D18" s="246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1163815</v>
      </c>
      <c r="F19" s="1950">
        <f t="shared" si="2"/>
        <v>0</v>
      </c>
      <c r="G19" s="1950">
        <f t="shared" ref="G19" si="3">SUM(G12:G17)-G18</f>
        <v>0</v>
      </c>
      <c r="H19" s="1950">
        <f t="shared" si="2"/>
        <v>1163815</v>
      </c>
      <c r="I19" s="1950">
        <f t="shared" si="2"/>
        <v>1193249</v>
      </c>
      <c r="J19" s="1950">
        <f t="shared" si="2"/>
        <v>0</v>
      </c>
      <c r="K19" s="1950">
        <f t="shared" si="2"/>
        <v>0</v>
      </c>
      <c r="L19" s="1950">
        <f t="shared" si="2"/>
        <v>1193249</v>
      </c>
      <c r="M19" s="838"/>
      <c r="N19" s="1998"/>
    </row>
    <row r="20" spans="1:14" ht="13.5" thickTop="1" x14ac:dyDescent="0.2">
      <c r="A20" s="2003">
        <v>9</v>
      </c>
      <c r="B20" s="2462" t="s">
        <v>2021</v>
      </c>
      <c r="C20" s="2462"/>
      <c r="D20" s="2463"/>
      <c r="E20" s="1951"/>
      <c r="F20" s="1951"/>
      <c r="G20" s="1951"/>
      <c r="H20" s="1951"/>
      <c r="I20" s="1951"/>
      <c r="J20" s="1951"/>
      <c r="K20" s="1951"/>
      <c r="L20" s="1952">
        <f>IF(AND(H19&gt;0,L19&gt;0),(((L19-H19)/H19)),"Enter Budget Data")</f>
        <v>2.5290961192285716E-2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64"/>
      <c r="D27" s="2464"/>
      <c r="E27" s="843"/>
      <c r="F27" s="2465"/>
      <c r="G27" s="2465"/>
      <c r="H27" s="2465"/>
      <c r="I27" s="838"/>
      <c r="J27" s="838"/>
      <c r="K27" s="838"/>
      <c r="L27" s="838"/>
      <c r="M27" s="838"/>
      <c r="N27" s="1998"/>
    </row>
    <row r="28" spans="1:14" x14ac:dyDescent="0.2">
      <c r="A28" s="1997"/>
      <c r="B28" s="2007"/>
      <c r="C28" s="1957" t="s">
        <v>1026</v>
      </c>
      <c r="D28" s="844"/>
      <c r="E28" s="1958"/>
      <c r="F28" s="2466" t="s">
        <v>1492</v>
      </c>
      <c r="G28" s="2466"/>
      <c r="H28" s="2466"/>
      <c r="I28" s="838"/>
      <c r="J28" s="838"/>
      <c r="K28" s="838"/>
      <c r="L28" s="838"/>
      <c r="M28" s="838"/>
      <c r="N28" s="1998"/>
    </row>
    <row r="29" spans="1:14" x14ac:dyDescent="0.2">
      <c r="A29" s="1997"/>
      <c r="B29" s="2007"/>
      <c r="C29" s="2467"/>
      <c r="D29" s="2467"/>
      <c r="E29" s="845"/>
      <c r="F29" s="2467"/>
      <c r="G29" s="2467"/>
      <c r="H29" s="2467"/>
      <c r="I29" s="838"/>
      <c r="J29" s="838"/>
      <c r="K29" s="838"/>
      <c r="L29" s="838"/>
      <c r="M29" s="838"/>
      <c r="N29" s="1998"/>
    </row>
    <row r="30" spans="1:14" x14ac:dyDescent="0.2">
      <c r="A30" s="1997"/>
      <c r="B30" s="2007"/>
      <c r="C30" s="1960" t="s">
        <v>1544</v>
      </c>
      <c r="D30" s="838"/>
      <c r="E30" s="1959"/>
      <c r="F30" s="2451" t="s">
        <v>1493</v>
      </c>
      <c r="G30" s="2451"/>
      <c r="H30" s="2451"/>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28" t="s">
        <v>2024</v>
      </c>
      <c r="D34" s="2429"/>
      <c r="E34" s="2429"/>
      <c r="F34" s="2429"/>
      <c r="G34" s="2429"/>
      <c r="H34" s="2429"/>
      <c r="I34" s="2429"/>
      <c r="J34" s="2429"/>
      <c r="K34" s="2016"/>
      <c r="L34" s="838"/>
      <c r="M34" s="838"/>
      <c r="N34" s="1998"/>
    </row>
    <row r="35" spans="1:14" x14ac:dyDescent="0.2">
      <c r="A35" s="1997"/>
      <c r="B35" s="838"/>
      <c r="C35" s="2429"/>
      <c r="D35" s="2429"/>
      <c r="E35" s="2429"/>
      <c r="F35" s="2429"/>
      <c r="G35" s="2429"/>
      <c r="H35" s="2429"/>
      <c r="I35" s="2429"/>
      <c r="J35" s="2429"/>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28" t="s">
        <v>2025</v>
      </c>
      <c r="D37" s="2429"/>
      <c r="E37" s="2429"/>
      <c r="F37" s="2429"/>
      <c r="G37" s="2429"/>
      <c r="H37" s="2429"/>
      <c r="I37" s="2429"/>
      <c r="J37" s="2429"/>
      <c r="K37" s="2016"/>
      <c r="L37" s="2018"/>
      <c r="M37" s="838"/>
      <c r="N37" s="1998"/>
    </row>
    <row r="38" spans="1:14" x14ac:dyDescent="0.2">
      <c r="A38" s="1997"/>
      <c r="B38" s="838"/>
      <c r="C38" s="2429"/>
      <c r="D38" s="2429"/>
      <c r="E38" s="2429"/>
      <c r="F38" s="2429"/>
      <c r="G38" s="2429"/>
      <c r="H38" s="2429"/>
      <c r="I38" s="2429"/>
      <c r="J38" s="2429"/>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30" t="s">
        <v>2026</v>
      </c>
      <c r="D40" s="2431"/>
      <c r="E40" s="2431"/>
      <c r="F40" s="2431"/>
      <c r="G40" s="2431"/>
      <c r="H40" s="2431"/>
      <c r="I40" s="2431"/>
      <c r="J40" s="2431"/>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32" t="s">
        <v>2027</v>
      </c>
      <c r="B43" s="2433"/>
      <c r="C43" s="2433"/>
      <c r="D43" s="2433"/>
      <c r="E43" s="2433"/>
      <c r="F43" s="2433"/>
      <c r="G43" s="2433"/>
      <c r="H43" s="2433"/>
      <c r="I43" s="2433"/>
      <c r="J43" s="2433"/>
      <c r="K43" s="2433"/>
      <c r="L43" s="2433"/>
      <c r="M43" s="2433"/>
      <c r="N43" s="2434"/>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35" t="s">
        <v>2029</v>
      </c>
      <c r="B46" s="2436"/>
      <c r="C46" s="2436"/>
      <c r="D46" s="2436"/>
      <c r="E46" s="2436"/>
      <c r="F46" s="2436"/>
      <c r="G46" s="2436"/>
      <c r="H46" s="2436"/>
      <c r="I46" s="2436"/>
      <c r="J46" s="2436"/>
      <c r="K46" s="2436"/>
      <c r="L46" s="2436"/>
      <c r="M46" s="2436"/>
      <c r="N46" s="2437"/>
    </row>
    <row r="47" spans="1:14" x14ac:dyDescent="0.2">
      <c r="A47" s="2435"/>
      <c r="B47" s="2436"/>
      <c r="C47" s="2436"/>
      <c r="D47" s="2436"/>
      <c r="E47" s="2436"/>
      <c r="F47" s="2436"/>
      <c r="G47" s="2436"/>
      <c r="H47" s="2436"/>
      <c r="I47" s="2436"/>
      <c r="J47" s="2436"/>
      <c r="K47" s="2436"/>
      <c r="L47" s="2436"/>
      <c r="M47" s="2436"/>
      <c r="N47" s="2437"/>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38" t="str">
        <f>J6</f>
        <v xml:space="preserve"> Fremont SD 79</v>
      </c>
      <c r="M52" s="2438"/>
      <c r="N52" s="2439"/>
    </row>
    <row r="53" spans="1:14" x14ac:dyDescent="0.2">
      <c r="A53" s="1982"/>
      <c r="B53" s="1983"/>
      <c r="C53" s="1983"/>
      <c r="D53" s="1983"/>
      <c r="E53" s="1983"/>
      <c r="F53" s="1983"/>
      <c r="G53" s="1983"/>
      <c r="H53" s="1983"/>
      <c r="I53" s="1983"/>
      <c r="J53" s="1983"/>
      <c r="K53" s="1924" t="s">
        <v>369</v>
      </c>
      <c r="L53" s="2440">
        <f>J7</f>
        <v>34049079002</v>
      </c>
      <c r="M53" s="2440"/>
      <c r="N53" s="244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42"/>
      <c r="B55" s="2443"/>
      <c r="C55" s="2443"/>
      <c r="D55" s="1970"/>
      <c r="E55" s="1970"/>
      <c r="F55" s="1970"/>
      <c r="G55" s="2444" t="s">
        <v>2030</v>
      </c>
      <c r="H55" s="2444"/>
      <c r="I55" s="2444"/>
      <c r="J55" s="2444"/>
      <c r="K55" s="2444"/>
      <c r="L55" s="2444"/>
      <c r="M55" s="2444"/>
      <c r="N55" s="2445"/>
    </row>
    <row r="56" spans="1:14" ht="63.75" x14ac:dyDescent="0.2">
      <c r="A56" s="2446" t="s">
        <v>2031</v>
      </c>
      <c r="B56" s="2447"/>
      <c r="C56" s="244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49" t="s">
        <v>296</v>
      </c>
      <c r="B57" s="2450"/>
      <c r="C57" s="245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26" t="s">
        <v>2041</v>
      </c>
      <c r="B58" s="2427"/>
      <c r="C58" s="2427"/>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20" t="s">
        <v>297</v>
      </c>
      <c r="B59" s="2421"/>
      <c r="C59" s="2421"/>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20" t="s">
        <v>236</v>
      </c>
      <c r="B60" s="2421"/>
      <c r="C60" s="2421"/>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20" t="s">
        <v>697</v>
      </c>
      <c r="B61" s="2421"/>
      <c r="C61" s="2421"/>
      <c r="D61" s="1967">
        <v>2365</v>
      </c>
      <c r="E61" s="1977">
        <f>'Expenditures 15-22'!K323</f>
        <v>0</v>
      </c>
      <c r="F61" s="1972"/>
      <c r="G61" s="2031"/>
      <c r="H61" s="2032"/>
      <c r="I61" s="2032"/>
      <c r="J61" s="2032"/>
      <c r="K61" s="2032"/>
      <c r="L61" s="2032"/>
      <c r="M61" s="2032"/>
      <c r="N61" s="1975">
        <f t="shared" si="4"/>
        <v>0</v>
      </c>
    </row>
    <row r="62" spans="1:14" ht="24" customHeight="1" x14ac:dyDescent="0.2">
      <c r="A62" s="2420" t="s">
        <v>237</v>
      </c>
      <c r="B62" s="2421"/>
      <c r="C62" s="2421"/>
      <c r="D62" s="1967">
        <v>2366</v>
      </c>
      <c r="E62" s="1977">
        <f>'Expenditures 15-22'!K324</f>
        <v>0</v>
      </c>
      <c r="F62" s="1972"/>
      <c r="G62" s="2031"/>
      <c r="H62" s="2032"/>
      <c r="I62" s="2032"/>
      <c r="J62" s="2032"/>
      <c r="K62" s="2032"/>
      <c r="L62" s="2032"/>
      <c r="M62" s="2032"/>
      <c r="N62" s="1975">
        <f t="shared" si="4"/>
        <v>0</v>
      </c>
    </row>
    <row r="63" spans="1:14" ht="24" customHeight="1" x14ac:dyDescent="0.2">
      <c r="A63" s="2426" t="s">
        <v>1022</v>
      </c>
      <c r="B63" s="2427"/>
      <c r="C63" s="2427"/>
      <c r="D63" s="1967">
        <v>2367</v>
      </c>
      <c r="E63" s="1977">
        <f>'Expenditures 15-22'!K325</f>
        <v>0</v>
      </c>
      <c r="F63" s="1972"/>
      <c r="G63" s="2031"/>
      <c r="H63" s="2032"/>
      <c r="I63" s="2032"/>
      <c r="J63" s="2032"/>
      <c r="K63" s="2032"/>
      <c r="L63" s="2032"/>
      <c r="M63" s="2032"/>
      <c r="N63" s="1975">
        <f t="shared" si="4"/>
        <v>0</v>
      </c>
    </row>
    <row r="64" spans="1:14" ht="24" customHeight="1" x14ac:dyDescent="0.2">
      <c r="A64" s="2420" t="s">
        <v>1023</v>
      </c>
      <c r="B64" s="2421"/>
      <c r="C64" s="2421"/>
      <c r="D64" s="1967">
        <v>2368</v>
      </c>
      <c r="E64" s="1977">
        <f>'Expenditures 15-22'!K326</f>
        <v>0</v>
      </c>
      <c r="F64" s="1972"/>
      <c r="G64" s="2031"/>
      <c r="H64" s="2032"/>
      <c r="I64" s="2032"/>
      <c r="J64" s="2032"/>
      <c r="K64" s="2032"/>
      <c r="L64" s="2032"/>
      <c r="M64" s="2032"/>
      <c r="N64" s="1975">
        <f t="shared" si="4"/>
        <v>0</v>
      </c>
    </row>
    <row r="65" spans="1:14" ht="24" customHeight="1" x14ac:dyDescent="0.2">
      <c r="A65" s="2420" t="s">
        <v>965</v>
      </c>
      <c r="B65" s="2421"/>
      <c r="C65" s="2421"/>
      <c r="D65" s="1967">
        <v>2369</v>
      </c>
      <c r="E65" s="1977">
        <f>'Expenditures 15-22'!K327</f>
        <v>0</v>
      </c>
      <c r="F65" s="1972"/>
      <c r="G65" s="2031"/>
      <c r="H65" s="2032"/>
      <c r="I65" s="2032"/>
      <c r="J65" s="2032"/>
      <c r="K65" s="2032"/>
      <c r="L65" s="2032"/>
      <c r="M65" s="2032"/>
      <c r="N65" s="1975">
        <f t="shared" si="4"/>
        <v>0</v>
      </c>
    </row>
    <row r="66" spans="1:14" ht="24" customHeight="1" x14ac:dyDescent="0.2">
      <c r="A66" s="2420" t="s">
        <v>469</v>
      </c>
      <c r="B66" s="2421"/>
      <c r="C66" s="2421"/>
      <c r="D66" s="1967">
        <v>2371</v>
      </c>
      <c r="E66" s="1977">
        <f>'Expenditures 15-22'!K328</f>
        <v>0</v>
      </c>
      <c r="F66" s="1972"/>
      <c r="G66" s="2031"/>
      <c r="H66" s="2032"/>
      <c r="I66" s="2032"/>
      <c r="J66" s="2032"/>
      <c r="K66" s="2032"/>
      <c r="L66" s="2032"/>
      <c r="M66" s="2032"/>
      <c r="N66" s="1975">
        <f t="shared" si="4"/>
        <v>0</v>
      </c>
    </row>
    <row r="67" spans="1:14" ht="24.75" customHeight="1" x14ac:dyDescent="0.2">
      <c r="A67" s="2422" t="s">
        <v>2042</v>
      </c>
      <c r="B67" s="2423"/>
      <c r="C67" s="2423"/>
      <c r="D67" s="1969">
        <v>2372</v>
      </c>
      <c r="E67" s="1978">
        <f>'Expenditures 15-22'!K329</f>
        <v>0</v>
      </c>
      <c r="F67" s="1972"/>
      <c r="G67" s="2033"/>
      <c r="H67" s="2034"/>
      <c r="I67" s="2034"/>
      <c r="J67" s="2034"/>
      <c r="K67" s="2034"/>
      <c r="L67" s="2034"/>
      <c r="M67" s="2034"/>
      <c r="N67" s="1975">
        <f t="shared" si="4"/>
        <v>0</v>
      </c>
    </row>
    <row r="68" spans="1:14" x14ac:dyDescent="0.2">
      <c r="A68" s="2424" t="s">
        <v>1151</v>
      </c>
      <c r="B68" s="2425"/>
      <c r="C68" s="2425"/>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2078</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Fremont SD 79</v>
      </c>
    </row>
    <row r="65" spans="2:2" x14ac:dyDescent="0.2">
      <c r="B65" s="849">
        <f>COVER!A13</f>
        <v>34049079002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4" t="s">
        <v>1056</v>
      </c>
      <c r="B35" s="2154"/>
      <c r="C35" s="2154"/>
      <c r="D35" s="2154"/>
      <c r="E35" s="215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1" t="s">
        <v>686</v>
      </c>
      <c r="B40" s="2151"/>
      <c r="C40" s="2151"/>
      <c r="D40" s="2151"/>
      <c r="E40" s="2151"/>
    </row>
    <row r="41" spans="1:5" x14ac:dyDescent="0.2">
      <c r="A41" s="2152" t="s">
        <v>1591</v>
      </c>
      <c r="B41" s="2152"/>
      <c r="C41" s="2152"/>
      <c r="D41" s="2152"/>
      <c r="E41" s="2152"/>
    </row>
    <row r="42" spans="1:5" ht="12.75" customHeight="1" x14ac:dyDescent="0.2">
      <c r="A42" s="2153" t="s">
        <v>1015</v>
      </c>
      <c r="B42" s="2153"/>
      <c r="C42" s="2153"/>
      <c r="D42" s="2153"/>
      <c r="E42" s="215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G15" sqref="G1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8" t="s">
        <v>1665</v>
      </c>
      <c r="B18" s="2468"/>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2</xdr:col>
                <xdr:colOff>0</xdr:colOff>
                <xdr:row>4</xdr:row>
                <xdr:rowOff>0</xdr:rowOff>
              </from>
              <to>
                <xdr:col>3</xdr:col>
                <xdr:colOff>304800</xdr:colOff>
                <xdr:row>8</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5</xdr:col>
                <xdr:colOff>0</xdr:colOff>
                <xdr:row>6</xdr:row>
                <xdr:rowOff>0</xdr:rowOff>
              </from>
              <to>
                <xdr:col>6</xdr:col>
                <xdr:colOff>304800</xdr:colOff>
                <xdr:row>10</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9" t="s">
        <v>1669</v>
      </c>
      <c r="B1" s="2470"/>
      <c r="C1" s="2470"/>
      <c r="D1" s="2470"/>
      <c r="E1" s="2470"/>
      <c r="F1" s="2471"/>
    </row>
    <row r="2" spans="1:8" ht="45" customHeight="1" x14ac:dyDescent="0.2">
      <c r="A2" s="247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0"/>
      <c r="C2" s="2480"/>
      <c r="D2" s="2480"/>
      <c r="E2" s="2480"/>
      <c r="F2" s="2481"/>
      <c r="G2" s="853"/>
      <c r="H2" s="853"/>
    </row>
    <row r="3" spans="1:8" ht="57" customHeight="1" x14ac:dyDescent="0.2">
      <c r="A3" s="2482" t="s">
        <v>1972</v>
      </c>
      <c r="B3" s="2483"/>
      <c r="C3" s="2483"/>
      <c r="D3" s="2483"/>
      <c r="E3" s="2483"/>
      <c r="F3" s="2484"/>
      <c r="G3" s="853"/>
      <c r="H3" s="853"/>
    </row>
    <row r="4" spans="1:8" ht="14.25" customHeight="1" x14ac:dyDescent="0.2">
      <c r="A4" s="248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9"/>
      <c r="C4" s="2489"/>
      <c r="D4" s="2489"/>
      <c r="E4" s="2489"/>
      <c r="F4" s="2490"/>
      <c r="G4" s="853"/>
      <c r="H4" s="853"/>
    </row>
    <row r="5" spans="1:8" ht="14.25" customHeight="1" x14ac:dyDescent="0.2">
      <c r="A5" s="249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2"/>
      <c r="C5" s="2492"/>
      <c r="D5" s="2492"/>
      <c r="E5" s="2492"/>
      <c r="F5" s="2493"/>
      <c r="G5" s="853"/>
      <c r="H5" s="853"/>
    </row>
    <row r="6" spans="1:8" s="854" customFormat="1" ht="41.25" customHeight="1" x14ac:dyDescent="0.2">
      <c r="A6" s="2485" t="s">
        <v>1670</v>
      </c>
      <c r="B6" s="2486"/>
      <c r="C6" s="2486"/>
      <c r="D6" s="2486"/>
      <c r="E6" s="2486"/>
      <c r="F6" s="248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23551828</v>
      </c>
      <c r="C8" s="1813">
        <f>'Acct Summary 7-8'!D8</f>
        <v>2725614</v>
      </c>
      <c r="D8" s="1813">
        <f>'Acct Summary 7-8'!F8</f>
        <v>2297192</v>
      </c>
      <c r="E8" s="1813">
        <f>'Acct Summary 7-8'!I8</f>
        <v>11249</v>
      </c>
      <c r="F8" s="1813">
        <f>SUM(B8:E8)</f>
        <v>28585883</v>
      </c>
    </row>
    <row r="9" spans="1:8" s="858" customFormat="1" ht="14.25" customHeight="1" thickBot="1" x14ac:dyDescent="0.25">
      <c r="A9" s="857" t="s">
        <v>1353</v>
      </c>
      <c r="B9" s="1814">
        <f>'Acct Summary 7-8'!C17</f>
        <v>23489212</v>
      </c>
      <c r="C9" s="1814">
        <f>'Acct Summary 7-8'!D17</f>
        <v>2501453</v>
      </c>
      <c r="D9" s="1814">
        <f>'Acct Summary 7-8'!F17</f>
        <v>2073224</v>
      </c>
      <c r="E9" s="1813"/>
      <c r="F9" s="1813">
        <f>SUM(B9:E9)</f>
        <v>28063889</v>
      </c>
    </row>
    <row r="10" spans="1:8" s="858" customFormat="1" ht="14.25" thickTop="1" thickBot="1" x14ac:dyDescent="0.25">
      <c r="A10" s="859" t="s">
        <v>1354</v>
      </c>
      <c r="B10" s="1815">
        <f>(B8-B9)</f>
        <v>62616</v>
      </c>
      <c r="C10" s="1815">
        <f>(C8-C9)</f>
        <v>224161</v>
      </c>
      <c r="D10" s="1815">
        <f>(D8-D9)</f>
        <v>223968</v>
      </c>
      <c r="E10" s="1814">
        <f>(E8-E9)</f>
        <v>11249</v>
      </c>
      <c r="F10" s="1816">
        <f>SUM(F8-F9)</f>
        <v>521994</v>
      </c>
    </row>
    <row r="11" spans="1:8" s="858" customFormat="1" ht="14.25" thickTop="1" thickBot="1" x14ac:dyDescent="0.25">
      <c r="A11" s="860" t="s">
        <v>1903</v>
      </c>
      <c r="B11" s="1817">
        <f>'Acct Summary 7-8'!C81</f>
        <v>21926139</v>
      </c>
      <c r="C11" s="1817">
        <f>'Acct Summary 7-8'!D81</f>
        <v>3242078</v>
      </c>
      <c r="D11" s="1817">
        <f>'Acct Summary 7-8'!F81</f>
        <v>2526402</v>
      </c>
      <c r="E11" s="1817">
        <f>'Acct Summary 7-8'!I81</f>
        <v>81863</v>
      </c>
      <c r="F11" s="1818">
        <f>SUM(B11:E11)</f>
        <v>27776482</v>
      </c>
    </row>
    <row r="12" spans="1:8" ht="16.5" customHeight="1" thickTop="1" x14ac:dyDescent="0.2">
      <c r="A12" s="861"/>
      <c r="B12" s="862"/>
      <c r="C12" s="2473" t="str">
        <f>IF(AND(F10&lt;0,F11&gt;=0,ABS(F10*3)&gt;ABS(F11)),A16,IF(AND(F10&lt;0,F11&gt;0,ABS(F10*3)&lt;=ABS(F11)),A17,IF(AND(F10&lt;0,F11&lt;0),A16,IF(F11=0,A19,A18))))</f>
        <v>Balanced - no deficit reduction plan is required.</v>
      </c>
      <c r="D12" s="2474"/>
      <c r="E12" s="2474"/>
      <c r="F12" s="2475"/>
    </row>
    <row r="13" spans="1:8" ht="19.5" customHeight="1" x14ac:dyDescent="0.2">
      <c r="A13" s="863"/>
      <c r="B13" s="864"/>
      <c r="C13" s="2473"/>
      <c r="D13" s="2474"/>
      <c r="E13" s="2474"/>
      <c r="F13" s="2475"/>
      <c r="H13" s="853"/>
    </row>
    <row r="14" spans="1:8" ht="19.5" customHeight="1" x14ac:dyDescent="0.2">
      <c r="A14" s="863"/>
      <c r="B14" s="864"/>
      <c r="C14" s="2473"/>
      <c r="D14" s="2474"/>
      <c r="E14" s="2474"/>
      <c r="F14" s="2475"/>
      <c r="H14" s="853"/>
    </row>
    <row r="15" spans="1:8" ht="17.25" customHeight="1" x14ac:dyDescent="0.2">
      <c r="A15" s="863"/>
      <c r="B15" s="864"/>
      <c r="C15" s="2476"/>
      <c r="D15" s="2477"/>
      <c r="E15" s="2477"/>
      <c r="F15" s="2478"/>
      <c r="H15" s="853"/>
    </row>
    <row r="16" spans="1:8" s="288" customFormat="1" ht="51.75" hidden="1" customHeight="1" x14ac:dyDescent="0.2">
      <c r="A16" s="2472" t="s">
        <v>1666</v>
      </c>
      <c r="B16" s="2472"/>
      <c r="C16" s="2472"/>
      <c r="D16" s="2472"/>
      <c r="E16" s="247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4" t="s">
        <v>660</v>
      </c>
      <c r="B3" s="2495"/>
      <c r="C3" s="2495"/>
      <c r="D3" s="249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5" t="s">
        <v>1487</v>
      </c>
      <c r="D7" s="250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7" t="s">
        <v>1001</v>
      </c>
      <c r="B15" s="2498"/>
      <c r="C15" s="2498"/>
      <c r="D15" s="2499"/>
    </row>
    <row r="16" spans="1:4" s="542" customFormat="1" ht="24" customHeight="1" x14ac:dyDescent="0.2">
      <c r="A16" s="2500" t="s">
        <v>658</v>
      </c>
      <c r="B16" s="2501"/>
      <c r="C16" s="2501"/>
      <c r="D16" s="250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9" t="s">
        <v>311</v>
      </c>
      <c r="D21" s="2510"/>
    </row>
    <row r="22" spans="1:10" ht="12.75" x14ac:dyDescent="0.2">
      <c r="A22" s="918"/>
      <c r="B22" s="919">
        <v>2</v>
      </c>
      <c r="C22" s="2507" t="s">
        <v>1507</v>
      </c>
      <c r="D22" s="2508"/>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3" t="s">
        <v>779</v>
      </c>
      <c r="D56" s="250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3" t="s">
        <v>1674</v>
      </c>
      <c r="D70" s="250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34049079002</v>
      </c>
      <c r="E2" s="1542">
        <v>2020</v>
      </c>
      <c r="F2" s="1542">
        <v>1</v>
      </c>
      <c r="G2" s="1899">
        <v>101000300</v>
      </c>
    </row>
    <row r="3" spans="1:7" ht="15" x14ac:dyDescent="0.25">
      <c r="A3" t="s">
        <v>950</v>
      </c>
      <c r="B3" s="135" t="str">
        <f>COVER!A15</f>
        <v>Lake</v>
      </c>
      <c r="E3" s="1830" t="s">
        <v>1971</v>
      </c>
      <c r="F3" s="1830" t="s">
        <v>1970</v>
      </c>
      <c r="G3" s="1899">
        <v>101000400</v>
      </c>
    </row>
    <row r="4" spans="1:7" ht="15" x14ac:dyDescent="0.25">
      <c r="A4" t="s">
        <v>1000</v>
      </c>
      <c r="B4" s="135" t="str">
        <f>COVER!A17</f>
        <v xml:space="preserve"> Fremont SD 79</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 xml:space="preserve">ACCRUAL </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066-005340</v>
      </c>
      <c r="G15" s="1899">
        <v>402100400</v>
      </c>
    </row>
    <row r="16" spans="1:7" ht="15" x14ac:dyDescent="0.25">
      <c r="A16" t="s">
        <v>419</v>
      </c>
      <c r="B16" s="135" t="str">
        <f>COVER!T13</f>
        <v>Evans, Marshall and Pease, PC</v>
      </c>
      <c r="G16" s="1899">
        <v>402100600</v>
      </c>
    </row>
    <row r="17" spans="1:7" ht="15" x14ac:dyDescent="0.25">
      <c r="A17" t="s">
        <v>878</v>
      </c>
      <c r="B17" s="135" t="str">
        <f>COVER!T15</f>
        <v>Jeffery M. Rollefson, CPA</v>
      </c>
      <c r="G17" s="1899">
        <v>402100800</v>
      </c>
    </row>
    <row r="18" spans="1:7" ht="15" x14ac:dyDescent="0.25">
      <c r="A18" t="s">
        <v>1140</v>
      </c>
      <c r="B18" s="135" t="str">
        <f>COVER!T17</f>
        <v>1875 Hicks Road</v>
      </c>
      <c r="G18" s="1899">
        <v>102200300</v>
      </c>
    </row>
    <row r="19" spans="1:7" ht="15" x14ac:dyDescent="0.25">
      <c r="A19" t="s">
        <v>880</v>
      </c>
      <c r="B19" s="135" t="str">
        <f>COVER!T25</f>
        <v>jeff@empcpa.com</v>
      </c>
      <c r="G19" s="1899">
        <v>102200400</v>
      </c>
    </row>
    <row r="20" spans="1:7" ht="15" x14ac:dyDescent="0.25">
      <c r="A20" t="s">
        <v>881</v>
      </c>
      <c r="B20" s="135" t="str">
        <f>COVER!T19</f>
        <v>Rolling Meadows</v>
      </c>
      <c r="G20" s="1899">
        <v>102200600</v>
      </c>
    </row>
    <row r="21" spans="1:7" ht="15" x14ac:dyDescent="0.25">
      <c r="A21" t="s">
        <v>476</v>
      </c>
      <c r="B21" s="135" t="str">
        <f>COVER!X19</f>
        <v>IL</v>
      </c>
      <c r="G21" s="1899">
        <v>102200800</v>
      </c>
    </row>
    <row r="22" spans="1:7" ht="15" x14ac:dyDescent="0.25">
      <c r="A22" t="s">
        <v>882</v>
      </c>
      <c r="B22" s="135">
        <f>COVER!Z19</f>
        <v>60008</v>
      </c>
      <c r="G22" s="1899">
        <v>102300300</v>
      </c>
    </row>
    <row r="23" spans="1:7" ht="15" x14ac:dyDescent="0.25">
      <c r="A23" t="s">
        <v>1142</v>
      </c>
      <c r="B23" s="135" t="str">
        <f>COVER!T21</f>
        <v>847-221-5700</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33512</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11800624</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32519351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319446</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9803303</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10593212</v>
      </c>
      <c r="C91" s="2" t="s">
        <v>569</v>
      </c>
      <c r="D91" s="2" t="str">
        <f t="shared" si="0"/>
        <v>Error?</v>
      </c>
      <c r="G91" s="1899">
        <v>102640400</v>
      </c>
    </row>
    <row r="92" spans="1:7" ht="15" x14ac:dyDescent="0.25">
      <c r="A92" s="5">
        <v>31</v>
      </c>
      <c r="B92" s="1832">
        <f>'Assets-Liab 5-6'!C39</f>
        <v>21926139</v>
      </c>
      <c r="D92" s="2" t="str">
        <f t="shared" si="0"/>
        <v>Error?</v>
      </c>
      <c r="G92" s="1899">
        <v>102640600</v>
      </c>
    </row>
    <row r="93" spans="1:7" ht="15" x14ac:dyDescent="0.25">
      <c r="A93" s="5">
        <v>32</v>
      </c>
      <c r="B93" s="1832">
        <f>'Assets-Liab 5-6'!C41</f>
        <v>32519351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1442447</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4475580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1198305</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1233502</v>
      </c>
      <c r="C122" s="2" t="s">
        <v>569</v>
      </c>
      <c r="D122" s="2" t="str">
        <f t="shared" si="0"/>
        <v>Error?</v>
      </c>
      <c r="G122" s="1899">
        <v>203000300</v>
      </c>
    </row>
    <row r="123" spans="1:7" ht="15" x14ac:dyDescent="0.25">
      <c r="A123" s="5">
        <v>62</v>
      </c>
      <c r="B123" s="1832">
        <f>'Assets-Liab 5-6'!D39</f>
        <v>3242078</v>
      </c>
      <c r="D123" s="2" t="str">
        <f t="shared" si="0"/>
        <v>Error?</v>
      </c>
      <c r="G123" s="1899">
        <v>203000400</v>
      </c>
    </row>
    <row r="124" spans="1:7" ht="15" x14ac:dyDescent="0.25">
      <c r="A124" s="5">
        <v>63</v>
      </c>
      <c r="B124" s="1832">
        <f>'Assets-Liab 5-6'!D41</f>
        <v>4475580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1737767</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3750084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1443640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1443640</v>
      </c>
      <c r="C139" s="2" t="s">
        <v>569</v>
      </c>
      <c r="D139" s="2" t="str">
        <f t="shared" si="1"/>
        <v>Error?</v>
      </c>
    </row>
    <row r="140" spans="1:7" x14ac:dyDescent="0.2">
      <c r="A140" s="5">
        <v>79</v>
      </c>
      <c r="B140" s="1832">
        <f>'Assets-Liab 5-6'!E39</f>
        <v>2306444</v>
      </c>
      <c r="D140" s="2" t="str">
        <f t="shared" si="1"/>
        <v>Error?</v>
      </c>
    </row>
    <row r="141" spans="1:7" x14ac:dyDescent="0.2">
      <c r="A141" s="5">
        <v>80</v>
      </c>
      <c r="B141" s="1832">
        <f>'Assets-Liab 5-6'!E41</f>
        <v>3750084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708970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3132432</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588972</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606030</v>
      </c>
      <c r="C169" s="2" t="s">
        <v>569</v>
      </c>
      <c r="D169" s="2" t="str">
        <f t="shared" si="1"/>
        <v>Error?</v>
      </c>
    </row>
    <row r="170" spans="1:4" x14ac:dyDescent="0.2">
      <c r="A170" s="5">
        <v>109</v>
      </c>
      <c r="B170" s="1832">
        <f>'Assets-Liab 5-6'!F39</f>
        <v>2526402</v>
      </c>
      <c r="D170" s="2" t="str">
        <f t="shared" si="1"/>
        <v>Error?</v>
      </c>
    </row>
    <row r="171" spans="1:4" x14ac:dyDescent="0.2">
      <c r="A171" s="5">
        <v>110</v>
      </c>
      <c r="B171" s="1832">
        <f>'Assets-Liab 5-6'!F41</f>
        <v>3132432</v>
      </c>
      <c r="C171" s="2" t="s">
        <v>569</v>
      </c>
      <c r="D171" s="2" t="str">
        <f t="shared" si="1"/>
        <v>Error?</v>
      </c>
    </row>
    <row r="172" spans="1:4" x14ac:dyDescent="0.2">
      <c r="A172" s="10">
        <v>111</v>
      </c>
      <c r="B172" s="1832"/>
      <c r="D172" s="2" t="str">
        <f t="shared" si="1"/>
        <v>OK</v>
      </c>
    </row>
    <row r="173" spans="1:4" x14ac:dyDescent="0.2">
      <c r="A173" s="5">
        <v>112</v>
      </c>
      <c r="B173" s="1832">
        <f>'Assets-Liab 5-6'!G6</f>
        <v>450861</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710015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374551</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380187</v>
      </c>
      <c r="C188" s="2" t="s">
        <v>569</v>
      </c>
      <c r="D188" s="2" t="str">
        <f t="shared" si="1"/>
        <v>Error?</v>
      </c>
    </row>
    <row r="189" spans="1:4" x14ac:dyDescent="0.2">
      <c r="A189" s="5">
        <v>128</v>
      </c>
      <c r="B189" s="1832">
        <f>'Assets-Liab 5-6'!G39</f>
        <v>329828</v>
      </c>
      <c r="D189" s="2" t="str">
        <f t="shared" si="1"/>
        <v>Error?</v>
      </c>
    </row>
    <row r="190" spans="1:4" x14ac:dyDescent="0.2">
      <c r="A190" s="5">
        <v>129</v>
      </c>
      <c r="B190" s="1832">
        <f>'Assets-Liab 5-6'!G41</f>
        <v>710015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87153</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87153</v>
      </c>
      <c r="D212" s="2" t="str">
        <f t="shared" si="2"/>
        <v>Error?</v>
      </c>
    </row>
    <row r="213" spans="1:4" x14ac:dyDescent="0.2">
      <c r="A213" s="12">
        <v>152</v>
      </c>
      <c r="B213" s="1832">
        <f>'Assets-Liab 5-6'!H41</f>
        <v>87153</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4698697</v>
      </c>
      <c r="D273" s="2" t="str">
        <f t="shared" si="3"/>
        <v>Error?</v>
      </c>
    </row>
    <row r="274" spans="1:4" x14ac:dyDescent="0.2">
      <c r="A274" s="5">
        <v>213</v>
      </c>
      <c r="B274" s="1832">
        <f>'Assets-Liab 5-6'!M17</f>
        <v>55241307</v>
      </c>
      <c r="D274" s="2" t="str">
        <f t="shared" si="3"/>
        <v>Error?</v>
      </c>
    </row>
    <row r="275" spans="1:4" x14ac:dyDescent="0.2">
      <c r="A275" s="5">
        <v>214</v>
      </c>
      <c r="B275" s="1832">
        <f>'Assets-Liab 5-6'!M18</f>
        <v>4098193</v>
      </c>
      <c r="D275" s="2" t="str">
        <f t="shared" si="3"/>
        <v>Error?</v>
      </c>
    </row>
    <row r="276" spans="1:4" x14ac:dyDescent="0.2">
      <c r="A276" s="5">
        <v>215</v>
      </c>
      <c r="B276" s="1832">
        <f>'Assets-Liab 5-6'!M19</f>
        <v>8806507</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73909979</v>
      </c>
      <c r="C279" s="2" t="s">
        <v>569</v>
      </c>
      <c r="D279" s="2" t="str">
        <f t="shared" si="3"/>
        <v>Error?</v>
      </c>
    </row>
    <row r="280" spans="1:4" x14ac:dyDescent="0.2">
      <c r="A280" s="5">
        <v>219</v>
      </c>
      <c r="B280" s="1832">
        <f>'Assets-Liab 5-6'!M40</f>
        <v>73909979</v>
      </c>
      <c r="D280" s="2" t="str">
        <f t="shared" si="3"/>
        <v>Error?</v>
      </c>
    </row>
    <row r="281" spans="1:4" x14ac:dyDescent="0.2">
      <c r="A281" s="5">
        <v>220</v>
      </c>
      <c r="B281" s="1832">
        <f>'Assets-Liab 5-6'!M41</f>
        <v>73909979</v>
      </c>
      <c r="C281" s="2" t="s">
        <v>569</v>
      </c>
      <c r="D281" s="2" t="str">
        <f t="shared" si="3"/>
        <v>Error?</v>
      </c>
    </row>
    <row r="282" spans="1:4" x14ac:dyDescent="0.2">
      <c r="A282" s="5">
        <v>221</v>
      </c>
      <c r="B282" s="1832">
        <f>'Assets-Liab 5-6'!N21</f>
        <v>2306444</v>
      </c>
      <c r="D282" s="2" t="str">
        <f t="shared" si="3"/>
        <v>Error?</v>
      </c>
    </row>
    <row r="283" spans="1:4" x14ac:dyDescent="0.2">
      <c r="A283" s="5">
        <v>222</v>
      </c>
      <c r="B283" s="1832">
        <f>'Assets-Liab 5-6'!N22</f>
        <v>9308416</v>
      </c>
      <c r="D283" s="2" t="str">
        <f t="shared" si="3"/>
        <v>Error?</v>
      </c>
    </row>
    <row r="284" spans="1:4" x14ac:dyDescent="0.2">
      <c r="A284" s="5">
        <v>223</v>
      </c>
      <c r="B284" s="1832">
        <f>'Assets-Liab 5-6'!N23</f>
        <v>11614860</v>
      </c>
      <c r="C284" s="2" t="s">
        <v>569</v>
      </c>
      <c r="D284" s="2" t="str">
        <f t="shared" si="3"/>
        <v>Error?</v>
      </c>
    </row>
    <row r="285" spans="1:4" x14ac:dyDescent="0.2">
      <c r="A285" s="5">
        <v>224</v>
      </c>
      <c r="B285" s="1832">
        <f>'Assets-Liab 5-6'!N36</f>
        <v>11614860</v>
      </c>
      <c r="D285" s="2" t="str">
        <f t="shared" si="3"/>
        <v>Error?</v>
      </c>
    </row>
    <row r="286" spans="1:4" x14ac:dyDescent="0.2">
      <c r="A286" s="10">
        <v>225</v>
      </c>
      <c r="B286" s="1832"/>
      <c r="D286" s="2" t="str">
        <f t="shared" si="3"/>
        <v>OK</v>
      </c>
    </row>
    <row r="287" spans="1:4" x14ac:dyDescent="0.2">
      <c r="A287" s="5">
        <v>226</v>
      </c>
      <c r="B287" s="1832">
        <f>'Assets-Liab 5-6'!N37</f>
        <v>11614860</v>
      </c>
      <c r="C287" s="2" t="s">
        <v>569</v>
      </c>
      <c r="D287" s="2" t="str">
        <f t="shared" si="3"/>
        <v>Error?</v>
      </c>
    </row>
    <row r="288" spans="1:4" x14ac:dyDescent="0.2">
      <c r="A288" s="5">
        <v>227</v>
      </c>
      <c r="B288" s="1832">
        <f>'Assets-Liab 5-6'!N41</f>
        <v>11614860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8001597</v>
      </c>
      <c r="D705" s="2" t="str">
        <f t="shared" si="10"/>
        <v>Error?</v>
      </c>
    </row>
    <row r="706" spans="1:4" x14ac:dyDescent="0.2">
      <c r="A706" s="5">
        <v>645</v>
      </c>
      <c r="B706" s="1832">
        <f>'Expenditures 15-22'!C16</f>
        <v>78606</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509262</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172363</v>
      </c>
      <c r="D718" s="2" t="str">
        <f t="shared" si="10"/>
        <v>Error?</v>
      </c>
    </row>
    <row r="719" spans="1:4" x14ac:dyDescent="0.2">
      <c r="A719" s="5">
        <v>658</v>
      </c>
      <c r="B719" s="1832">
        <f>'Expenditures 15-22'!C15</f>
        <v>13717</v>
      </c>
      <c r="D719" s="2" t="str">
        <f t="shared" si="10"/>
        <v>Error?</v>
      </c>
    </row>
    <row r="720" spans="1:4" x14ac:dyDescent="0.2">
      <c r="A720" s="5">
        <v>659</v>
      </c>
      <c r="B720" s="1832">
        <f>'Expenditures 15-22'!C33</f>
        <v>10688213</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275406</v>
      </c>
      <c r="D722" s="2" t="str">
        <f t="shared" si="10"/>
        <v>Error?</v>
      </c>
    </row>
    <row r="723" spans="1:4" x14ac:dyDescent="0.2">
      <c r="A723" s="5">
        <v>662</v>
      </c>
      <c r="B723" s="1832">
        <f>'Expenditures 15-22'!C38</f>
        <v>131195</v>
      </c>
      <c r="D723" s="2" t="str">
        <f t="shared" si="10"/>
        <v>Error?</v>
      </c>
    </row>
    <row r="724" spans="1:4" x14ac:dyDescent="0.2">
      <c r="A724" s="5">
        <v>663</v>
      </c>
      <c r="B724" s="1832">
        <f>'Expenditures 15-22'!C39</f>
        <v>284197</v>
      </c>
      <c r="D724" s="2" t="str">
        <f t="shared" si="10"/>
        <v>Error?</v>
      </c>
    </row>
    <row r="725" spans="1:4" x14ac:dyDescent="0.2">
      <c r="A725" s="5">
        <v>664</v>
      </c>
      <c r="B725" s="1832">
        <f>'Expenditures 15-22'!C40</f>
        <v>392675</v>
      </c>
      <c r="D725" s="2" t="str">
        <f t="shared" si="10"/>
        <v>Error?</v>
      </c>
    </row>
    <row r="726" spans="1:4" x14ac:dyDescent="0.2">
      <c r="A726" s="5">
        <v>665</v>
      </c>
      <c r="B726" s="1832">
        <f>'Expenditures 15-22'!C41</f>
        <v>166407</v>
      </c>
      <c r="D726" s="2" t="str">
        <f t="shared" si="10"/>
        <v>Error?</v>
      </c>
    </row>
    <row r="727" spans="1:4" x14ac:dyDescent="0.2">
      <c r="A727" s="5">
        <v>666</v>
      </c>
      <c r="B727" s="1832">
        <f>'Expenditures 15-22'!C42</f>
        <v>1249880</v>
      </c>
      <c r="C727" s="2" t="s">
        <v>569</v>
      </c>
      <c r="D727" s="2" t="str">
        <f t="shared" si="10"/>
        <v>Error?</v>
      </c>
    </row>
    <row r="728" spans="1:4" x14ac:dyDescent="0.2">
      <c r="A728" s="5">
        <v>667</v>
      </c>
      <c r="B728" s="1832">
        <f>'Expenditures 15-22'!C44</f>
        <v>178138</v>
      </c>
      <c r="D728" s="2" t="str">
        <f t="shared" si="10"/>
        <v>Error?</v>
      </c>
    </row>
    <row r="729" spans="1:4" x14ac:dyDescent="0.2">
      <c r="A729" s="5">
        <v>668</v>
      </c>
      <c r="B729" s="1832">
        <f>'Expenditures 15-22'!C45</f>
        <v>787096</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965234</v>
      </c>
      <c r="C731" s="2" t="s">
        <v>569</v>
      </c>
      <c r="D731" s="2" t="str">
        <f t="shared" si="10"/>
        <v>Error?</v>
      </c>
    </row>
    <row r="732" spans="1:4" x14ac:dyDescent="0.2">
      <c r="A732" s="5">
        <v>671</v>
      </c>
      <c r="B732" s="1832">
        <f>'Expenditures 15-22'!C49</f>
        <v>13200</v>
      </c>
      <c r="D732" s="2" t="str">
        <f t="shared" si="10"/>
        <v>Error?</v>
      </c>
    </row>
    <row r="733" spans="1:4" x14ac:dyDescent="0.2">
      <c r="A733" s="5">
        <v>672</v>
      </c>
      <c r="B733" s="1832">
        <f>'Expenditures 15-22'!C50</f>
        <v>318163</v>
      </c>
      <c r="D733" s="2" t="str">
        <f t="shared" si="10"/>
        <v>Error?</v>
      </c>
    </row>
    <row r="734" spans="1:4" x14ac:dyDescent="0.2">
      <c r="A734" s="5">
        <v>673</v>
      </c>
      <c r="B734" s="1832">
        <f>'Expenditures 15-22'!C53</f>
        <v>331363</v>
      </c>
      <c r="C734" s="2" t="s">
        <v>569</v>
      </c>
      <c r="D734" s="2" t="str">
        <f t="shared" si="10"/>
        <v>Error?</v>
      </c>
    </row>
    <row r="735" spans="1:4" x14ac:dyDescent="0.2">
      <c r="A735" s="5">
        <v>674</v>
      </c>
      <c r="B735" s="1832">
        <f>'Expenditures 15-22'!C55</f>
        <v>638704</v>
      </c>
      <c r="D735" s="2" t="str">
        <f t="shared" si="10"/>
        <v>Error?</v>
      </c>
    </row>
    <row r="736" spans="1:4" x14ac:dyDescent="0.2">
      <c r="A736" s="5">
        <v>675</v>
      </c>
      <c r="B736" s="1832">
        <f>'Expenditures 15-22'!C56</f>
        <v>197612</v>
      </c>
      <c r="D736" s="2" t="str">
        <f t="shared" si="10"/>
        <v>Error?</v>
      </c>
    </row>
    <row r="737" spans="1:4" x14ac:dyDescent="0.2">
      <c r="A737" s="5">
        <v>676</v>
      </c>
      <c r="B737" s="1832">
        <f>'Expenditures 15-22'!C57</f>
        <v>836316</v>
      </c>
      <c r="C737" s="2" t="s">
        <v>569</v>
      </c>
      <c r="D737" s="2" t="str">
        <f t="shared" si="10"/>
        <v>Error?</v>
      </c>
    </row>
    <row r="738" spans="1:4" x14ac:dyDescent="0.2">
      <c r="A738" s="5">
        <v>677</v>
      </c>
      <c r="B738" s="1832">
        <f>'Expenditures 15-22'!C59</f>
        <v>219787</v>
      </c>
      <c r="D738" s="2" t="str">
        <f t="shared" si="10"/>
        <v>Error?</v>
      </c>
    </row>
    <row r="739" spans="1:4" x14ac:dyDescent="0.2">
      <c r="A739" s="5">
        <v>678</v>
      </c>
      <c r="B739" s="1832">
        <f>'Expenditures 15-22'!C60</f>
        <v>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100021</v>
      </c>
      <c r="D742" s="2" t="str">
        <f t="shared" si="10"/>
        <v>Error?</v>
      </c>
    </row>
    <row r="743" spans="1:4" x14ac:dyDescent="0.2">
      <c r="A743" s="5">
        <v>682</v>
      </c>
      <c r="B743" s="1832">
        <f>'Expenditures 15-22'!C64</f>
        <v>63785</v>
      </c>
      <c r="D743" s="2" t="str">
        <f t="shared" si="10"/>
        <v>Error?</v>
      </c>
    </row>
    <row r="744" spans="1:4" x14ac:dyDescent="0.2">
      <c r="A744" s="10">
        <v>683</v>
      </c>
      <c r="B744" s="1832"/>
      <c r="D744" s="2" t="str">
        <f t="shared" si="10"/>
        <v>OK</v>
      </c>
    </row>
    <row r="745" spans="1:4" x14ac:dyDescent="0.2">
      <c r="A745" s="5">
        <v>684</v>
      </c>
      <c r="B745" s="1832">
        <f>'Expenditures 15-22'!C65</f>
        <v>383593</v>
      </c>
      <c r="C745" s="2" t="s">
        <v>569</v>
      </c>
      <c r="D745" s="2" t="str">
        <f t="shared" si="10"/>
        <v>Error?</v>
      </c>
    </row>
    <row r="746" spans="1:4" x14ac:dyDescent="0.2">
      <c r="A746" s="5">
        <v>685</v>
      </c>
      <c r="B746" s="1832">
        <f>'Expenditures 15-22'!C67</f>
        <v>72100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146859</v>
      </c>
      <c r="D749" s="2" t="str">
        <f t="shared" si="10"/>
        <v>Error?</v>
      </c>
    </row>
    <row r="750" spans="1:4" x14ac:dyDescent="0.2">
      <c r="A750" s="10">
        <v>689</v>
      </c>
      <c r="B750" s="1832"/>
      <c r="D750" s="2" t="str">
        <f t="shared" si="10"/>
        <v>OK</v>
      </c>
    </row>
    <row r="751" spans="1:4" x14ac:dyDescent="0.2">
      <c r="A751" s="5">
        <v>690</v>
      </c>
      <c r="B751" s="1832">
        <f>'Expenditures 15-22'!C71</f>
        <v>27711</v>
      </c>
      <c r="D751" s="2" t="str">
        <f t="shared" si="10"/>
        <v>Error?</v>
      </c>
    </row>
    <row r="752" spans="1:4" x14ac:dyDescent="0.2">
      <c r="A752" s="10">
        <v>691</v>
      </c>
      <c r="B752" s="1832"/>
      <c r="D752" s="2" t="str">
        <f t="shared" si="10"/>
        <v>OK</v>
      </c>
    </row>
    <row r="753" spans="1:4" x14ac:dyDescent="0.2">
      <c r="A753" s="5">
        <v>692</v>
      </c>
      <c r="B753" s="1832">
        <f>'Expenditures 15-22'!C72</f>
        <v>246670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4013056</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14701269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2284758</v>
      </c>
      <c r="D763" s="2" t="str">
        <f t="shared" si="10"/>
        <v>Error?</v>
      </c>
    </row>
    <row r="764" spans="1:4" x14ac:dyDescent="0.2">
      <c r="A764" s="5">
        <v>703</v>
      </c>
      <c r="B764" s="1832">
        <f>'Expenditures 15-22'!D16</f>
        <v>19028</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122733</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12523</v>
      </c>
      <c r="D776" s="2" t="str">
        <f t="shared" si="11"/>
        <v>Error?</v>
      </c>
    </row>
    <row r="777" spans="1:4" x14ac:dyDescent="0.2">
      <c r="A777" s="5">
        <v>716</v>
      </c>
      <c r="B777" s="1832">
        <f>'Expenditures 15-22'!D15</f>
        <v>367</v>
      </c>
      <c r="D777" s="2" t="str">
        <f t="shared" si="11"/>
        <v>Error?</v>
      </c>
    </row>
    <row r="778" spans="1:4" x14ac:dyDescent="0.2">
      <c r="A778" s="5">
        <v>717</v>
      </c>
      <c r="B778" s="1832">
        <f>'Expenditures 15-22'!D33</f>
        <v>3289447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75057</v>
      </c>
      <c r="D780" s="2" t="str">
        <f t="shared" si="11"/>
        <v>Error?</v>
      </c>
    </row>
    <row r="781" spans="1:4" x14ac:dyDescent="0.2">
      <c r="A781" s="5">
        <v>720</v>
      </c>
      <c r="B781" s="1832">
        <f>'Expenditures 15-22'!D38</f>
        <v>48240</v>
      </c>
      <c r="D781" s="2" t="str">
        <f t="shared" si="11"/>
        <v>Error?</v>
      </c>
    </row>
    <row r="782" spans="1:4" x14ac:dyDescent="0.2">
      <c r="A782" s="5">
        <v>721</v>
      </c>
      <c r="B782" s="1832">
        <f>'Expenditures 15-22'!D39</f>
        <v>56947</v>
      </c>
      <c r="D782" s="2" t="str">
        <f t="shared" si="11"/>
        <v>Error?</v>
      </c>
    </row>
    <row r="783" spans="1:4" x14ac:dyDescent="0.2">
      <c r="A783" s="5">
        <v>722</v>
      </c>
      <c r="B783" s="1832">
        <f>'Expenditures 15-22'!D40</f>
        <v>86510</v>
      </c>
      <c r="D783" s="2" t="str">
        <f t="shared" si="11"/>
        <v>Error?</v>
      </c>
    </row>
    <row r="784" spans="1:4" x14ac:dyDescent="0.2">
      <c r="A784" s="5">
        <v>723</v>
      </c>
      <c r="B784" s="1832">
        <f>'Expenditures 15-22'!D41</f>
        <v>19701</v>
      </c>
      <c r="D784" s="2" t="str">
        <f t="shared" si="11"/>
        <v>Error?</v>
      </c>
    </row>
    <row r="785" spans="1:4" x14ac:dyDescent="0.2">
      <c r="A785" s="5">
        <v>724</v>
      </c>
      <c r="B785" s="1832">
        <f>'Expenditures 15-22'!D42</f>
        <v>286455</v>
      </c>
      <c r="C785" s="2" t="s">
        <v>569</v>
      </c>
      <c r="D785" s="2" t="str">
        <f t="shared" si="11"/>
        <v>Error?</v>
      </c>
    </row>
    <row r="786" spans="1:4" x14ac:dyDescent="0.2">
      <c r="A786" s="5">
        <v>725</v>
      </c>
      <c r="B786" s="1832">
        <f>'Expenditures 15-22'!D44</f>
        <v>36747</v>
      </c>
      <c r="D786" s="2" t="str">
        <f t="shared" si="11"/>
        <v>Error?</v>
      </c>
    </row>
    <row r="787" spans="1:4" x14ac:dyDescent="0.2">
      <c r="A787" s="5">
        <v>726</v>
      </c>
      <c r="B787" s="1832">
        <f>'Expenditures 15-22'!D45</f>
        <v>184096</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220843</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76616</v>
      </c>
      <c r="D791" s="2" t="str">
        <f t="shared" si="11"/>
        <v>Error?</v>
      </c>
    </row>
    <row r="792" spans="1:4" x14ac:dyDescent="0.2">
      <c r="A792" s="5">
        <v>731</v>
      </c>
      <c r="B792" s="1832">
        <f>'Expenditures 15-22'!D53</f>
        <v>76616</v>
      </c>
      <c r="C792" s="2" t="s">
        <v>569</v>
      </c>
      <c r="D792" s="2" t="str">
        <f t="shared" si="11"/>
        <v>Error?</v>
      </c>
    </row>
    <row r="793" spans="1:4" x14ac:dyDescent="0.2">
      <c r="A793" s="5">
        <v>732</v>
      </c>
      <c r="B793" s="1832">
        <f>'Expenditures 15-22'!D55</f>
        <v>267662</v>
      </c>
      <c r="D793" s="2" t="str">
        <f t="shared" si="11"/>
        <v>Error?</v>
      </c>
    </row>
    <row r="794" spans="1:4" x14ac:dyDescent="0.2">
      <c r="A794" s="5">
        <v>733</v>
      </c>
      <c r="B794" s="1832">
        <f>'Expenditures 15-22'!D56</f>
        <v>57445</v>
      </c>
      <c r="D794" s="2" t="str">
        <f t="shared" si="11"/>
        <v>Error?</v>
      </c>
    </row>
    <row r="795" spans="1:4" x14ac:dyDescent="0.2">
      <c r="A795" s="5">
        <v>734</v>
      </c>
      <c r="B795" s="1832">
        <f>'Expenditures 15-22'!D57</f>
        <v>325107</v>
      </c>
      <c r="C795" s="2" t="s">
        <v>569</v>
      </c>
      <c r="D795" s="2" t="str">
        <f t="shared" si="11"/>
        <v>Error?</v>
      </c>
    </row>
    <row r="796" spans="1:4" x14ac:dyDescent="0.2">
      <c r="A796" s="5">
        <v>735</v>
      </c>
      <c r="B796" s="1832">
        <f>'Expenditures 15-22'!D59</f>
        <v>56204</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56204</v>
      </c>
      <c r="C803" s="2" t="s">
        <v>569</v>
      </c>
      <c r="D803" s="2" t="str">
        <f t="shared" si="11"/>
        <v>Error?</v>
      </c>
    </row>
    <row r="804" spans="1:4" x14ac:dyDescent="0.2">
      <c r="A804" s="5">
        <v>743</v>
      </c>
      <c r="B804" s="1832">
        <f>'Expenditures 15-22'!D67</f>
        <v>17530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48949</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66479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1031704</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4321151</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9335</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1807</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6444</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460824</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2414</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2414</v>
      </c>
      <c r="C843" s="2" t="s">
        <v>569</v>
      </c>
      <c r="D843" s="2" t="str">
        <f t="shared" si="12"/>
        <v>Error?</v>
      </c>
    </row>
    <row r="844" spans="1:4" x14ac:dyDescent="0.2">
      <c r="A844" s="5">
        <v>783</v>
      </c>
      <c r="B844" s="1832">
        <f>'Expenditures 15-22'!E44</f>
        <v>130276</v>
      </c>
      <c r="D844" s="2" t="str">
        <f t="shared" si="12"/>
        <v>Error?</v>
      </c>
    </row>
    <row r="845" spans="1:4" x14ac:dyDescent="0.2">
      <c r="A845" s="5">
        <v>784</v>
      </c>
      <c r="B845" s="1832">
        <f>'Expenditures 15-22'!E45</f>
        <v>419195</v>
      </c>
      <c r="D845" s="2" t="str">
        <f t="shared" si="12"/>
        <v>Error?</v>
      </c>
    </row>
    <row r="846" spans="1:4" x14ac:dyDescent="0.2">
      <c r="A846" s="5">
        <v>785</v>
      </c>
      <c r="B846" s="1832">
        <f>'Expenditures 15-22'!E46</f>
        <v>36431</v>
      </c>
      <c r="D846" s="2" t="str">
        <f t="shared" si="12"/>
        <v>Error?</v>
      </c>
    </row>
    <row r="847" spans="1:4" x14ac:dyDescent="0.2">
      <c r="A847" s="5">
        <v>786</v>
      </c>
      <c r="B847" s="1832">
        <f>'Expenditures 15-22'!E47</f>
        <v>585902</v>
      </c>
      <c r="C847" s="2" t="s">
        <v>569</v>
      </c>
      <c r="D847" s="2" t="str">
        <f t="shared" si="12"/>
        <v>Error?</v>
      </c>
    </row>
    <row r="848" spans="1:4" x14ac:dyDescent="0.2">
      <c r="A848" s="5">
        <v>787</v>
      </c>
      <c r="B848" s="1832">
        <f>'Expenditures 15-22'!E49</f>
        <v>406674</v>
      </c>
      <c r="D848" s="2" t="str">
        <f t="shared" si="12"/>
        <v>Error?</v>
      </c>
    </row>
    <row r="849" spans="1:4" x14ac:dyDescent="0.2">
      <c r="A849" s="5">
        <v>788</v>
      </c>
      <c r="B849" s="1832">
        <f>'Expenditures 15-22'!E50</f>
        <v>9566</v>
      </c>
      <c r="D849" s="2" t="str">
        <f t="shared" si="12"/>
        <v>Error?</v>
      </c>
    </row>
    <row r="850" spans="1:4" x14ac:dyDescent="0.2">
      <c r="A850" s="5">
        <v>789</v>
      </c>
      <c r="B850" s="1832">
        <f>'Expenditures 15-22'!E53</f>
        <v>416240</v>
      </c>
      <c r="C850" s="2" t="s">
        <v>569</v>
      </c>
      <c r="D850" s="2" t="str">
        <f t="shared" si="12"/>
        <v>Error?</v>
      </c>
    </row>
    <row r="851" spans="1:4" x14ac:dyDescent="0.2">
      <c r="A851" s="5">
        <v>790</v>
      </c>
      <c r="B851" s="1832">
        <f>'Expenditures 15-22'!E55</f>
        <v>1102</v>
      </c>
      <c r="D851" s="2" t="str">
        <f t="shared" si="12"/>
        <v>Error?</v>
      </c>
    </row>
    <row r="852" spans="1:4" x14ac:dyDescent="0.2">
      <c r="A852" s="5">
        <v>791</v>
      </c>
      <c r="B852" s="1832">
        <f>'Expenditures 15-22'!E56</f>
        <v>3025</v>
      </c>
      <c r="D852" s="2" t="str">
        <f t="shared" si="12"/>
        <v>Error?</v>
      </c>
    </row>
    <row r="853" spans="1:4" x14ac:dyDescent="0.2">
      <c r="A853" s="5">
        <v>792</v>
      </c>
      <c r="B853" s="1832">
        <f>'Expenditures 15-22'!E57</f>
        <v>4127</v>
      </c>
      <c r="C853" s="2" t="s">
        <v>569</v>
      </c>
      <c r="D853" s="2" t="str">
        <f t="shared" si="12"/>
        <v>Error?</v>
      </c>
    </row>
    <row r="854" spans="1:4" x14ac:dyDescent="0.2">
      <c r="A854" s="5">
        <v>793</v>
      </c>
      <c r="B854" s="1832">
        <f>'Expenditures 15-22'!E59</f>
        <v>8727</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8727</v>
      </c>
      <c r="C861" s="2" t="s">
        <v>569</v>
      </c>
      <c r="D861" s="2" t="str">
        <f t="shared" si="12"/>
        <v>Error?</v>
      </c>
    </row>
    <row r="862" spans="1:4" x14ac:dyDescent="0.2">
      <c r="A862" s="5">
        <v>801</v>
      </c>
      <c r="B862" s="1832">
        <f>'Expenditures 15-22'!E67</f>
        <v>2047</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2047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1019457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1480281</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163876</v>
      </c>
      <c r="D879" s="2" t="str">
        <f t="shared" si="12"/>
        <v>Error?</v>
      </c>
    </row>
    <row r="880" spans="1:4" x14ac:dyDescent="0.2">
      <c r="A880" s="5">
        <v>819</v>
      </c>
      <c r="B880" s="1832">
        <f>'Expenditures 15-22'!F16</f>
        <v>370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23516</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6696</v>
      </c>
      <c r="D892" s="2" t="str">
        <f t="shared" si="12"/>
        <v>Error?</v>
      </c>
    </row>
    <row r="893" spans="1:4" x14ac:dyDescent="0.2">
      <c r="A893" s="5">
        <v>832</v>
      </c>
      <c r="B893" s="1832">
        <f>'Expenditures 15-22'!F15</f>
        <v>10756</v>
      </c>
      <c r="D893" s="2" t="str">
        <f t="shared" si="12"/>
        <v>Error?</v>
      </c>
    </row>
    <row r="894" spans="1:4" x14ac:dyDescent="0.2">
      <c r="A894" s="5">
        <v>833</v>
      </c>
      <c r="B894" s="1832">
        <f>'Expenditures 15-22'!F33</f>
        <v>275399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1751</v>
      </c>
      <c r="D896" s="2" t="str">
        <f t="shared" si="13"/>
        <v>Error?</v>
      </c>
    </row>
    <row r="897" spans="1:4" x14ac:dyDescent="0.2">
      <c r="A897" s="5">
        <v>836</v>
      </c>
      <c r="B897" s="1832">
        <f>'Expenditures 15-22'!F38</f>
        <v>3226</v>
      </c>
      <c r="D897" s="2" t="str">
        <f t="shared" si="13"/>
        <v>Error?</v>
      </c>
    </row>
    <row r="898" spans="1:4" x14ac:dyDescent="0.2">
      <c r="A898" s="5">
        <v>837</v>
      </c>
      <c r="B898" s="1832">
        <f>'Expenditures 15-22'!F39</f>
        <v>1347</v>
      </c>
      <c r="D898" s="2" t="str">
        <f t="shared" si="13"/>
        <v>Error?</v>
      </c>
    </row>
    <row r="899" spans="1:4" x14ac:dyDescent="0.2">
      <c r="A899" s="5">
        <v>838</v>
      </c>
      <c r="B899" s="1832">
        <f>'Expenditures 15-22'!F40</f>
        <v>2852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9176</v>
      </c>
      <c r="C901" s="2" t="s">
        <v>569</v>
      </c>
      <c r="D901" s="2" t="str">
        <f t="shared" si="13"/>
        <v>Error?</v>
      </c>
    </row>
    <row r="902" spans="1:4" x14ac:dyDescent="0.2">
      <c r="A902" s="5">
        <v>841</v>
      </c>
      <c r="B902" s="1832">
        <f>'Expenditures 15-22'!F44</f>
        <v>354323</v>
      </c>
      <c r="D902" s="2" t="str">
        <f t="shared" si="13"/>
        <v>Error?</v>
      </c>
    </row>
    <row r="903" spans="1:4" x14ac:dyDescent="0.2">
      <c r="A903" s="5">
        <v>842</v>
      </c>
      <c r="B903" s="1832">
        <f>'Expenditures 15-22'!F45</f>
        <v>103254</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457577</v>
      </c>
      <c r="C905" s="2" t="s">
        <v>569</v>
      </c>
      <c r="D905" s="2" t="str">
        <f t="shared" si="13"/>
        <v>Error?</v>
      </c>
    </row>
    <row r="906" spans="1:4" x14ac:dyDescent="0.2">
      <c r="A906" s="5">
        <v>845</v>
      </c>
      <c r="B906" s="1832">
        <f>'Expenditures 15-22'!F49</f>
        <v>44814</v>
      </c>
      <c r="D906" s="2" t="str">
        <f t="shared" si="13"/>
        <v>Error?</v>
      </c>
    </row>
    <row r="907" spans="1:4" x14ac:dyDescent="0.2">
      <c r="A907" s="5">
        <v>846</v>
      </c>
      <c r="B907" s="1832">
        <f>'Expenditures 15-22'!F50</f>
        <v>330</v>
      </c>
      <c r="D907" s="2" t="str">
        <f t="shared" si="13"/>
        <v>Error?</v>
      </c>
    </row>
    <row r="908" spans="1:4" x14ac:dyDescent="0.2">
      <c r="A908" s="5">
        <v>847</v>
      </c>
      <c r="B908" s="1832">
        <f>'Expenditures 15-22'!F53</f>
        <v>45144</v>
      </c>
      <c r="C908" s="2" t="s">
        <v>569</v>
      </c>
      <c r="D908" s="2" t="str">
        <f t="shared" si="13"/>
        <v>Error?</v>
      </c>
    </row>
    <row r="909" spans="1:4" x14ac:dyDescent="0.2">
      <c r="A909" s="5">
        <v>848</v>
      </c>
      <c r="B909" s="1832">
        <f>'Expenditures 15-22'!F55</f>
        <v>10243</v>
      </c>
      <c r="D909" s="2" t="str">
        <f t="shared" si="13"/>
        <v>Error?</v>
      </c>
    </row>
    <row r="910" spans="1:4" x14ac:dyDescent="0.2">
      <c r="A910" s="5">
        <v>849</v>
      </c>
      <c r="B910" s="1832">
        <f>'Expenditures 15-22'!F56</f>
        <v>1842</v>
      </c>
      <c r="D910" s="2" t="str">
        <f t="shared" si="13"/>
        <v>Error?</v>
      </c>
    </row>
    <row r="911" spans="1:4" x14ac:dyDescent="0.2">
      <c r="A911" s="5">
        <v>850</v>
      </c>
      <c r="B911" s="1832">
        <f>'Expenditures 15-22'!F57</f>
        <v>12085</v>
      </c>
      <c r="C911" s="2" t="s">
        <v>569</v>
      </c>
      <c r="D911" s="2" t="str">
        <f t="shared" si="13"/>
        <v>Error?</v>
      </c>
    </row>
    <row r="912" spans="1:4" x14ac:dyDescent="0.2">
      <c r="A912" s="5">
        <v>851</v>
      </c>
      <c r="B912" s="1832">
        <f>'Expenditures 15-22'!F59</f>
        <v>4571</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7244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11815</v>
      </c>
      <c r="C919" s="2" t="s">
        <v>569</v>
      </c>
      <c r="D919" s="2" t="str">
        <f t="shared" si="13"/>
        <v>Error?</v>
      </c>
    </row>
    <row r="920" spans="1:4" x14ac:dyDescent="0.2">
      <c r="A920" s="5">
        <v>859</v>
      </c>
      <c r="B920" s="1832">
        <f>'Expenditures 15-22'!F67</f>
        <v>2337</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2337</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538134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813533</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461412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461412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446134</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446134</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446134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907546</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2272</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14731</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17318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762</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762</v>
      </c>
      <c r="C1021" s="2" t="s">
        <v>569</v>
      </c>
      <c r="D1021" s="2" t="str">
        <f t="shared" si="14"/>
        <v>Error?</v>
      </c>
    </row>
    <row r="1022" spans="1:4" x14ac:dyDescent="0.2">
      <c r="A1022" s="5">
        <v>961</v>
      </c>
      <c r="B1022" s="1832">
        <f>'Expenditures 15-22'!H49</f>
        <v>4780</v>
      </c>
      <c r="D1022" s="2" t="str">
        <f t="shared" si="14"/>
        <v>Error?</v>
      </c>
    </row>
    <row r="1023" spans="1:4" x14ac:dyDescent="0.2">
      <c r="A1023" s="5">
        <v>962</v>
      </c>
      <c r="B1023" s="1832">
        <f>'Expenditures 15-22'!H50</f>
        <v>6130</v>
      </c>
      <c r="D1023" s="2" t="str">
        <f t="shared" ref="D1023:D1086" si="15">IF(ISBLANK(B1023),"OK",IF(A1023-B1023=0,"OK","Error?"))</f>
        <v>Error?</v>
      </c>
    </row>
    <row r="1024" spans="1:4" x14ac:dyDescent="0.2">
      <c r="A1024" s="5">
        <v>963</v>
      </c>
      <c r="B1024" s="1832">
        <f>'Expenditures 15-22'!H53</f>
        <v>10910</v>
      </c>
      <c r="C1024" s="2" t="s">
        <v>569</v>
      </c>
      <c r="D1024" s="2" t="str">
        <f t="shared" si="15"/>
        <v>Error?</v>
      </c>
    </row>
    <row r="1025" spans="1:4" x14ac:dyDescent="0.2">
      <c r="A1025" s="5">
        <v>964</v>
      </c>
      <c r="B1025" s="1832">
        <f>'Expenditures 15-22'!H55</f>
        <v>1788</v>
      </c>
      <c r="D1025" s="2" t="str">
        <f t="shared" si="15"/>
        <v>Error?</v>
      </c>
    </row>
    <row r="1026" spans="1:4" x14ac:dyDescent="0.2">
      <c r="A1026" s="5">
        <v>965</v>
      </c>
      <c r="B1026" s="1832">
        <f>'Expenditures 15-22'!H56</f>
        <v>2606</v>
      </c>
      <c r="D1026" s="2" t="str">
        <f t="shared" si="15"/>
        <v>Error?</v>
      </c>
    </row>
    <row r="1027" spans="1:4" x14ac:dyDescent="0.2">
      <c r="A1027" s="5">
        <v>966</v>
      </c>
      <c r="B1027" s="1832">
        <f>'Expenditures 15-22'!H57</f>
        <v>4394</v>
      </c>
      <c r="C1027" s="2" t="s">
        <v>569</v>
      </c>
      <c r="D1027" s="2" t="str">
        <f t="shared" si="15"/>
        <v>Error?</v>
      </c>
    </row>
    <row r="1028" spans="1:4" x14ac:dyDescent="0.2">
      <c r="A1028" s="5">
        <v>967</v>
      </c>
      <c r="B1028" s="1832">
        <f>'Expenditures 15-22'!H59</f>
        <v>43392</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43392</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59458</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1137156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1213932</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10950102</v>
      </c>
      <c r="C1093" s="2" t="s">
        <v>569</v>
      </c>
      <c r="D1093" s="2" t="str">
        <f t="shared" si="16"/>
        <v>Error?</v>
      </c>
    </row>
    <row r="1094" spans="1:4" x14ac:dyDescent="0.2">
      <c r="A1094" s="5">
        <v>1033</v>
      </c>
      <c r="B1094" s="1832">
        <f>'Expenditures 15-22'!K16</f>
        <v>98004</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657318</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212757</v>
      </c>
      <c r="C1106" s="2" t="s">
        <v>569</v>
      </c>
      <c r="D1106" s="2" t="str">
        <f t="shared" si="16"/>
        <v>Error?</v>
      </c>
    </row>
    <row r="1107" spans="1:4" x14ac:dyDescent="0.2">
      <c r="A1107" s="5">
        <v>1046</v>
      </c>
      <c r="B1107" s="1832">
        <f>'Expenditures 15-22'!K15</f>
        <v>24840</v>
      </c>
      <c r="C1107" s="2" t="s">
        <v>569</v>
      </c>
      <c r="D1107" s="2" t="str">
        <f t="shared" si="16"/>
        <v>Error?</v>
      </c>
    </row>
    <row r="1108" spans="1:4" x14ac:dyDescent="0.2">
      <c r="A1108" s="5">
        <v>1047</v>
      </c>
      <c r="B1108" s="1832">
        <f>'Expenditures 15-22'!K33</f>
        <v>15219465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352214</v>
      </c>
      <c r="C1110" s="2" t="s">
        <v>569</v>
      </c>
      <c r="D1110" s="2" t="str">
        <f t="shared" si="16"/>
        <v>Error?</v>
      </c>
    </row>
    <row r="1111" spans="1:4" x14ac:dyDescent="0.2">
      <c r="A1111" s="5">
        <v>1050</v>
      </c>
      <c r="B1111" s="1832">
        <f>'Expenditures 15-22'!K38</f>
        <v>182661</v>
      </c>
      <c r="C1111" s="2" t="s">
        <v>569</v>
      </c>
      <c r="D1111" s="2" t="str">
        <f t="shared" si="16"/>
        <v>Error?</v>
      </c>
    </row>
    <row r="1112" spans="1:4" x14ac:dyDescent="0.2">
      <c r="A1112" s="5">
        <v>1051</v>
      </c>
      <c r="B1112" s="1832">
        <f>'Expenditures 15-22'!K39</f>
        <v>344905</v>
      </c>
      <c r="C1112" s="2" t="s">
        <v>569</v>
      </c>
      <c r="D1112" s="2" t="str">
        <f t="shared" si="16"/>
        <v>Error?</v>
      </c>
    </row>
    <row r="1113" spans="1:4" x14ac:dyDescent="0.2">
      <c r="A1113" s="5">
        <v>1052</v>
      </c>
      <c r="B1113" s="1832">
        <f>'Expenditures 15-22'!K40</f>
        <v>482037</v>
      </c>
      <c r="C1113" s="2" t="s">
        <v>569</v>
      </c>
      <c r="D1113" s="2" t="str">
        <f t="shared" si="16"/>
        <v>Error?</v>
      </c>
    </row>
    <row r="1114" spans="1:4" x14ac:dyDescent="0.2">
      <c r="A1114" s="5">
        <v>1053</v>
      </c>
      <c r="B1114" s="1832">
        <f>'Expenditures 15-22'!K41</f>
        <v>186108</v>
      </c>
      <c r="C1114" s="2" t="s">
        <v>569</v>
      </c>
      <c r="D1114" s="2" t="str">
        <f t="shared" si="16"/>
        <v>Error?</v>
      </c>
    </row>
    <row r="1115" spans="1:4" x14ac:dyDescent="0.2">
      <c r="A1115" s="5">
        <v>1054</v>
      </c>
      <c r="B1115" s="1832">
        <f>'Expenditures 15-22'!K42</f>
        <v>1547925</v>
      </c>
      <c r="C1115" s="2" t="s">
        <v>569</v>
      </c>
      <c r="D1115" s="2" t="str">
        <f t="shared" si="16"/>
        <v>Error?</v>
      </c>
    </row>
    <row r="1116" spans="1:4" x14ac:dyDescent="0.2">
      <c r="A1116" s="5">
        <v>1055</v>
      </c>
      <c r="B1116" s="1832">
        <f>'Expenditures 15-22'!K44</f>
        <v>700246</v>
      </c>
      <c r="C1116" s="2" t="s">
        <v>569</v>
      </c>
      <c r="D1116" s="2" t="str">
        <f t="shared" si="16"/>
        <v>Error?</v>
      </c>
    </row>
    <row r="1117" spans="1:4" x14ac:dyDescent="0.2">
      <c r="A1117" s="5">
        <v>1056</v>
      </c>
      <c r="B1117" s="1832">
        <f>'Expenditures 15-22'!K45</f>
        <v>1939775</v>
      </c>
      <c r="C1117" s="2" t="s">
        <v>569</v>
      </c>
      <c r="D1117" s="2" t="str">
        <f t="shared" si="16"/>
        <v>Error?</v>
      </c>
    </row>
    <row r="1118" spans="1:4" x14ac:dyDescent="0.2">
      <c r="A1118" s="5">
        <v>1057</v>
      </c>
      <c r="B1118" s="1832">
        <f>'Expenditures 15-22'!K46</f>
        <v>36431</v>
      </c>
      <c r="C1118" s="2" t="s">
        <v>569</v>
      </c>
      <c r="D1118" s="2" t="str">
        <f t="shared" si="16"/>
        <v>Error?</v>
      </c>
    </row>
    <row r="1119" spans="1:4" x14ac:dyDescent="0.2">
      <c r="A1119" s="5">
        <v>1058</v>
      </c>
      <c r="B1119" s="1832">
        <f>'Expenditures 15-22'!K47</f>
        <v>2676452</v>
      </c>
      <c r="C1119" s="2" t="s">
        <v>569</v>
      </c>
      <c r="D1119" s="2" t="str">
        <f t="shared" si="16"/>
        <v>Error?</v>
      </c>
    </row>
    <row r="1120" spans="1:4" x14ac:dyDescent="0.2">
      <c r="A1120" s="5">
        <v>1059</v>
      </c>
      <c r="B1120" s="1832">
        <f>'Expenditures 15-22'!K49</f>
        <v>494116</v>
      </c>
      <c r="C1120" s="2" t="s">
        <v>569</v>
      </c>
      <c r="D1120" s="2" t="str">
        <f t="shared" si="16"/>
        <v>Error?</v>
      </c>
    </row>
    <row r="1121" spans="1:4" x14ac:dyDescent="0.2">
      <c r="A1121" s="5">
        <v>1060</v>
      </c>
      <c r="B1121" s="1832">
        <f>'Expenditures 15-22'!K50</f>
        <v>410805</v>
      </c>
      <c r="C1121" s="2" t="s">
        <v>569</v>
      </c>
      <c r="D1121" s="2" t="str">
        <f t="shared" si="16"/>
        <v>Error?</v>
      </c>
    </row>
    <row r="1122" spans="1:4" x14ac:dyDescent="0.2">
      <c r="A1122" s="5">
        <v>1061</v>
      </c>
      <c r="B1122" s="1832">
        <f>'Expenditures 15-22'!K53</f>
        <v>904921</v>
      </c>
      <c r="C1122" s="2" t="s">
        <v>569</v>
      </c>
      <c r="D1122" s="2" t="str">
        <f t="shared" si="16"/>
        <v>Error?</v>
      </c>
    </row>
    <row r="1123" spans="1:4" x14ac:dyDescent="0.2">
      <c r="A1123" s="5">
        <v>1062</v>
      </c>
      <c r="B1123" s="1832">
        <f>'Expenditures 15-22'!K55</f>
        <v>919499</v>
      </c>
      <c r="C1123" s="2" t="s">
        <v>569</v>
      </c>
      <c r="D1123" s="2" t="str">
        <f t="shared" si="16"/>
        <v>Error?</v>
      </c>
    </row>
    <row r="1124" spans="1:4" x14ac:dyDescent="0.2">
      <c r="A1124" s="5">
        <v>1063</v>
      </c>
      <c r="B1124" s="1832">
        <f>'Expenditures 15-22'!K56</f>
        <v>262530</v>
      </c>
      <c r="C1124" s="2" t="s">
        <v>569</v>
      </c>
      <c r="D1124" s="2" t="str">
        <f t="shared" si="16"/>
        <v>Error?</v>
      </c>
    </row>
    <row r="1125" spans="1:4" x14ac:dyDescent="0.2">
      <c r="A1125" s="5">
        <v>1064</v>
      </c>
      <c r="B1125" s="1832">
        <f>'Expenditures 15-22'!K57</f>
        <v>1182029</v>
      </c>
      <c r="C1125" s="2" t="s">
        <v>569</v>
      </c>
      <c r="D1125" s="2" t="str">
        <f t="shared" si="16"/>
        <v>Error?</v>
      </c>
    </row>
    <row r="1126" spans="1:4" x14ac:dyDescent="0.2">
      <c r="A1126" s="5">
        <v>1065</v>
      </c>
      <c r="B1126" s="1832">
        <f>'Expenditures 15-22'!K59</f>
        <v>332681</v>
      </c>
      <c r="C1126" s="2" t="s">
        <v>569</v>
      </c>
      <c r="D1126" s="2" t="str">
        <f t="shared" si="16"/>
        <v>Error?</v>
      </c>
    </row>
    <row r="1127" spans="1:4" x14ac:dyDescent="0.2">
      <c r="A1127" s="5">
        <v>1066</v>
      </c>
      <c r="B1127" s="1832">
        <f>'Expenditures 15-22'!K60</f>
        <v>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107265</v>
      </c>
      <c r="C1130" s="2" t="s">
        <v>569</v>
      </c>
      <c r="D1130" s="2" t="str">
        <f t="shared" si="16"/>
        <v>Error?</v>
      </c>
    </row>
    <row r="1131" spans="1:4" x14ac:dyDescent="0.2">
      <c r="A1131" s="5">
        <v>1070</v>
      </c>
      <c r="B1131" s="1832">
        <f>'Expenditures 15-22'!K64</f>
        <v>63785</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503731</v>
      </c>
      <c r="C1133" s="2" t="s">
        <v>569</v>
      </c>
      <c r="D1133" s="2" t="str">
        <f t="shared" si="16"/>
        <v>Error?</v>
      </c>
    </row>
    <row r="1134" spans="1:4" x14ac:dyDescent="0.2">
      <c r="A1134" s="5">
        <v>1073</v>
      </c>
      <c r="B1134" s="1832">
        <f>'Expenditures 15-22'!K67</f>
        <v>94014</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195808</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27711</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317533</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7132591</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1137156</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23489212</v>
      </c>
      <c r="C1152" s="2" t="s">
        <v>569</v>
      </c>
      <c r="D1152" s="2" t="str">
        <f t="shared" si="17"/>
        <v>Error?</v>
      </c>
    </row>
    <row r="1153" spans="1:4" x14ac:dyDescent="0.2">
      <c r="A1153" s="5">
        <v>1092</v>
      </c>
      <c r="B1153" s="1832">
        <f>'Expenditures 15-22'!K115</f>
        <v>62616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340914</v>
      </c>
      <c r="D1221" s="2" t="str">
        <f t="shared" si="18"/>
        <v>Error?</v>
      </c>
    </row>
    <row r="1222" spans="1:4" x14ac:dyDescent="0.2">
      <c r="A1222" s="10">
        <v>1161</v>
      </c>
      <c r="B1222" s="1832"/>
      <c r="D1222" s="2" t="str">
        <f t="shared" si="18"/>
        <v>OK</v>
      </c>
    </row>
    <row r="1223" spans="1:4" x14ac:dyDescent="0.2">
      <c r="A1223" s="5">
        <v>1162</v>
      </c>
      <c r="B1223" s="1832">
        <f>'Expenditures 15-22'!C127</f>
        <v>340914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340914</v>
      </c>
      <c r="C1225" s="2" t="s">
        <v>569</v>
      </c>
      <c r="D1225" s="2" t="str">
        <f t="shared" si="18"/>
        <v>Error?</v>
      </c>
    </row>
    <row r="1226" spans="1:4" x14ac:dyDescent="0.2">
      <c r="A1226" s="5">
        <v>1165</v>
      </c>
      <c r="B1226" s="1832">
        <f>'Expenditures 15-22'!C151</f>
        <v>340914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121335</v>
      </c>
      <c r="D1229" s="2" t="str">
        <f t="shared" si="18"/>
        <v>Error?</v>
      </c>
    </row>
    <row r="1230" spans="1:4" x14ac:dyDescent="0.2">
      <c r="A1230" s="10">
        <v>1169</v>
      </c>
      <c r="B1230" s="1832"/>
      <c r="D1230" s="2" t="str">
        <f t="shared" si="18"/>
        <v>OK</v>
      </c>
    </row>
    <row r="1231" spans="1:4" x14ac:dyDescent="0.2">
      <c r="A1231" s="5">
        <v>1170</v>
      </c>
      <c r="B1231" s="1832">
        <f>'Expenditures 15-22'!D127</f>
        <v>121335</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121335</v>
      </c>
      <c r="C1233" s="2" t="s">
        <v>569</v>
      </c>
      <c r="D1233" s="2" t="str">
        <f t="shared" si="18"/>
        <v>Error?</v>
      </c>
    </row>
    <row r="1234" spans="1:4" x14ac:dyDescent="0.2">
      <c r="A1234" s="5">
        <v>1173</v>
      </c>
      <c r="B1234" s="1832">
        <f>'Expenditures 15-22'!D151</f>
        <v>121335</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934743</v>
      </c>
      <c r="D1237" s="2" t="str">
        <f t="shared" si="18"/>
        <v>Error?</v>
      </c>
    </row>
    <row r="1238" spans="1:4" x14ac:dyDescent="0.2">
      <c r="A1238" s="10">
        <v>1177</v>
      </c>
      <c r="B1238" s="1832"/>
      <c r="D1238" s="2" t="str">
        <f t="shared" si="18"/>
        <v>OK</v>
      </c>
    </row>
    <row r="1239" spans="1:4" x14ac:dyDescent="0.2">
      <c r="A1239" s="5">
        <v>1178</v>
      </c>
      <c r="B1239" s="1832">
        <f>'Expenditures 15-22'!E127</f>
        <v>934743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934743</v>
      </c>
      <c r="C1241" s="2" t="s">
        <v>569</v>
      </c>
      <c r="D1241" s="2" t="str">
        <f t="shared" si="18"/>
        <v>Error?</v>
      </c>
    </row>
    <row r="1242" spans="1:4" x14ac:dyDescent="0.2">
      <c r="A1242" s="5">
        <v>1181</v>
      </c>
      <c r="B1242" s="1832">
        <f>'Expenditures 15-22'!E151</f>
        <v>934743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502972</v>
      </c>
      <c r="D1245" s="2" t="str">
        <f t="shared" si="18"/>
        <v>Error?</v>
      </c>
    </row>
    <row r="1246" spans="1:4" x14ac:dyDescent="0.2">
      <c r="A1246" s="10">
        <v>1185</v>
      </c>
      <c r="B1246" s="1832"/>
      <c r="D1246" s="2" t="str">
        <f t="shared" si="18"/>
        <v>OK</v>
      </c>
    </row>
    <row r="1247" spans="1:4" x14ac:dyDescent="0.2">
      <c r="A1247" s="5">
        <v>1186</v>
      </c>
      <c r="B1247" s="1832">
        <f>'Expenditures 15-22'!F127</f>
        <v>502972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502972</v>
      </c>
      <c r="C1249" s="2" t="s">
        <v>569</v>
      </c>
      <c r="D1249" s="2" t="str">
        <f t="shared" si="18"/>
        <v>Error?</v>
      </c>
    </row>
    <row r="1250" spans="1:4" x14ac:dyDescent="0.2">
      <c r="A1250" s="5">
        <v>1189</v>
      </c>
      <c r="B1250" s="1832">
        <f>'Expenditures 15-22'!F151</f>
        <v>502972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464203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464203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464203</v>
      </c>
      <c r="C1258" s="2" t="s">
        <v>569</v>
      </c>
      <c r="D1258" s="2" t="str">
        <f t="shared" si="18"/>
        <v>Error?</v>
      </c>
    </row>
    <row r="1259" spans="1:4" x14ac:dyDescent="0.2">
      <c r="A1259" s="5">
        <v>1198</v>
      </c>
      <c r="B1259" s="1832">
        <f>'Expenditures 15-22'!G151</f>
        <v>464203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89491</v>
      </c>
      <c r="D1262" s="2" t="str">
        <f t="shared" si="18"/>
        <v>Error?</v>
      </c>
    </row>
    <row r="1263" spans="1:4" x14ac:dyDescent="0.2">
      <c r="A1263" s="10">
        <v>1202</v>
      </c>
      <c r="B1263" s="1832"/>
      <c r="D1263" s="2" t="str">
        <f t="shared" si="18"/>
        <v>OK</v>
      </c>
    </row>
    <row r="1264" spans="1:4" x14ac:dyDescent="0.2">
      <c r="A1264" s="5">
        <v>1203</v>
      </c>
      <c r="B1264" s="1832">
        <f>'Expenditures 15-22'!H127</f>
        <v>89491</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89491</v>
      </c>
      <c r="C1266" s="2" t="s">
        <v>569</v>
      </c>
      <c r="D1266" s="2" t="str">
        <f t="shared" si="18"/>
        <v>Error?</v>
      </c>
    </row>
    <row r="1267" spans="1:4" x14ac:dyDescent="0.2">
      <c r="A1267" s="5">
        <v>1206</v>
      </c>
      <c r="B1267" s="1832">
        <f>'Expenditures 15-22'!H139</f>
        <v>47795</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137286</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2453658</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2453658</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2453658</v>
      </c>
      <c r="C1281" s="2" t="s">
        <v>569</v>
      </c>
      <c r="D1281" s="2" t="str">
        <f t="shared" si="19"/>
        <v>Error?</v>
      </c>
    </row>
    <row r="1282" spans="1:4" x14ac:dyDescent="0.2">
      <c r="A1282" s="5">
        <v>1221</v>
      </c>
      <c r="B1282" s="1832">
        <f>'Expenditures 15-22'!K139</f>
        <v>47795</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2501453</v>
      </c>
      <c r="C1288" s="2" t="s">
        <v>569</v>
      </c>
      <c r="D1288" s="2" t="str">
        <f t="shared" si="19"/>
        <v>Error?</v>
      </c>
    </row>
    <row r="1289" spans="1:4" x14ac:dyDescent="0.2">
      <c r="A1289" s="5">
        <v>1228</v>
      </c>
      <c r="B1289" s="1832">
        <f>'Expenditures 15-22'!K152</f>
        <v>224161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436763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2605000</v>
      </c>
      <c r="D1315" s="2" t="str">
        <f t="shared" si="19"/>
        <v>Error?</v>
      </c>
    </row>
    <row r="1316" spans="1:4" x14ac:dyDescent="0.2">
      <c r="A1316" s="5">
        <v>1255</v>
      </c>
      <c r="B1316" s="1832">
        <f>'Expenditures 15-22'!H171</f>
        <v>949</v>
      </c>
      <c r="D1316" s="2" t="str">
        <f t="shared" si="19"/>
        <v>Error?</v>
      </c>
    </row>
    <row r="1317" spans="1:4" x14ac:dyDescent="0.2">
      <c r="A1317" s="5">
        <v>1256</v>
      </c>
      <c r="B1317" s="1832">
        <f>'Expenditures 15-22'!H172</f>
        <v>3042712</v>
      </c>
      <c r="C1317" s="2" t="s">
        <v>569</v>
      </c>
      <c r="D1317" s="2" t="str">
        <f t="shared" si="19"/>
        <v>Error?</v>
      </c>
    </row>
    <row r="1318" spans="1:4" x14ac:dyDescent="0.2">
      <c r="A1318" s="5">
        <v>1257</v>
      </c>
      <c r="B1318" s="1832">
        <f>'Expenditures 15-22'!H174</f>
        <v>3042712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436763</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2605000</v>
      </c>
      <c r="C1329" s="2" t="s">
        <v>569</v>
      </c>
      <c r="D1329" s="2" t="str">
        <f t="shared" si="19"/>
        <v>Error?</v>
      </c>
    </row>
    <row r="1330" spans="1:4" x14ac:dyDescent="0.2">
      <c r="A1330" s="5">
        <v>1269</v>
      </c>
      <c r="B1330" s="1832">
        <f>'Expenditures 15-22'!K171</f>
        <v>949</v>
      </c>
      <c r="C1330" s="2" t="s">
        <v>569</v>
      </c>
      <c r="D1330" s="2" t="str">
        <f t="shared" si="19"/>
        <v>Error?</v>
      </c>
    </row>
    <row r="1331" spans="1:4" x14ac:dyDescent="0.2">
      <c r="A1331" s="5">
        <v>1270</v>
      </c>
      <c r="B1331" s="1832">
        <f>'Expenditures 15-22'!K172</f>
        <v>3042712</v>
      </c>
      <c r="C1331" s="2" t="s">
        <v>569</v>
      </c>
      <c r="D1331" s="2" t="str">
        <f t="shared" si="19"/>
        <v>Error?</v>
      </c>
    </row>
    <row r="1332" spans="1:4" x14ac:dyDescent="0.2">
      <c r="A1332" s="5">
        <v>1271</v>
      </c>
      <c r="B1332" s="1832">
        <f>'Expenditures 15-22'!K174</f>
        <v>3042712</v>
      </c>
      <c r="C1332" s="2" t="s">
        <v>569</v>
      </c>
      <c r="D1332" s="2" t="str">
        <f t="shared" si="19"/>
        <v>Error?</v>
      </c>
    </row>
    <row r="1333" spans="1:4" x14ac:dyDescent="0.2">
      <c r="A1333" s="5">
        <v>1272</v>
      </c>
      <c r="B1333" s="1832">
        <f>'Expenditures 15-22'!K175</f>
        <v>1115</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1106260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1106260</v>
      </c>
      <c r="C1339" s="2" t="s">
        <v>569</v>
      </c>
      <c r="D1339" s="2" t="str">
        <f t="shared" si="19"/>
        <v>Error?</v>
      </c>
    </row>
    <row r="1340" spans="1:4" x14ac:dyDescent="0.2">
      <c r="A1340" s="5">
        <v>1279</v>
      </c>
      <c r="B1340" s="1832">
        <f>'Expenditures 15-22'!C210</f>
        <v>1106260</v>
      </c>
      <c r="C1340" s="2" t="s">
        <v>569</v>
      </c>
      <c r="D1340" s="2" t="str">
        <f t="shared" si="19"/>
        <v>Error?</v>
      </c>
    </row>
    <row r="1341" spans="1:4" x14ac:dyDescent="0.2">
      <c r="A1341" s="5">
        <v>1280</v>
      </c>
      <c r="B1341" s="1832">
        <f>'Expenditures 15-22'!D182</f>
        <v>352360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352360</v>
      </c>
      <c r="C1345" s="2" t="s">
        <v>569</v>
      </c>
      <c r="D1345" s="2" t="str">
        <f t="shared" si="20"/>
        <v>Error?</v>
      </c>
    </row>
    <row r="1346" spans="1:4" x14ac:dyDescent="0.2">
      <c r="A1346" s="5">
        <v>1285</v>
      </c>
      <c r="B1346" s="1832">
        <f>'Expenditures 15-22'!D210</f>
        <v>352360</v>
      </c>
      <c r="C1346" s="2" t="s">
        <v>569</v>
      </c>
      <c r="D1346" s="2" t="str">
        <f t="shared" si="20"/>
        <v>Error?</v>
      </c>
    </row>
    <row r="1347" spans="1:4" x14ac:dyDescent="0.2">
      <c r="A1347" s="5">
        <v>1286</v>
      </c>
      <c r="B1347" s="1832">
        <f>'Expenditures 15-22'!E182</f>
        <v>249598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249598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249598</v>
      </c>
      <c r="C1353" s="2" t="s">
        <v>569</v>
      </c>
      <c r="D1353" s="2" t="str">
        <f t="shared" si="20"/>
        <v>Error?</v>
      </c>
    </row>
    <row r="1354" spans="1:4" x14ac:dyDescent="0.2">
      <c r="A1354" s="5">
        <v>1293</v>
      </c>
      <c r="B1354" s="1832">
        <f>'Expenditures 15-22'!F182</f>
        <v>136129</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136129</v>
      </c>
      <c r="C1358" s="2" t="s">
        <v>569</v>
      </c>
      <c r="D1358" s="2" t="str">
        <f t="shared" si="20"/>
        <v>Error?</v>
      </c>
    </row>
    <row r="1359" spans="1:4" x14ac:dyDescent="0.2">
      <c r="A1359" s="5">
        <v>1298</v>
      </c>
      <c r="B1359" s="1832">
        <f>'Expenditures 15-22'!F210</f>
        <v>136129</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482</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482</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228395</v>
      </c>
      <c r="C1375" s="2" t="s">
        <v>569</v>
      </c>
      <c r="D1375" s="2" t="str">
        <f t="shared" si="20"/>
        <v>Error?</v>
      </c>
    </row>
    <row r="1376" spans="1:4" x14ac:dyDescent="0.2">
      <c r="A1376" s="5">
        <v>1315</v>
      </c>
      <c r="B1376" s="1832">
        <f>'Expenditures 15-22'!H210</f>
        <v>228877</v>
      </c>
      <c r="C1376" s="2" t="s">
        <v>569</v>
      </c>
      <c r="D1376" s="2" t="str">
        <f t="shared" si="20"/>
        <v>Error?</v>
      </c>
    </row>
    <row r="1377" spans="1:4" x14ac:dyDescent="0.2">
      <c r="A1377" s="5">
        <v>1316</v>
      </c>
      <c r="B1377" s="1832">
        <f>'Expenditures 15-22'!K182</f>
        <v>1844829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1844829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228395</v>
      </c>
      <c r="C1387" s="2" t="s">
        <v>569</v>
      </c>
      <c r="D1387" s="2" t="str">
        <f t="shared" si="20"/>
        <v>Error?</v>
      </c>
    </row>
    <row r="1388" spans="1:4" x14ac:dyDescent="0.2">
      <c r="A1388" s="5">
        <v>1327</v>
      </c>
      <c r="B1388" s="1832">
        <f>'Expenditures 15-22'!K210</f>
        <v>2073224</v>
      </c>
      <c r="C1388" s="2" t="s">
        <v>569</v>
      </c>
      <c r="D1388" s="2" t="str">
        <f t="shared" si="20"/>
        <v>Error?</v>
      </c>
    </row>
    <row r="1389" spans="1:4" x14ac:dyDescent="0.2">
      <c r="A1389" s="5">
        <v>1328</v>
      </c>
      <c r="B1389" s="1832">
        <f>'Expenditures 15-22'!K211</f>
        <v>223968</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1140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8778</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5083</v>
      </c>
      <c r="D1408" s="2" t="str">
        <f t="shared" si="21"/>
        <v>Error?</v>
      </c>
    </row>
    <row r="1409" spans="1:4" x14ac:dyDescent="0.2">
      <c r="A1409" s="5">
        <v>1348</v>
      </c>
      <c r="B1409" s="1832">
        <f>'Expenditures 15-22'!D224</f>
        <v>352</v>
      </c>
      <c r="D1409" s="2" t="str">
        <f t="shared" si="21"/>
        <v>Error?</v>
      </c>
    </row>
    <row r="1410" spans="1:4" x14ac:dyDescent="0.2">
      <c r="A1410" s="5">
        <v>1349</v>
      </c>
      <c r="B1410" s="1832">
        <f>'Expenditures 15-22'!D229</f>
        <v>248954</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3994</v>
      </c>
      <c r="D1412" s="2" t="str">
        <f t="shared" si="21"/>
        <v>Error?</v>
      </c>
    </row>
    <row r="1413" spans="1:4" x14ac:dyDescent="0.2">
      <c r="A1413" s="5">
        <v>1352</v>
      </c>
      <c r="B1413" s="1832">
        <f>'Expenditures 15-22'!D234</f>
        <v>22509</v>
      </c>
      <c r="D1413" s="2" t="str">
        <f t="shared" si="21"/>
        <v>Error?</v>
      </c>
    </row>
    <row r="1414" spans="1:4" x14ac:dyDescent="0.2">
      <c r="A1414" s="5">
        <v>1353</v>
      </c>
      <c r="B1414" s="1832">
        <f>'Expenditures 15-22'!D235</f>
        <v>7509</v>
      </c>
      <c r="D1414" s="2" t="str">
        <f t="shared" si="21"/>
        <v>Error?</v>
      </c>
    </row>
    <row r="1415" spans="1:4" x14ac:dyDescent="0.2">
      <c r="A1415" s="5">
        <v>1354</v>
      </c>
      <c r="B1415" s="1832">
        <f>'Expenditures 15-22'!D236</f>
        <v>5695</v>
      </c>
      <c r="D1415" s="2" t="str">
        <f t="shared" si="21"/>
        <v>Error?</v>
      </c>
    </row>
    <row r="1416" spans="1:4" x14ac:dyDescent="0.2">
      <c r="A1416" s="5">
        <v>1355</v>
      </c>
      <c r="B1416" s="1832">
        <f>'Expenditures 15-22'!D237</f>
        <v>3933</v>
      </c>
      <c r="D1416" s="2" t="str">
        <f t="shared" si="21"/>
        <v>Error?</v>
      </c>
    </row>
    <row r="1417" spans="1:4" x14ac:dyDescent="0.2">
      <c r="A1417" s="5">
        <v>1356</v>
      </c>
      <c r="B1417" s="1832">
        <f>'Expenditures 15-22'!D238</f>
        <v>43640</v>
      </c>
      <c r="C1417" s="2" t="s">
        <v>569</v>
      </c>
      <c r="D1417" s="2" t="str">
        <f t="shared" si="21"/>
        <v>Error?</v>
      </c>
    </row>
    <row r="1418" spans="1:4" x14ac:dyDescent="0.2">
      <c r="A1418" s="5">
        <v>1357</v>
      </c>
      <c r="B1418" s="1832">
        <f>'Expenditures 15-22'!D240</f>
        <v>2879</v>
      </c>
      <c r="D1418" s="2" t="str">
        <f t="shared" si="21"/>
        <v>Error?</v>
      </c>
    </row>
    <row r="1419" spans="1:4" x14ac:dyDescent="0.2">
      <c r="A1419" s="5">
        <v>1358</v>
      </c>
      <c r="B1419" s="1832">
        <f>'Expenditures 15-22'!D241</f>
        <v>18403</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21282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20690</v>
      </c>
      <c r="D1423" s="2" t="str">
        <f t="shared" si="21"/>
        <v>Error?</v>
      </c>
    </row>
    <row r="1424" spans="1:4" x14ac:dyDescent="0.2">
      <c r="A1424" s="5">
        <v>1363</v>
      </c>
      <c r="B1424" s="1832">
        <f>'Expenditures 15-22'!D257</f>
        <v>20690</v>
      </c>
      <c r="C1424" s="2" t="s">
        <v>569</v>
      </c>
      <c r="D1424" s="2" t="str">
        <f t="shared" si="21"/>
        <v>Error?</v>
      </c>
    </row>
    <row r="1425" spans="1:4" x14ac:dyDescent="0.2">
      <c r="A1425" s="5">
        <v>1364</v>
      </c>
      <c r="B1425" s="1832">
        <f>'Expenditures 15-22'!D259</f>
        <v>44495</v>
      </c>
      <c r="D1425" s="2" t="str">
        <f t="shared" si="21"/>
        <v>Error?</v>
      </c>
    </row>
    <row r="1426" spans="1:4" x14ac:dyDescent="0.2">
      <c r="A1426" s="5">
        <v>1365</v>
      </c>
      <c r="B1426" s="1832">
        <f>'Expenditures 15-22'!D260</f>
        <v>13402</v>
      </c>
      <c r="D1426" s="2" t="str">
        <f t="shared" si="21"/>
        <v>Error?</v>
      </c>
    </row>
    <row r="1427" spans="1:4" x14ac:dyDescent="0.2">
      <c r="A1427" s="5">
        <v>1366</v>
      </c>
      <c r="B1427" s="1832">
        <f>'Expenditures 15-22'!D261</f>
        <v>57897</v>
      </c>
      <c r="C1427" s="2" t="s">
        <v>569</v>
      </c>
      <c r="D1427" s="2" t="str">
        <f t="shared" si="21"/>
        <v>Error?</v>
      </c>
    </row>
    <row r="1428" spans="1:4" x14ac:dyDescent="0.2">
      <c r="A1428" s="5">
        <v>1367</v>
      </c>
      <c r="B1428" s="1832">
        <f>'Expenditures 15-22'!D263</f>
        <v>15063</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57017</v>
      </c>
      <c r="D1431" s="2" t="str">
        <f t="shared" si="21"/>
        <v>Error?</v>
      </c>
    </row>
    <row r="1432" spans="1:4" x14ac:dyDescent="0.2">
      <c r="A1432" s="5">
        <v>1371</v>
      </c>
      <c r="B1432" s="1832">
        <f>'Expenditures 15-22'!D267</f>
        <v>189434</v>
      </c>
      <c r="D1432" s="2" t="str">
        <f t="shared" si="21"/>
        <v>Error?</v>
      </c>
    </row>
    <row r="1433" spans="1:4" x14ac:dyDescent="0.2">
      <c r="A1433" s="5">
        <v>1372</v>
      </c>
      <c r="B1433" s="1832">
        <f>'Expenditures 15-22'!D268</f>
        <v>8051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269565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12559</v>
      </c>
      <c r="D1439" s="2" t="str">
        <f t="shared" si="21"/>
        <v>Error?</v>
      </c>
    </row>
    <row r="1440" spans="1:4" x14ac:dyDescent="0.2">
      <c r="A1440" s="5">
        <v>1379</v>
      </c>
      <c r="B1440" s="1832">
        <f>'Expenditures 15-22'!D275</f>
        <v>2341</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14900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427974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730286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1140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8778</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5083</v>
      </c>
      <c r="C1472" s="2" t="s">
        <v>569</v>
      </c>
      <c r="D1472" s="2" t="str">
        <f t="shared" si="22"/>
        <v>Error?</v>
      </c>
    </row>
    <row r="1473" spans="1:4" x14ac:dyDescent="0.2">
      <c r="A1473" s="5">
        <v>1412</v>
      </c>
      <c r="B1473" s="1832">
        <f>'Expenditures 15-22'!K224</f>
        <v>352</v>
      </c>
      <c r="C1473" s="2" t="s">
        <v>569</v>
      </c>
      <c r="D1473" s="2" t="str">
        <f t="shared" si="22"/>
        <v>Error?</v>
      </c>
    </row>
    <row r="1474" spans="1:4" x14ac:dyDescent="0.2">
      <c r="A1474" s="5">
        <v>1413</v>
      </c>
      <c r="B1474" s="1832">
        <f>'Expenditures 15-22'!K229</f>
        <v>248954</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3994</v>
      </c>
      <c r="C1476" s="2" t="s">
        <v>569</v>
      </c>
      <c r="D1476" s="2" t="str">
        <f t="shared" si="22"/>
        <v>Error?</v>
      </c>
    </row>
    <row r="1477" spans="1:4" x14ac:dyDescent="0.2">
      <c r="A1477" s="5">
        <v>1416</v>
      </c>
      <c r="B1477" s="1832">
        <f>'Expenditures 15-22'!K234</f>
        <v>22509</v>
      </c>
      <c r="C1477" s="2" t="s">
        <v>569</v>
      </c>
      <c r="D1477" s="2" t="str">
        <f t="shared" si="22"/>
        <v>Error?</v>
      </c>
    </row>
    <row r="1478" spans="1:4" x14ac:dyDescent="0.2">
      <c r="A1478" s="5">
        <v>1417</v>
      </c>
      <c r="B1478" s="1832">
        <f>'Expenditures 15-22'!K235</f>
        <v>7509</v>
      </c>
      <c r="C1478" s="2" t="s">
        <v>569</v>
      </c>
      <c r="D1478" s="2" t="str">
        <f t="shared" si="22"/>
        <v>Error?</v>
      </c>
    </row>
    <row r="1479" spans="1:4" x14ac:dyDescent="0.2">
      <c r="A1479" s="5">
        <v>1418</v>
      </c>
      <c r="B1479" s="1832">
        <f>'Expenditures 15-22'!K236</f>
        <v>5695</v>
      </c>
      <c r="C1479" s="2" t="s">
        <v>569</v>
      </c>
      <c r="D1479" s="2" t="str">
        <f t="shared" si="22"/>
        <v>Error?</v>
      </c>
    </row>
    <row r="1480" spans="1:4" x14ac:dyDescent="0.2">
      <c r="A1480" s="5">
        <v>1419</v>
      </c>
      <c r="B1480" s="1832">
        <f>'Expenditures 15-22'!K237</f>
        <v>3933</v>
      </c>
      <c r="C1480" s="2" t="s">
        <v>569</v>
      </c>
      <c r="D1480" s="2" t="str">
        <f t="shared" si="22"/>
        <v>Error?</v>
      </c>
    </row>
    <row r="1481" spans="1:4" x14ac:dyDescent="0.2">
      <c r="A1481" s="5">
        <v>1420</v>
      </c>
      <c r="B1481" s="1832">
        <f>'Expenditures 15-22'!K238</f>
        <v>43640</v>
      </c>
      <c r="C1481" s="2" t="s">
        <v>569</v>
      </c>
      <c r="D1481" s="2" t="str">
        <f t="shared" si="22"/>
        <v>Error?</v>
      </c>
    </row>
    <row r="1482" spans="1:4" x14ac:dyDescent="0.2">
      <c r="A1482" s="5">
        <v>1421</v>
      </c>
      <c r="B1482" s="1832">
        <f>'Expenditures 15-22'!K240</f>
        <v>2879</v>
      </c>
      <c r="C1482" s="2" t="s">
        <v>569</v>
      </c>
      <c r="D1482" s="2" t="str">
        <f t="shared" si="22"/>
        <v>Error?</v>
      </c>
    </row>
    <row r="1483" spans="1:4" x14ac:dyDescent="0.2">
      <c r="A1483" s="5">
        <v>1422</v>
      </c>
      <c r="B1483" s="1832">
        <f>'Expenditures 15-22'!K241</f>
        <v>18403</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21282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20690</v>
      </c>
      <c r="C1487" s="2" t="s">
        <v>569</v>
      </c>
      <c r="D1487" s="2" t="str">
        <f t="shared" si="22"/>
        <v>Error?</v>
      </c>
    </row>
    <row r="1488" spans="1:4" x14ac:dyDescent="0.2">
      <c r="A1488" s="5">
        <v>1427</v>
      </c>
      <c r="B1488" s="1832">
        <f>'Expenditures 15-22'!K257</f>
        <v>20690</v>
      </c>
      <c r="C1488" s="2" t="s">
        <v>569</v>
      </c>
      <c r="D1488" s="2" t="str">
        <f t="shared" si="22"/>
        <v>Error?</v>
      </c>
    </row>
    <row r="1489" spans="1:4" x14ac:dyDescent="0.2">
      <c r="A1489" s="5">
        <v>1428</v>
      </c>
      <c r="B1489" s="1832">
        <f>'Expenditures 15-22'!K259</f>
        <v>44495</v>
      </c>
      <c r="C1489" s="2" t="s">
        <v>569</v>
      </c>
      <c r="D1489" s="2" t="str">
        <f t="shared" si="22"/>
        <v>Error?</v>
      </c>
    </row>
    <row r="1490" spans="1:4" x14ac:dyDescent="0.2">
      <c r="A1490" s="5">
        <v>1429</v>
      </c>
      <c r="B1490" s="1832">
        <f>'Expenditures 15-22'!K260</f>
        <v>13402</v>
      </c>
      <c r="C1490" s="2" t="s">
        <v>569</v>
      </c>
      <c r="D1490" s="2" t="str">
        <f t="shared" si="22"/>
        <v>Error?</v>
      </c>
    </row>
    <row r="1491" spans="1:4" x14ac:dyDescent="0.2">
      <c r="A1491" s="5">
        <v>1430</v>
      </c>
      <c r="B1491" s="1832">
        <f>'Expenditures 15-22'!K261</f>
        <v>57897</v>
      </c>
      <c r="C1491" s="2" t="s">
        <v>569</v>
      </c>
      <c r="D1491" s="2" t="str">
        <f t="shared" si="22"/>
        <v>Error?</v>
      </c>
    </row>
    <row r="1492" spans="1:4" x14ac:dyDescent="0.2">
      <c r="A1492" s="5">
        <v>1431</v>
      </c>
      <c r="B1492" s="1832">
        <f>'Expenditures 15-22'!K263</f>
        <v>15063</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57017</v>
      </c>
      <c r="C1495" s="2" t="s">
        <v>569</v>
      </c>
      <c r="D1495" s="2" t="str">
        <f t="shared" si="22"/>
        <v>Error?</v>
      </c>
    </row>
    <row r="1496" spans="1:4" x14ac:dyDescent="0.2">
      <c r="A1496" s="5">
        <v>1435</v>
      </c>
      <c r="B1496" s="1832">
        <f>'Expenditures 15-22'!K267</f>
        <v>189434</v>
      </c>
      <c r="C1496" s="2" t="s">
        <v>569</v>
      </c>
      <c r="D1496" s="2" t="str">
        <f t="shared" si="22"/>
        <v>Error?</v>
      </c>
    </row>
    <row r="1497" spans="1:4" x14ac:dyDescent="0.2">
      <c r="A1497" s="5">
        <v>1436</v>
      </c>
      <c r="B1497" s="1832">
        <f>'Expenditures 15-22'!K268</f>
        <v>8051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269565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12559</v>
      </c>
      <c r="C1503" s="2" t="s">
        <v>569</v>
      </c>
      <c r="D1503" s="2" t="str">
        <f t="shared" si="22"/>
        <v>Error?</v>
      </c>
    </row>
    <row r="1504" spans="1:4" x14ac:dyDescent="0.2">
      <c r="A1504" s="5">
        <v>1443</v>
      </c>
      <c r="B1504" s="1832">
        <f>'Expenditures 15-22'!K275</f>
        <v>2341</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14900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427974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730286</v>
      </c>
      <c r="C1517" s="2" t="s">
        <v>569</v>
      </c>
      <c r="D1517" s="2" t="str">
        <f t="shared" si="22"/>
        <v>Error?</v>
      </c>
    </row>
    <row r="1518" spans="1:4" x14ac:dyDescent="0.2">
      <c r="A1518" s="5">
        <v>1457</v>
      </c>
      <c r="B1518" s="1832">
        <f>'Expenditures 15-22'!K296</f>
        <v>62409</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188250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188250</v>
      </c>
      <c r="C1535" s="2" t="s">
        <v>569</v>
      </c>
      <c r="D1535" s="2" t="str">
        <f t="shared" ref="D1535:D1598" si="23">IF(ISBLANK(B1535),"OK",IF(A1535-B1535=0,"OK","Error?"))</f>
        <v>Error?</v>
      </c>
    </row>
    <row r="1536" spans="1:4" x14ac:dyDescent="0.2">
      <c r="A1536" s="5">
        <v>1475</v>
      </c>
      <c r="B1536" s="1832">
        <f>'Expenditures 15-22'!E312</f>
        <v>188250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1922527</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1922527</v>
      </c>
      <c r="C1547" s="2" t="s">
        <v>569</v>
      </c>
      <c r="D1547" s="2" t="str">
        <f t="shared" si="23"/>
        <v>Error?</v>
      </c>
    </row>
    <row r="1548" spans="1:4" x14ac:dyDescent="0.2">
      <c r="A1548" s="5">
        <v>1487</v>
      </c>
      <c r="B1548" s="1832">
        <f>'Expenditures 15-22'!G312</f>
        <v>1922527</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2110777</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2110777</v>
      </c>
      <c r="C1559" s="2" t="s">
        <v>569</v>
      </c>
      <c r="D1559" s="2" t="str">
        <f t="shared" si="23"/>
        <v>Error?</v>
      </c>
    </row>
    <row r="1560" spans="1:4" x14ac:dyDescent="0.2">
      <c r="A1560" s="5">
        <v>1499</v>
      </c>
      <c r="B1560" s="1832">
        <f>'Expenditures 15-22'!K312</f>
        <v>2110777</v>
      </c>
      <c r="C1560" s="2" t="s">
        <v>569</v>
      </c>
      <c r="D1560" s="2" t="str">
        <f t="shared" si="23"/>
        <v>Error?</v>
      </c>
    </row>
    <row r="1561" spans="1:4" x14ac:dyDescent="0.2">
      <c r="A1561" s="5">
        <v>1500</v>
      </c>
      <c r="B1561" s="1832">
        <f>'Expenditures 15-22'!K313</f>
        <v>-1942779</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21863523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21926139</v>
      </c>
      <c r="C1630" s="2" t="s">
        <v>569</v>
      </c>
      <c r="D1630" s="2" t="str">
        <f t="shared" si="24"/>
        <v>Error?</v>
      </c>
    </row>
    <row r="1631" spans="1:4" x14ac:dyDescent="0.2">
      <c r="A1631" s="5">
        <v>1570</v>
      </c>
      <c r="B1631" s="1832">
        <f>'Acct Summary 7-8'!D79</f>
        <v>3017917</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3242078</v>
      </c>
      <c r="C1644" s="2" t="s">
        <v>569</v>
      </c>
      <c r="D1644" s="2" t="str">
        <f t="shared" si="24"/>
        <v>Error?</v>
      </c>
    </row>
    <row r="1645" spans="1:4" x14ac:dyDescent="0.2">
      <c r="A1645" s="5">
        <v>1584</v>
      </c>
      <c r="B1645" s="1832">
        <f>'Acct Summary 7-8'!E79</f>
        <v>2305329</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2306444</v>
      </c>
      <c r="C1658" s="2" t="s">
        <v>569</v>
      </c>
      <c r="D1658" s="2" t="str">
        <f t="shared" si="24"/>
        <v>Error?</v>
      </c>
    </row>
    <row r="1659" spans="1:4" x14ac:dyDescent="0.2">
      <c r="A1659" s="5">
        <v>1598</v>
      </c>
      <c r="B1659" s="1832">
        <f>'Acct Summary 7-8'!F79</f>
        <v>2302434</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2526402</v>
      </c>
      <c r="C1672" s="2" t="s">
        <v>569</v>
      </c>
      <c r="D1672" s="2" t="str">
        <f t="shared" si="25"/>
        <v>Error?</v>
      </c>
    </row>
    <row r="1673" spans="1:4" x14ac:dyDescent="0.2">
      <c r="A1673" s="5">
        <v>1612</v>
      </c>
      <c r="B1673" s="1832">
        <f>'Acct Summary 7-8'!G79</f>
        <v>267419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329828</v>
      </c>
      <c r="C1686" s="2" t="s">
        <v>569</v>
      </c>
      <c r="D1686" s="2" t="str">
        <f t="shared" si="25"/>
        <v>Error?</v>
      </c>
    </row>
    <row r="1687" spans="1:4" x14ac:dyDescent="0.2">
      <c r="A1687" s="5">
        <v>1626</v>
      </c>
      <c r="B1687" s="1832">
        <f>'Acct Summary 7-8'!H79</f>
        <v>779932</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87153</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20244393</v>
      </c>
      <c r="C1744" s="2" t="s">
        <v>569</v>
      </c>
      <c r="D1744" s="2" t="str">
        <f t="shared" si="26"/>
        <v>Error?</v>
      </c>
    </row>
    <row r="1745" spans="1:5" x14ac:dyDescent="0.2">
      <c r="A1745" s="5">
        <v>1684</v>
      </c>
      <c r="B1745" s="1832">
        <f>'Tax Sched 23'!B5</f>
        <v>2487307</v>
      </c>
      <c r="C1745" s="2" t="s">
        <v>569</v>
      </c>
      <c r="D1745" s="2" t="str">
        <f t="shared" si="26"/>
        <v>Error?</v>
      </c>
    </row>
    <row r="1746" spans="1:5" x14ac:dyDescent="0.2">
      <c r="A1746" s="5">
        <v>1685</v>
      </c>
      <c r="B1746" s="1832">
        <f>'Tax Sched 23'!B6</f>
        <v>3020950</v>
      </c>
      <c r="C1746" s="2" t="s">
        <v>569</v>
      </c>
      <c r="D1746" s="2" t="str">
        <f t="shared" si="26"/>
        <v>Error?</v>
      </c>
    </row>
    <row r="1747" spans="1:5" x14ac:dyDescent="0.2">
      <c r="A1747" s="5">
        <v>1686</v>
      </c>
      <c r="B1747" s="1832">
        <f>'Tax Sched 23'!B7</f>
        <v>1222523</v>
      </c>
      <c r="C1747" s="2" t="s">
        <v>569</v>
      </c>
      <c r="D1747" s="2" t="str">
        <f t="shared" si="26"/>
        <v>Error?</v>
      </c>
    </row>
    <row r="1748" spans="1:5" x14ac:dyDescent="0.2">
      <c r="A1748" s="5">
        <v>1687</v>
      </c>
      <c r="B1748" s="1832">
        <f>'Tax Sched 23'!B8</f>
        <v>727025</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27754990</v>
      </c>
      <c r="C1759" s="2" t="s">
        <v>569</v>
      </c>
      <c r="D1759" s="2" t="str">
        <f t="shared" si="26"/>
        <v>Error?</v>
      </c>
    </row>
    <row r="1760" spans="1:5" x14ac:dyDescent="0.2">
      <c r="A1760" s="5">
        <v>1699</v>
      </c>
      <c r="B1760" s="1832">
        <f>'Tax Sched 23'!D4</f>
        <v>11395067</v>
      </c>
      <c r="C1760" s="2" t="s">
        <v>569</v>
      </c>
      <c r="D1760" s="2" t="str">
        <f t="shared" si="26"/>
        <v>Error?</v>
      </c>
    </row>
    <row r="1761" spans="1:7" x14ac:dyDescent="0.2">
      <c r="A1761" s="5">
        <v>1700</v>
      </c>
      <c r="B1761" s="1832">
        <f>'Tax Sched 23'!D5</f>
        <v>1405611</v>
      </c>
      <c r="C1761" s="2" t="s">
        <v>569</v>
      </c>
      <c r="D1761" s="2" t="str">
        <f t="shared" si="26"/>
        <v>Error?</v>
      </c>
    </row>
    <row r="1762" spans="1:7" s="8" customFormat="1" x14ac:dyDescent="0.2">
      <c r="A1762" s="5">
        <v>1701</v>
      </c>
      <c r="B1762" s="1832">
        <f>'Tax Sched 23'!D6</f>
        <v>1717793</v>
      </c>
      <c r="C1762" s="2" t="s">
        <v>569</v>
      </c>
      <c r="D1762" s="2" t="str">
        <f t="shared" si="26"/>
        <v>Error?</v>
      </c>
      <c r="E1762" s="9"/>
      <c r="G1762"/>
    </row>
    <row r="1763" spans="1:7" x14ac:dyDescent="0.2">
      <c r="A1763" s="5">
        <v>1702</v>
      </c>
      <c r="B1763" s="1832">
        <f>'Tax Sched 23'!D7</f>
        <v>690864</v>
      </c>
      <c r="C1763" s="2" t="s">
        <v>569</v>
      </c>
      <c r="D1763" s="2" t="str">
        <f t="shared" si="26"/>
        <v>Error?</v>
      </c>
    </row>
    <row r="1764" spans="1:7" x14ac:dyDescent="0.2">
      <c r="A1764" s="5">
        <v>1703</v>
      </c>
      <c r="B1764" s="1832">
        <f>'Tax Sched 23'!D8</f>
        <v>409906</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15651049</v>
      </c>
      <c r="C1775" s="2" t="s">
        <v>569</v>
      </c>
      <c r="D1775" s="2" t="str">
        <f t="shared" si="26"/>
        <v>Error?</v>
      </c>
    </row>
    <row r="1776" spans="1:7" x14ac:dyDescent="0.2">
      <c r="A1776" s="5">
        <v>1715</v>
      </c>
      <c r="B1776" s="1832">
        <f>'Tax Sched 23'!C4</f>
        <v>8849326</v>
      </c>
      <c r="D1776" s="2" t="str">
        <f t="shared" si="26"/>
        <v>Error?</v>
      </c>
    </row>
    <row r="1777" spans="1:4" x14ac:dyDescent="0.2">
      <c r="A1777" s="5">
        <v>1716</v>
      </c>
      <c r="B1777" s="1832">
        <f>'Tax Sched 23'!C5</f>
        <v>1081696</v>
      </c>
      <c r="D1777" s="2" t="str">
        <f t="shared" si="26"/>
        <v>Error?</v>
      </c>
    </row>
    <row r="1778" spans="1:4" x14ac:dyDescent="0.2">
      <c r="A1778" s="5">
        <v>1717</v>
      </c>
      <c r="B1778" s="1832">
        <f>'Tax Sched 23'!C6</f>
        <v>1303157</v>
      </c>
      <c r="D1778" s="2" t="str">
        <f t="shared" si="26"/>
        <v>Error?</v>
      </c>
    </row>
    <row r="1779" spans="1:4" x14ac:dyDescent="0.2">
      <c r="A1779" s="5">
        <v>1718</v>
      </c>
      <c r="B1779" s="1832">
        <f>'Tax Sched 23'!C7</f>
        <v>531659</v>
      </c>
      <c r="D1779" s="2" t="str">
        <f t="shared" si="26"/>
        <v>Error?</v>
      </c>
    </row>
    <row r="1780" spans="1:4" x14ac:dyDescent="0.2">
      <c r="A1780" s="5">
        <v>1719</v>
      </c>
      <c r="B1780" s="1832">
        <f>'Tax Sched 23'!C8</f>
        <v>317119</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12103941</v>
      </c>
      <c r="C1791" s="2" t="s">
        <v>569</v>
      </c>
      <c r="D1791" s="2" t="str">
        <f t="shared" ref="D1791:D1854" si="27">IF(ISBLANK(B1791),"OK",IF(A1791-B1791=0,"OK","Error?"))</f>
        <v>Error?</v>
      </c>
    </row>
    <row r="1792" spans="1:4" x14ac:dyDescent="0.2">
      <c r="A1792" s="5">
        <v>1731</v>
      </c>
      <c r="B1792" s="1832">
        <f>'Tax Sched 23'!F4</f>
        <v>12009210</v>
      </c>
      <c r="C1792" s="2" t="s">
        <v>569</v>
      </c>
      <c r="D1792" s="2" t="str">
        <f t="shared" si="27"/>
        <v>Error?</v>
      </c>
    </row>
    <row r="1793" spans="1:4" x14ac:dyDescent="0.2">
      <c r="A1793" s="5">
        <v>1732</v>
      </c>
      <c r="B1793" s="1832">
        <f>'Tax Sched 23'!F5</f>
        <v>1467943</v>
      </c>
      <c r="C1793" s="2" t="s">
        <v>569</v>
      </c>
      <c r="D1793" s="2" t="str">
        <f t="shared" si="27"/>
        <v>Error?</v>
      </c>
    </row>
    <row r="1794" spans="1:4" x14ac:dyDescent="0.2">
      <c r="A1794" s="5">
        <v>1733</v>
      </c>
      <c r="B1794" s="1832">
        <f>'Tax Sched 23'!F6</f>
        <v>1768483</v>
      </c>
      <c r="C1794" s="2" t="s">
        <v>569</v>
      </c>
      <c r="D1794" s="2" t="str">
        <f t="shared" si="27"/>
        <v>Error?</v>
      </c>
    </row>
    <row r="1795" spans="1:4" x14ac:dyDescent="0.2">
      <c r="A1795" s="5">
        <v>1734</v>
      </c>
      <c r="B1795" s="1832">
        <f>'Tax Sched 23'!F7</f>
        <v>721501</v>
      </c>
      <c r="C1795" s="2" t="s">
        <v>569</v>
      </c>
      <c r="D1795" s="2" t="str">
        <f t="shared" si="27"/>
        <v>Error?</v>
      </c>
    </row>
    <row r="1796" spans="1:4" x14ac:dyDescent="0.2">
      <c r="A1796" s="5">
        <v>1735</v>
      </c>
      <c r="B1796" s="1832">
        <f>'Tax Sched 23'!F8</f>
        <v>430353</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16425966</v>
      </c>
      <c r="C1807" s="2" t="s">
        <v>569</v>
      </c>
      <c r="D1807" s="2" t="str">
        <f t="shared" si="27"/>
        <v>Error?</v>
      </c>
    </row>
    <row r="1808" spans="1:4" x14ac:dyDescent="0.2">
      <c r="A1808" s="5">
        <v>1747</v>
      </c>
      <c r="B1808" s="1832">
        <f>'Tax Sched 23'!E4</f>
        <v>20858536</v>
      </c>
      <c r="D1808" s="2" t="str">
        <f t="shared" si="27"/>
        <v>Error?</v>
      </c>
    </row>
    <row r="1809" spans="1:4" x14ac:dyDescent="0.2">
      <c r="A1809" s="5">
        <v>1748</v>
      </c>
      <c r="B1809" s="1832">
        <f>'Tax Sched 23'!E5</f>
        <v>2549639</v>
      </c>
      <c r="D1809" s="2" t="str">
        <f t="shared" si="27"/>
        <v>Error?</v>
      </c>
    </row>
    <row r="1810" spans="1:4" x14ac:dyDescent="0.2">
      <c r="A1810" s="5">
        <v>1749</v>
      </c>
      <c r="B1810" s="1832">
        <f>'Tax Sched 23'!E6</f>
        <v>3071640</v>
      </c>
      <c r="D1810" s="2" t="str">
        <f t="shared" si="27"/>
        <v>Error?</v>
      </c>
    </row>
    <row r="1811" spans="1:4" x14ac:dyDescent="0.2">
      <c r="A1811" s="5">
        <v>1750</v>
      </c>
      <c r="B1811" s="1832">
        <f>'Tax Sched 23'!E7</f>
        <v>1253160</v>
      </c>
      <c r="D1811" s="2" t="str">
        <f t="shared" si="27"/>
        <v>Error?</v>
      </c>
    </row>
    <row r="1812" spans="1:4" x14ac:dyDescent="0.2">
      <c r="A1812" s="5">
        <v>1751</v>
      </c>
      <c r="B1812" s="1832">
        <f>'Tax Sched 23'!E8</f>
        <v>747472</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28529907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14431409</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52792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52792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52792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4698697</v>
      </c>
      <c r="D2008" s="2" t="str">
        <f t="shared" si="30"/>
        <v>Error?</v>
      </c>
    </row>
    <row r="2009" spans="1:4" x14ac:dyDescent="0.2">
      <c r="A2009" s="5">
        <v>1948</v>
      </c>
      <c r="B2009" s="1832">
        <f>'Cap Outlay Deprec 26'!C8</f>
        <v>53363883</v>
      </c>
      <c r="D2009" s="2" t="str">
        <f t="shared" si="30"/>
        <v>Error?</v>
      </c>
    </row>
    <row r="2010" spans="1:4" x14ac:dyDescent="0.2">
      <c r="A2010" s="5">
        <v>1949</v>
      </c>
      <c r="B2010" s="1832">
        <f>'Cap Outlay Deprec 26'!C10</f>
        <v>4057493</v>
      </c>
      <c r="D2010" s="2" t="str">
        <f t="shared" si="30"/>
        <v>Error?</v>
      </c>
    </row>
    <row r="2011" spans="1:4" x14ac:dyDescent="0.2">
      <c r="A2011" s="5">
        <v>1950</v>
      </c>
      <c r="B2011" s="1832">
        <f>'Cap Outlay Deprec 26'!C12</f>
        <v>0</v>
      </c>
      <c r="D2011" s="2" t="str">
        <f t="shared" si="30"/>
        <v>Error?</v>
      </c>
    </row>
    <row r="2012" spans="1:4" x14ac:dyDescent="0.2">
      <c r="A2012" s="5">
        <v>1951</v>
      </c>
      <c r="B2012" s="1832">
        <f>'Cap Outlay Deprec 26'!C13</f>
        <v>8104797</v>
      </c>
      <c r="D2012" s="2" t="str">
        <f t="shared" si="30"/>
        <v>Error?</v>
      </c>
    </row>
    <row r="2013" spans="1:4" x14ac:dyDescent="0.2">
      <c r="A2013" s="5">
        <v>1952</v>
      </c>
      <c r="B2013" s="1832">
        <f>'Cap Outlay Deprec 26'!C16</f>
        <v>70619552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1877423</v>
      </c>
      <c r="D2015" s="2" t="str">
        <f t="shared" si="30"/>
        <v>Error?</v>
      </c>
    </row>
    <row r="2016" spans="1:4" x14ac:dyDescent="0.2">
      <c r="A2016" s="5">
        <v>1955</v>
      </c>
      <c r="B2016" s="1832">
        <f>'Cap Outlay Deprec 26'!D10</f>
        <v>40700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705559</v>
      </c>
      <c r="D2018" s="2" t="str">
        <f t="shared" si="30"/>
        <v>Error?</v>
      </c>
    </row>
    <row r="2019" spans="1:4" x14ac:dyDescent="0.2">
      <c r="A2019" s="5">
        <v>1958</v>
      </c>
      <c r="B2019" s="1832">
        <f>'Cap Outlay Deprec 26'!D16</f>
        <v>3688957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3849</v>
      </c>
      <c r="D2024" s="2" t="str">
        <f t="shared" si="30"/>
        <v>Error?</v>
      </c>
    </row>
    <row r="2025" spans="1:4" x14ac:dyDescent="0.2">
      <c r="A2025" s="5">
        <v>1964</v>
      </c>
      <c r="B2025" s="1832">
        <f>'Cap Outlay Deprec 26'!E16</f>
        <v>398530</v>
      </c>
      <c r="C2025" s="2" t="s">
        <v>569</v>
      </c>
      <c r="D2025" s="2" t="str">
        <f t="shared" si="30"/>
        <v>Error?</v>
      </c>
    </row>
    <row r="2026" spans="1:4" x14ac:dyDescent="0.2">
      <c r="A2026" s="5">
        <v>1965</v>
      </c>
      <c r="B2026" s="1832">
        <f>'Cap Outlay Deprec 26'!F5</f>
        <v>4698697</v>
      </c>
      <c r="C2026" s="2" t="s">
        <v>569</v>
      </c>
      <c r="D2026" s="2" t="str">
        <f t="shared" si="30"/>
        <v>Error?</v>
      </c>
    </row>
    <row r="2027" spans="1:4" x14ac:dyDescent="0.2">
      <c r="A2027" s="5">
        <v>1966</v>
      </c>
      <c r="B2027" s="1832">
        <f>'Cap Outlay Deprec 26'!F8</f>
        <v>55241306</v>
      </c>
      <c r="C2027" s="2" t="s">
        <v>569</v>
      </c>
      <c r="D2027" s="2" t="str">
        <f t="shared" si="30"/>
        <v>Error?</v>
      </c>
    </row>
    <row r="2028" spans="1:4" x14ac:dyDescent="0.2">
      <c r="A2028" s="5">
        <v>1967</v>
      </c>
      <c r="B2028" s="1832">
        <f>'Cap Outlay Deprec 26'!F10</f>
        <v>4098193</v>
      </c>
      <c r="C2028" s="2" t="s">
        <v>569</v>
      </c>
      <c r="D2028" s="2" t="str">
        <f t="shared" si="30"/>
        <v>Error?</v>
      </c>
    </row>
    <row r="2029" spans="1:4" x14ac:dyDescent="0.2">
      <c r="A2029" s="5">
        <v>1968</v>
      </c>
      <c r="B2029" s="1832">
        <f>'Cap Outlay Deprec 26'!F12</f>
        <v>0</v>
      </c>
      <c r="C2029" s="2" t="s">
        <v>569</v>
      </c>
      <c r="D2029" s="2" t="str">
        <f t="shared" si="30"/>
        <v>Error?</v>
      </c>
    </row>
    <row r="2030" spans="1:4" x14ac:dyDescent="0.2">
      <c r="A2030" s="5">
        <v>1969</v>
      </c>
      <c r="B2030" s="1832">
        <f>'Cap Outlay Deprec 26'!F13</f>
        <v>8806507</v>
      </c>
      <c r="C2030" s="2" t="s">
        <v>569</v>
      </c>
      <c r="D2030" s="2" t="str">
        <f t="shared" si="30"/>
        <v>Error?</v>
      </c>
    </row>
    <row r="2031" spans="1:4" x14ac:dyDescent="0.2">
      <c r="A2031" s="5">
        <v>1970</v>
      </c>
      <c r="B2031" s="1832">
        <f>'Cap Outlay Deprec 26'!F16</f>
        <v>73909979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17485075</v>
      </c>
      <c r="D2033" s="2" t="str">
        <f t="shared" si="30"/>
        <v>Error?</v>
      </c>
    </row>
    <row r="2034" spans="1:4" x14ac:dyDescent="0.2">
      <c r="A2034" s="5">
        <v>1973</v>
      </c>
      <c r="B2034" s="1832">
        <f>'Cap Outlay Deprec 26'!H10</f>
        <v>2465404</v>
      </c>
      <c r="D2034" s="2" t="str">
        <f t="shared" si="30"/>
        <v>Error?</v>
      </c>
    </row>
    <row r="2035" spans="1:4" x14ac:dyDescent="0.2">
      <c r="A2035" s="5">
        <v>1974</v>
      </c>
      <c r="B2035" s="1832">
        <f>'Cap Outlay Deprec 26'!H12</f>
        <v>0</v>
      </c>
      <c r="D2035" s="2" t="str">
        <f t="shared" si="30"/>
        <v>Error?</v>
      </c>
    </row>
    <row r="2036" spans="1:4" x14ac:dyDescent="0.2">
      <c r="A2036" s="5">
        <v>1975</v>
      </c>
      <c r="B2036" s="1832">
        <f>'Cap Outlay Deprec 26'!H13</f>
        <v>4756593</v>
      </c>
      <c r="D2036" s="2" t="str">
        <f t="shared" si="30"/>
        <v>Error?</v>
      </c>
    </row>
    <row r="2037" spans="1:4" x14ac:dyDescent="0.2">
      <c r="A2037" s="5">
        <v>1976</v>
      </c>
      <c r="B2037" s="1832">
        <f>'Cap Outlay Deprec 26'!H16</f>
        <v>24707072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1420891</v>
      </c>
      <c r="D2039" s="2" t="str">
        <f t="shared" si="30"/>
        <v>Error?</v>
      </c>
    </row>
    <row r="2040" spans="1:4" x14ac:dyDescent="0.2">
      <c r="A2040" s="5">
        <v>1979</v>
      </c>
      <c r="B2040" s="1832">
        <f>'Cap Outlay Deprec 26'!I10</f>
        <v>176154</v>
      </c>
      <c r="D2040" s="2" t="str">
        <f t="shared" si="30"/>
        <v>Error?</v>
      </c>
    </row>
    <row r="2041" spans="1:4" x14ac:dyDescent="0.2">
      <c r="A2041" s="5">
        <v>1980</v>
      </c>
      <c r="B2041" s="1832">
        <f>'Cap Outlay Deprec 26'!I12</f>
        <v>0</v>
      </c>
      <c r="D2041" s="2" t="str">
        <f t="shared" si="30"/>
        <v>Error?</v>
      </c>
    </row>
    <row r="2042" spans="1:4" x14ac:dyDescent="0.2">
      <c r="A2042" s="5">
        <v>1981</v>
      </c>
      <c r="B2042" s="1832">
        <f>'Cap Outlay Deprec 26'!I13</f>
        <v>769144</v>
      </c>
      <c r="D2042" s="2" t="str">
        <f t="shared" si="30"/>
        <v>Error?</v>
      </c>
    </row>
    <row r="2043" spans="1:4" x14ac:dyDescent="0.2">
      <c r="A2043" s="5">
        <v>1982</v>
      </c>
      <c r="B2043" s="1832">
        <f>'Cap Outlay Deprec 26'!I16</f>
        <v>2366189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18905966</v>
      </c>
      <c r="C2051" s="2" t="s">
        <v>569</v>
      </c>
      <c r="D2051" s="2" t="str">
        <f t="shared" si="31"/>
        <v>Error?</v>
      </c>
    </row>
    <row r="2052" spans="1:4" x14ac:dyDescent="0.2">
      <c r="A2052" s="5">
        <v>1991</v>
      </c>
      <c r="B2052" s="1832">
        <f>'Cap Outlay Deprec 26'!K10</f>
        <v>2641558</v>
      </c>
      <c r="C2052" s="2" t="s">
        <v>569</v>
      </c>
      <c r="D2052" s="2" t="str">
        <f t="shared" si="31"/>
        <v>Error?</v>
      </c>
    </row>
    <row r="2053" spans="1:4" x14ac:dyDescent="0.2">
      <c r="A2053" s="5">
        <v>1992</v>
      </c>
      <c r="B2053" s="1832">
        <f>'Cap Outlay Deprec 26'!K12</f>
        <v>0</v>
      </c>
      <c r="C2053" s="2" t="s">
        <v>569</v>
      </c>
      <c r="D2053" s="2" t="str">
        <f t="shared" si="31"/>
        <v>Error?</v>
      </c>
    </row>
    <row r="2054" spans="1:4" x14ac:dyDescent="0.2">
      <c r="A2054" s="5">
        <v>1993</v>
      </c>
      <c r="B2054" s="1832">
        <f>'Cap Outlay Deprec 26'!K13</f>
        <v>5525737</v>
      </c>
      <c r="C2054" s="2" t="s">
        <v>569</v>
      </c>
      <c r="D2054" s="2" t="str">
        <f t="shared" si="31"/>
        <v>Error?</v>
      </c>
    </row>
    <row r="2055" spans="1:4" x14ac:dyDescent="0.2">
      <c r="A2055" s="5">
        <v>1994</v>
      </c>
      <c r="B2055" s="1832">
        <f>'Cap Outlay Deprec 26'!K16</f>
        <v>27073261</v>
      </c>
      <c r="C2055" s="2" t="s">
        <v>569</v>
      </c>
      <c r="D2055" s="2" t="str">
        <f t="shared" si="31"/>
        <v>Error?</v>
      </c>
    </row>
    <row r="2056" spans="1:4" x14ac:dyDescent="0.2">
      <c r="A2056" s="5">
        <v>1995</v>
      </c>
      <c r="B2056" s="1832">
        <f>'Cap Outlay Deprec 26'!L5</f>
        <v>4698697</v>
      </c>
      <c r="C2056" s="2" t="s">
        <v>569</v>
      </c>
      <c r="D2056" s="2" t="str">
        <f t="shared" si="31"/>
        <v>Error?</v>
      </c>
    </row>
    <row r="2057" spans="1:4" x14ac:dyDescent="0.2">
      <c r="A2057" s="5">
        <v>1996</v>
      </c>
      <c r="B2057" s="1832">
        <f>'Cap Outlay Deprec 26'!L8</f>
        <v>36335340</v>
      </c>
      <c r="C2057" s="2" t="s">
        <v>569</v>
      </c>
      <c r="D2057" s="2" t="str">
        <f t="shared" si="31"/>
        <v>Error?</v>
      </c>
    </row>
    <row r="2058" spans="1:4" x14ac:dyDescent="0.2">
      <c r="A2058" s="5">
        <v>1997</v>
      </c>
      <c r="B2058" s="1832">
        <f>'Cap Outlay Deprec 26'!L10</f>
        <v>1456635</v>
      </c>
      <c r="C2058" s="2" t="s">
        <v>569</v>
      </c>
      <c r="D2058" s="2" t="str">
        <f t="shared" si="31"/>
        <v>Error?</v>
      </c>
    </row>
    <row r="2059" spans="1:4" x14ac:dyDescent="0.2">
      <c r="A2059" s="5">
        <v>1998</v>
      </c>
      <c r="B2059" s="1832">
        <f>'Cap Outlay Deprec 26'!L12</f>
        <v>0</v>
      </c>
      <c r="C2059" s="2" t="s">
        <v>569</v>
      </c>
      <c r="D2059" s="2" t="str">
        <f t="shared" si="31"/>
        <v>Error?</v>
      </c>
    </row>
    <row r="2060" spans="1:4" x14ac:dyDescent="0.2">
      <c r="A2060" s="5">
        <v>1999</v>
      </c>
      <c r="B2060" s="1832">
        <f>'Cap Outlay Deprec 26'!L13</f>
        <v>3280770</v>
      </c>
      <c r="C2060" s="2" t="s">
        <v>569</v>
      </c>
      <c r="D2060" s="2" t="str">
        <f t="shared" si="31"/>
        <v>Error?</v>
      </c>
    </row>
    <row r="2061" spans="1:4" x14ac:dyDescent="0.2">
      <c r="A2061" s="5">
        <v>2000</v>
      </c>
      <c r="B2061" s="1832">
        <f>'Cap Outlay Deprec 26'!L16</f>
        <v>46836718</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618702</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618702</v>
      </c>
      <c r="C2088" s="2" t="s">
        <v>569</v>
      </c>
      <c r="D2088" s="2" t="str">
        <f t="shared" si="31"/>
        <v>Error?</v>
      </c>
    </row>
    <row r="2089" spans="1:4" x14ac:dyDescent="0.2">
      <c r="A2089" s="5">
        <v>2028</v>
      </c>
      <c r="B2089" s="1832">
        <f>'Expenditures 15-22'!K92</f>
        <v>518454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47795</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47795</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1250000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21860038</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1177232</v>
      </c>
      <c r="C2553" s="2" t="s">
        <v>569</v>
      </c>
      <c r="D2553" s="2" t="str">
        <f t="shared" si="38"/>
        <v>Error?</v>
      </c>
    </row>
    <row r="2554" spans="1:4" x14ac:dyDescent="0.2">
      <c r="A2554" s="5">
        <v>2493</v>
      </c>
      <c r="B2554" s="1832">
        <f>'Acct Summary 7-8'!C7</f>
        <v>514558</v>
      </c>
      <c r="C2554" s="2" t="s">
        <v>569</v>
      </c>
      <c r="D2554" s="2" t="str">
        <f t="shared" si="38"/>
        <v>Error?</v>
      </c>
    </row>
    <row r="2555" spans="1:4" x14ac:dyDescent="0.2">
      <c r="A2555" s="5">
        <v>2494</v>
      </c>
      <c r="B2555" s="1832">
        <f>'Acct Summary 7-8'!C8</f>
        <v>23551828</v>
      </c>
      <c r="C2555" s="2" t="s">
        <v>569</v>
      </c>
      <c r="D2555" s="2" t="str">
        <f t="shared" si="38"/>
        <v>Error?</v>
      </c>
    </row>
    <row r="2556" spans="1:4" x14ac:dyDescent="0.2">
      <c r="A2556" s="5">
        <v>2495</v>
      </c>
      <c r="B2556" s="1832">
        <f>'Acct Summary 7-8'!C12</f>
        <v>15219465</v>
      </c>
      <c r="C2556" s="2" t="s">
        <v>569</v>
      </c>
      <c r="D2556" s="2" t="str">
        <f t="shared" si="38"/>
        <v>Error?</v>
      </c>
    </row>
    <row r="2557" spans="1:4" x14ac:dyDescent="0.2">
      <c r="A2557" s="5">
        <v>2496</v>
      </c>
      <c r="B2557" s="1832">
        <f>'Acct Summary 7-8'!C13</f>
        <v>7132591</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1137156</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23489212</v>
      </c>
      <c r="C2561" s="2" t="s">
        <v>569</v>
      </c>
      <c r="D2561" s="2" t="str">
        <f t="shared" si="39"/>
        <v>Error?</v>
      </c>
    </row>
    <row r="2562" spans="1:4" x14ac:dyDescent="0.2">
      <c r="A2562" s="5">
        <v>2501</v>
      </c>
      <c r="B2562" s="1832">
        <f>'Acct Summary 7-8'!C20</f>
        <v>62616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2643814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81800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2725614</v>
      </c>
      <c r="C2568" s="2" t="s">
        <v>569</v>
      </c>
      <c r="D2568" s="2" t="str">
        <f t="shared" si="39"/>
        <v>Error?</v>
      </c>
    </row>
    <row r="2569" spans="1:4" x14ac:dyDescent="0.2">
      <c r="A2569" s="5">
        <v>2508</v>
      </c>
      <c r="B2569" s="1832">
        <f>'Acct Summary 7-8'!D13</f>
        <v>2453658</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47795</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2501453</v>
      </c>
      <c r="C2573" s="2" t="s">
        <v>569</v>
      </c>
      <c r="D2573" s="2" t="str">
        <f t="shared" si="39"/>
        <v>Error?</v>
      </c>
    </row>
    <row r="2574" spans="1:4" x14ac:dyDescent="0.2">
      <c r="A2574" s="5">
        <v>2513</v>
      </c>
      <c r="B2574" s="1832">
        <f>'Acct Summary 7-8'!D20</f>
        <v>224161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1388315</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908877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2297192</v>
      </c>
      <c r="C2595" s="2" t="s">
        <v>569</v>
      </c>
      <c r="D2595" s="2" t="str">
        <f t="shared" si="39"/>
        <v>Error?</v>
      </c>
    </row>
    <row r="2596" spans="1:4" x14ac:dyDescent="0.2">
      <c r="A2596" s="5">
        <v>2535</v>
      </c>
      <c r="B2596" s="1832">
        <f>'Acct Summary 7-8'!F13</f>
        <v>1844829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228395</v>
      </c>
      <c r="C2599" s="2" t="s">
        <v>569</v>
      </c>
      <c r="D2599" s="2" t="str">
        <f t="shared" si="39"/>
        <v>Error?</v>
      </c>
    </row>
    <row r="2600" spans="1:4" x14ac:dyDescent="0.2">
      <c r="A2600" s="5">
        <v>2539</v>
      </c>
      <c r="B2600" s="1832">
        <f>'Acct Summary 7-8'!F17</f>
        <v>2073224</v>
      </c>
      <c r="C2600" s="2" t="s">
        <v>569</v>
      </c>
      <c r="D2600" s="2" t="str">
        <f t="shared" si="39"/>
        <v>Error?</v>
      </c>
    </row>
    <row r="2601" spans="1:4" x14ac:dyDescent="0.2">
      <c r="A2601" s="5">
        <v>2540</v>
      </c>
      <c r="B2601" s="1832">
        <f>'Acct Summary 7-8'!F20</f>
        <v>223968</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792695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792695</v>
      </c>
      <c r="C2606" s="2" t="s">
        <v>569</v>
      </c>
      <c r="D2606" s="2" t="str">
        <f t="shared" si="39"/>
        <v>Error?</v>
      </c>
    </row>
    <row r="2607" spans="1:4" x14ac:dyDescent="0.2">
      <c r="A2607" s="5">
        <v>2546</v>
      </c>
      <c r="B2607" s="1832">
        <f>'Acct Summary 7-8'!G12</f>
        <v>248954</v>
      </c>
      <c r="C2607" s="2" t="s">
        <v>569</v>
      </c>
      <c r="D2607" s="2" t="str">
        <f t="shared" si="39"/>
        <v>Error?</v>
      </c>
    </row>
    <row r="2608" spans="1:4" x14ac:dyDescent="0.2">
      <c r="A2608" s="5">
        <v>2547</v>
      </c>
      <c r="B2608" s="1832">
        <f>'Acct Summary 7-8'!G13</f>
        <v>427974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730286</v>
      </c>
      <c r="C2612" s="2" t="s">
        <v>569</v>
      </c>
      <c r="D2612" s="2" t="str">
        <f t="shared" si="39"/>
        <v>Error?</v>
      </c>
    </row>
    <row r="2613" spans="1:4" x14ac:dyDescent="0.2">
      <c r="A2613" s="5">
        <v>2552</v>
      </c>
      <c r="B2613" s="1832">
        <f>'Acct Summary 7-8'!G20</f>
        <v>62409</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3043827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3043827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3042712</v>
      </c>
      <c r="C2634" s="2" t="s">
        <v>569</v>
      </c>
      <c r="D2634" s="2" t="str">
        <f t="shared" si="40"/>
        <v>Error?</v>
      </c>
    </row>
    <row r="2635" spans="1:4" x14ac:dyDescent="0.2">
      <c r="A2635" s="5">
        <v>2574</v>
      </c>
      <c r="B2635" s="1832">
        <f>'Acct Summary 7-8'!E17</f>
        <v>3042712</v>
      </c>
      <c r="C2635" s="2" t="s">
        <v>569</v>
      </c>
      <c r="D2635" s="2" t="str">
        <f t="shared" si="40"/>
        <v>Error?</v>
      </c>
    </row>
    <row r="2636" spans="1:4" x14ac:dyDescent="0.2">
      <c r="A2636" s="5">
        <v>2575</v>
      </c>
      <c r="B2636" s="1832">
        <f>'Acct Summary 7-8'!E20</f>
        <v>1115</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167998</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167998</v>
      </c>
      <c r="C2658" s="2" t="s">
        <v>569</v>
      </c>
      <c r="D2658" s="2" t="str">
        <f t="shared" si="40"/>
        <v>Error?</v>
      </c>
    </row>
    <row r="2659" spans="1:4" x14ac:dyDescent="0.2">
      <c r="A2659" s="5">
        <v>2598</v>
      </c>
      <c r="B2659" s="1832">
        <f>'Acct Summary 7-8'!H13</f>
        <v>2110777</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2110777</v>
      </c>
      <c r="C2661" s="2" t="s">
        <v>569</v>
      </c>
      <c r="D2661" s="2" t="str">
        <f t="shared" si="40"/>
        <v>Error?</v>
      </c>
    </row>
    <row r="2662" spans="1:4" x14ac:dyDescent="0.2">
      <c r="A2662" s="5">
        <v>2601</v>
      </c>
      <c r="B2662" s="1832">
        <f>'Acct Summary 7-8'!H20</f>
        <v>-1942779</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1065275</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81863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1263871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81863</v>
      </c>
      <c r="D2912" s="2" t="str">
        <f t="shared" si="44"/>
        <v>Error?</v>
      </c>
    </row>
    <row r="2913" spans="1:4" x14ac:dyDescent="0.2">
      <c r="A2913" s="5">
        <v>2852</v>
      </c>
      <c r="B2913" s="1832">
        <f>'Assets-Liab 5-6'!I41</f>
        <v>81863</v>
      </c>
      <c r="C2913" s="2" t="s">
        <v>569</v>
      </c>
      <c r="D2913" s="2" t="str">
        <f t="shared" si="44"/>
        <v>Error?</v>
      </c>
    </row>
    <row r="2914" spans="1:4" x14ac:dyDescent="0.2">
      <c r="A2914" s="5">
        <v>2853</v>
      </c>
      <c r="B2914" s="1832">
        <f>'Assets-Liab 5-6'!L33</f>
        <v>1263871</v>
      </c>
      <c r="D2914" s="2" t="str">
        <f t="shared" si="44"/>
        <v>Error?</v>
      </c>
    </row>
    <row r="2915" spans="1:4" x14ac:dyDescent="0.2">
      <c r="A2915" s="10">
        <v>2854</v>
      </c>
      <c r="B2915" s="1832"/>
      <c r="D2915" s="2" t="str">
        <f t="shared" si="44"/>
        <v>OK</v>
      </c>
    </row>
    <row r="2916" spans="1:4" x14ac:dyDescent="0.2">
      <c r="A2916" s="5">
        <v>2855</v>
      </c>
      <c r="B2916" s="1832">
        <f>'Assets-Liab 5-6'!L34</f>
        <v>1263871</v>
      </c>
      <c r="C2916" s="2" t="s">
        <v>569</v>
      </c>
      <c r="D2916" s="2" t="str">
        <f t="shared" si="44"/>
        <v>Error?</v>
      </c>
    </row>
    <row r="2917" spans="1:4" x14ac:dyDescent="0.2">
      <c r="A2917" s="5">
        <v>2856</v>
      </c>
      <c r="B2917" s="1832">
        <f>'Assets-Liab 5-6'!L41</f>
        <v>1263871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618702</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618702</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47795</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47795</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39736</v>
      </c>
      <c r="D3055" s="2" t="str">
        <f t="shared" si="46"/>
        <v>Error?</v>
      </c>
    </row>
    <row r="3056" spans="1:4" x14ac:dyDescent="0.2">
      <c r="A3056" s="5">
        <v>2995</v>
      </c>
      <c r="B3056" s="1832">
        <f>'Expenditures 15-22'!D10</f>
        <v>1093</v>
      </c>
      <c r="D3056" s="2" t="str">
        <f t="shared" si="46"/>
        <v>Error?</v>
      </c>
    </row>
    <row r="3057" spans="1:4" x14ac:dyDescent="0.2">
      <c r="A3057" s="5">
        <v>2996</v>
      </c>
      <c r="B3057" s="1832">
        <f>'Expenditures 15-22'!E10</f>
        <v>20555</v>
      </c>
      <c r="D3057" s="2" t="str">
        <f t="shared" si="46"/>
        <v>Error?</v>
      </c>
    </row>
    <row r="3058" spans="1:4" x14ac:dyDescent="0.2">
      <c r="A3058" s="5">
        <v>2997</v>
      </c>
      <c r="B3058" s="1832">
        <f>'Expenditures 15-22'!F10</f>
        <v>42467</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103851</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3050</v>
      </c>
      <c r="D3064" s="2" t="str">
        <f t="shared" si="46"/>
        <v>Error?</v>
      </c>
    </row>
    <row r="3065" spans="1:4" x14ac:dyDescent="0.2">
      <c r="A3065" s="5">
        <v>3004</v>
      </c>
      <c r="B3065" s="1832">
        <f>'Expenditures 15-22'!K219</f>
        <v>3050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11249</v>
      </c>
      <c r="C3225" s="2" t="s">
        <v>569</v>
      </c>
      <c r="D3225" s="2" t="str">
        <f t="shared" si="49"/>
        <v>Error?</v>
      </c>
    </row>
    <row r="3226" spans="1:4" x14ac:dyDescent="0.2">
      <c r="A3226" s="5">
        <v>3165</v>
      </c>
      <c r="B3226" s="1832">
        <f>'Acct Summary 7-8'!I8</f>
        <v>11249</v>
      </c>
      <c r="C3226" s="2" t="s">
        <v>569</v>
      </c>
      <c r="D3226" s="2" t="str">
        <f t="shared" si="49"/>
        <v>Error?</v>
      </c>
    </row>
    <row r="3227" spans="1:4" x14ac:dyDescent="0.2">
      <c r="A3227" s="5">
        <v>3166</v>
      </c>
      <c r="B3227" s="1832">
        <f>'Acct Summary 7-8'!I20</f>
        <v>11249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62616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224161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223968</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62409</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1115</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1250000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1250000</v>
      </c>
      <c r="C3299" s="2" t="s">
        <v>569</v>
      </c>
      <c r="D3299" s="2" t="str">
        <f t="shared" si="50"/>
        <v>Error?</v>
      </c>
    </row>
    <row r="3300" spans="1:4" x14ac:dyDescent="0.2">
      <c r="A3300" s="5">
        <v>3239</v>
      </c>
      <c r="B3300" s="1832">
        <f>'Acct Summary 7-8'!H78</f>
        <v>-692779</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1250000</v>
      </c>
      <c r="C3318" s="2" t="s">
        <v>569</v>
      </c>
      <c r="D3318" s="2" t="str">
        <f t="shared" si="50"/>
        <v>Error?</v>
      </c>
    </row>
    <row r="3319" spans="1:4" x14ac:dyDescent="0.2">
      <c r="A3319" s="5">
        <v>3258</v>
      </c>
      <c r="B3319" s="1832">
        <f>'Acct Summary 7-8'!I77</f>
        <v>-1250000</v>
      </c>
      <c r="C3319" s="2" t="s">
        <v>569</v>
      </c>
      <c r="D3319" s="2" t="str">
        <f t="shared" si="50"/>
        <v>Error?</v>
      </c>
    </row>
    <row r="3320" spans="1:4" x14ac:dyDescent="0.2">
      <c r="A3320" s="5">
        <v>3259</v>
      </c>
      <c r="B3320" s="1832">
        <f>'Acct Summary 7-8'!I78</f>
        <v>-1238751</v>
      </c>
      <c r="C3320" s="2" t="s">
        <v>569</v>
      </c>
      <c r="D3320" s="2" t="str">
        <f t="shared" si="50"/>
        <v>Error?</v>
      </c>
    </row>
    <row r="3321" spans="1:4" x14ac:dyDescent="0.2">
      <c r="A3321" s="5">
        <v>3260</v>
      </c>
      <c r="B3321" s="1832">
        <f>'Acct Summary 7-8'!I79</f>
        <v>1320614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81863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1698355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793007</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422683</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22515</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315</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2936875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116709</v>
      </c>
      <c r="D3387" s="2" t="str">
        <f t="shared" si="51"/>
        <v>Error?</v>
      </c>
    </row>
    <row r="3388" spans="1:4" x14ac:dyDescent="0.2">
      <c r="A3388" s="5">
        <v>3327</v>
      </c>
      <c r="B3388" s="1832">
        <f>'Expenditures 15-22'!D217</f>
        <v>111310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116709</v>
      </c>
      <c r="C3390" s="2" t="s">
        <v>569</v>
      </c>
      <c r="D3390" s="2" t="str">
        <f t="shared" si="51"/>
        <v>Error?</v>
      </c>
    </row>
    <row r="3391" spans="1:4" x14ac:dyDescent="0.2">
      <c r="A3391" s="5">
        <v>3330</v>
      </c>
      <c r="B3391" s="1832">
        <f>'Expenditures 15-22'!K217</f>
        <v>111310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20613081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3033133</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2012317</v>
      </c>
      <c r="D3417" s="2" t="str">
        <f t="shared" si="52"/>
        <v>Error?</v>
      </c>
    </row>
    <row r="3418" spans="1:4" x14ac:dyDescent="0.2">
      <c r="A3418" s="10">
        <v>3357</v>
      </c>
      <c r="B3418" s="1832"/>
      <c r="D3418" s="2" t="str">
        <f t="shared" si="52"/>
        <v>OK</v>
      </c>
    </row>
    <row r="3419" spans="1:4" x14ac:dyDescent="0.2">
      <c r="A3419" s="5">
        <v>3358</v>
      </c>
      <c r="B3419" s="1832">
        <f>'Assets-Liab 5-6'!F4</f>
        <v>2123770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252654</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87153</v>
      </c>
      <c r="D3425" s="2" t="str">
        <f t="shared" si="52"/>
        <v>Error?</v>
      </c>
    </row>
    <row r="3426" spans="1:4" x14ac:dyDescent="0.2">
      <c r="A3426" s="10">
        <v>3365</v>
      </c>
      <c r="B3426" s="1832"/>
      <c r="D3426" s="2" t="str">
        <f t="shared" si="52"/>
        <v>OK</v>
      </c>
    </row>
    <row r="3427" spans="1:4" x14ac:dyDescent="0.2">
      <c r="A3427" s="5">
        <v>3366</v>
      </c>
      <c r="B3427" s="1832">
        <f>'Assets-Liab 5-6'!I4</f>
        <v>81863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1263871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394682</v>
      </c>
      <c r="D3451" s="2" t="str">
        <f t="shared" si="52"/>
        <v>Error?</v>
      </c>
    </row>
    <row r="3452" spans="1:4" x14ac:dyDescent="0.2">
      <c r="A3452" s="5">
        <v>3391</v>
      </c>
      <c r="B3452" s="1832">
        <f>'Cap Outlay Deprec 26'!D15</f>
        <v>1065275</v>
      </c>
      <c r="D3452" s="2" t="str">
        <f t="shared" si="52"/>
        <v>Error?</v>
      </c>
    </row>
    <row r="3453" spans="1:4" x14ac:dyDescent="0.2">
      <c r="A3453" s="5">
        <v>3392</v>
      </c>
      <c r="B3453" s="1832">
        <f>'Cap Outlay Deprec 26'!E15</f>
        <v>394681</v>
      </c>
      <c r="D3453" s="2" t="str">
        <f t="shared" si="52"/>
        <v>Error?</v>
      </c>
    </row>
    <row r="3454" spans="1:4" x14ac:dyDescent="0.2">
      <c r="A3454" s="5">
        <v>3393</v>
      </c>
      <c r="B3454" s="1832">
        <f>'Cap Outlay Deprec 26'!F15</f>
        <v>1065276</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1065276</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18344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18344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18344</v>
      </c>
      <c r="D3567" s="2" t="str">
        <f t="shared" si="54"/>
        <v>Error?</v>
      </c>
    </row>
    <row r="3568" spans="1:4" x14ac:dyDescent="0.2">
      <c r="A3568" s="5">
        <v>3507</v>
      </c>
      <c r="B3568" s="1832">
        <f>'Assets-Liab 5-6'!K41</f>
        <v>18344</v>
      </c>
      <c r="C3568" s="2" t="s">
        <v>569</v>
      </c>
      <c r="D3568" s="2" t="str">
        <f t="shared" si="54"/>
        <v>Error?</v>
      </c>
    </row>
    <row r="3569" spans="1:4" x14ac:dyDescent="0.2">
      <c r="A3569" s="5">
        <v>3508</v>
      </c>
      <c r="B3569" s="1832">
        <f>'Acct Summary 7-8'!K4</f>
        <v>331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331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331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331</v>
      </c>
      <c r="C3588" s="2" t="s">
        <v>569</v>
      </c>
      <c r="D3588" s="2" t="str">
        <f t="shared" si="55"/>
        <v>Error?</v>
      </c>
    </row>
    <row r="3589" spans="1:4" x14ac:dyDescent="0.2">
      <c r="A3589" s="5">
        <v>3528</v>
      </c>
      <c r="B3589" s="1832">
        <f>'Acct Summary 7-8'!K79</f>
        <v>18013</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18344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331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53358</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53358</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52792</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31808</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20984</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28476</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49460</v>
      </c>
      <c r="D4111" s="2" t="str">
        <f t="shared" si="63"/>
        <v>Error?</v>
      </c>
    </row>
    <row r="4112" spans="1:4" x14ac:dyDescent="0.2">
      <c r="A4112" s="10">
        <v>4051</v>
      </c>
      <c r="B4112" s="1832"/>
      <c r="D4112" s="2" t="str">
        <f t="shared" si="63"/>
        <v>OK</v>
      </c>
    </row>
    <row r="4113" spans="1:4" x14ac:dyDescent="0.2">
      <c r="A4113" s="5">
        <v>4052</v>
      </c>
      <c r="B4113" s="1832">
        <f>'Acct Summary 7-8'!C9</f>
        <v>10524808</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34076636</v>
      </c>
      <c r="C4122" s="2" t="s">
        <v>569</v>
      </c>
      <c r="D4122" s="2" t="str">
        <f t="shared" si="63"/>
        <v>Error?</v>
      </c>
    </row>
    <row r="4123" spans="1:4" x14ac:dyDescent="0.2">
      <c r="A4123" s="5">
        <v>4062</v>
      </c>
      <c r="B4123" s="1832">
        <f>'Acct Summary 7-8'!D10</f>
        <v>2725614</v>
      </c>
      <c r="C4123" s="2" t="s">
        <v>569</v>
      </c>
      <c r="D4123" s="2" t="str">
        <f t="shared" si="63"/>
        <v>Error?</v>
      </c>
    </row>
    <row r="4124" spans="1:4" x14ac:dyDescent="0.2">
      <c r="A4124" s="5">
        <v>4063</v>
      </c>
      <c r="B4124" s="1832">
        <f>'Acct Summary 7-8'!E10</f>
        <v>3043827</v>
      </c>
      <c r="C4124" s="2" t="s">
        <v>569</v>
      </c>
      <c r="D4124" s="2" t="str">
        <f t="shared" si="63"/>
        <v>Error?</v>
      </c>
    </row>
    <row r="4125" spans="1:4" x14ac:dyDescent="0.2">
      <c r="A4125" s="5">
        <v>4064</v>
      </c>
      <c r="B4125" s="1832">
        <f>'Acct Summary 7-8'!F10</f>
        <v>2297192</v>
      </c>
      <c r="C4125" s="2" t="s">
        <v>569</v>
      </c>
      <c r="D4125" s="2" t="str">
        <f t="shared" si="63"/>
        <v>Error?</v>
      </c>
    </row>
    <row r="4126" spans="1:4" x14ac:dyDescent="0.2">
      <c r="A4126" s="5">
        <v>4065</v>
      </c>
      <c r="B4126" s="1832">
        <f>'Acct Summary 7-8'!G10</f>
        <v>792695</v>
      </c>
      <c r="C4126" s="2" t="s">
        <v>569</v>
      </c>
      <c r="D4126" s="2" t="str">
        <f t="shared" si="63"/>
        <v>Error?</v>
      </c>
    </row>
    <row r="4127" spans="1:4" x14ac:dyDescent="0.2">
      <c r="A4127" s="5">
        <v>4066</v>
      </c>
      <c r="B4127" s="1832">
        <f>'Acct Summary 7-8'!H10</f>
        <v>167998</v>
      </c>
      <c r="C4127" s="2" t="s">
        <v>569</v>
      </c>
      <c r="D4127" s="2" t="str">
        <f t="shared" si="63"/>
        <v>Error?</v>
      </c>
    </row>
    <row r="4128" spans="1:4" x14ac:dyDescent="0.2">
      <c r="A4128" s="5">
        <v>4067</v>
      </c>
      <c r="B4128" s="1832">
        <f>'Acct Summary 7-8'!I10</f>
        <v>11249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331</v>
      </c>
      <c r="C4130" s="2" t="s">
        <v>569</v>
      </c>
      <c r="D4130" s="2" t="str">
        <f t="shared" si="63"/>
        <v>Error?</v>
      </c>
    </row>
    <row r="4131" spans="1:4" x14ac:dyDescent="0.2">
      <c r="A4131" s="5">
        <v>4070</v>
      </c>
      <c r="B4131" s="1832">
        <f>'Acct Summary 7-8'!C18</f>
        <v>10524808</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34014020</v>
      </c>
      <c r="C4136" s="2" t="s">
        <v>569</v>
      </c>
      <c r="D4136" s="2" t="str">
        <f t="shared" si="63"/>
        <v>Error?</v>
      </c>
    </row>
    <row r="4137" spans="1:4" x14ac:dyDescent="0.2">
      <c r="A4137" s="5">
        <v>4076</v>
      </c>
      <c r="B4137" s="1832">
        <f>'Acct Summary 7-8'!D19</f>
        <v>2501453</v>
      </c>
      <c r="C4137" s="2" t="s">
        <v>569</v>
      </c>
      <c r="D4137" s="2" t="str">
        <f t="shared" si="63"/>
        <v>Error?</v>
      </c>
    </row>
    <row r="4138" spans="1:4" x14ac:dyDescent="0.2">
      <c r="A4138" s="5">
        <v>4077</v>
      </c>
      <c r="B4138" s="1832">
        <f>'Acct Summary 7-8'!E19</f>
        <v>3042712</v>
      </c>
      <c r="C4138" s="2" t="s">
        <v>569</v>
      </c>
      <c r="D4138" s="2" t="str">
        <f t="shared" si="63"/>
        <v>Error?</v>
      </c>
    </row>
    <row r="4139" spans="1:4" x14ac:dyDescent="0.2">
      <c r="A4139" s="5">
        <v>4078</v>
      </c>
      <c r="B4139" s="1832">
        <f>'Acct Summary 7-8'!F19</f>
        <v>2073224</v>
      </c>
      <c r="C4139" s="2" t="s">
        <v>569</v>
      </c>
      <c r="D4139" s="2" t="str">
        <f t="shared" si="63"/>
        <v>Error?</v>
      </c>
    </row>
    <row r="4140" spans="1:4" x14ac:dyDescent="0.2">
      <c r="A4140" s="5">
        <v>4079</v>
      </c>
      <c r="B4140" s="1832">
        <f>'Acct Summary 7-8'!G19</f>
        <v>730286</v>
      </c>
      <c r="C4140" s="2" t="s">
        <v>569</v>
      </c>
      <c r="D4140" s="2" t="str">
        <f t="shared" si="63"/>
        <v>Error?</v>
      </c>
    </row>
    <row r="4141" spans="1:4" x14ac:dyDescent="0.2">
      <c r="A4141" s="5">
        <v>4080</v>
      </c>
      <c r="B4141" s="1832">
        <f>'Acct Summary 7-8'!H19</f>
        <v>2110777</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53358</v>
      </c>
      <c r="D4165" s="2" t="str">
        <f t="shared" si="64"/>
        <v>Error?</v>
      </c>
    </row>
    <row r="4166" spans="1:4" x14ac:dyDescent="0.2">
      <c r="A4166" s="5">
        <v>4105</v>
      </c>
      <c r="B4166" s="1832">
        <f>'Expenditures 15-22'!K284</f>
        <v>53358</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11614860</v>
      </c>
      <c r="C4171" s="2" t="s">
        <v>569</v>
      </c>
      <c r="D4171" s="2" t="str">
        <f t="shared" si="64"/>
        <v>Error?</v>
      </c>
    </row>
    <row r="4172" spans="1:4" x14ac:dyDescent="0.2">
      <c r="A4172" s="5">
        <v>4111</v>
      </c>
      <c r="B4172" s="1832">
        <f>'Short-Term Long-Term Debt 24'!J49</f>
        <v>9308416</v>
      </c>
      <c r="C4172" s="2" t="s">
        <v>569</v>
      </c>
      <c r="D4172" s="2" t="str">
        <f t="shared" si="64"/>
        <v>Error?</v>
      </c>
    </row>
    <row r="4173" spans="1:4" x14ac:dyDescent="0.2">
      <c r="A4173" s="5">
        <v>4112</v>
      </c>
      <c r="B4173" s="1832">
        <f>'Short-Term Long-Term Debt 24'!H49</f>
        <v>2605000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-211549</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211549</v>
      </c>
      <c r="D4210" s="2" t="str">
        <f t="shared" si="64"/>
        <v>Error?</v>
      </c>
    </row>
    <row r="4211" spans="1:4" x14ac:dyDescent="0.2">
      <c r="A4211" s="5">
        <v>4150</v>
      </c>
      <c r="B4211" s="1832">
        <f>'Expenditures 15-22'!K206</f>
        <v>211549</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2337.1999999999998</v>
      </c>
      <c r="C4265" s="2" t="s">
        <v>569</v>
      </c>
      <c r="D4265" s="2" t="str">
        <f t="shared" si="65"/>
        <v>Error?</v>
      </c>
      <c r="E4265" s="125"/>
    </row>
    <row r="4266" spans="1:5" x14ac:dyDescent="0.2">
      <c r="A4266" s="12">
        <v>4205</v>
      </c>
      <c r="B4266" s="1832">
        <f>('FP Info 3'!F10)*100000</f>
        <v>285.7</v>
      </c>
      <c r="C4266" s="2" t="s">
        <v>569</v>
      </c>
      <c r="D4266" s="2" t="str">
        <f t="shared" si="65"/>
        <v>Error?</v>
      </c>
      <c r="E4266" s="125"/>
    </row>
    <row r="4267" spans="1:5" x14ac:dyDescent="0.2">
      <c r="A4267" s="12">
        <v>4206</v>
      </c>
      <c r="B4267" s="1832">
        <f>('FP Info 3'!H10)*100000</f>
        <v>140.4</v>
      </c>
      <c r="C4267" s="2" t="s">
        <v>569</v>
      </c>
      <c r="D4267" s="2" t="str">
        <f t="shared" si="65"/>
        <v>Error?</v>
      </c>
      <c r="E4267" s="125"/>
    </row>
    <row r="4268" spans="1:5" x14ac:dyDescent="0.2">
      <c r="A4268" s="12">
        <v>4207</v>
      </c>
      <c r="B4268" s="1832">
        <f>('FP Info 3'!J10)*100000</f>
        <v>2763</v>
      </c>
      <c r="C4268" s="2" t="s">
        <v>569</v>
      </c>
      <c r="D4268" s="2" t="str">
        <f t="shared" si="65"/>
        <v>Error?</v>
      </c>
    </row>
    <row r="4269" spans="1:5" x14ac:dyDescent="0.2">
      <c r="A4269" s="12">
        <v>4208</v>
      </c>
      <c r="B4269" s="1832">
        <f>'FP Info 3'!J16</f>
        <v>27776482</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83421</v>
      </c>
      <c r="D4300" s="2" t="str">
        <f t="shared" si="66"/>
        <v>Error?</v>
      </c>
    </row>
    <row r="4301" spans="1:4" x14ac:dyDescent="0.2">
      <c r="A4301" s="5">
        <v>4240</v>
      </c>
      <c r="B4301" s="1832">
        <f>'Rest Tax Levies-Tort Im 25'!G37</f>
        <v>6649</v>
      </c>
      <c r="D4301" s="2" t="str">
        <f t="shared" si="66"/>
        <v>Error?</v>
      </c>
    </row>
    <row r="4302" spans="1:4" x14ac:dyDescent="0.2">
      <c r="A4302" s="5">
        <v>4241</v>
      </c>
      <c r="B4302" s="1832">
        <f>'Rest Tax Levies-Tort Im 25'!G38</f>
        <v>93217</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31800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20475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46144</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9315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28418</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19480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892462140</v>
      </c>
      <c r="D4995" s="2" t="str">
        <f t="shared" si="77"/>
        <v>Error?</v>
      </c>
    </row>
    <row r="4996" spans="1:4" x14ac:dyDescent="0.2">
      <c r="A4996" s="12">
        <v>4935</v>
      </c>
      <c r="B4996" s="1832">
        <f>'FP Info 3'!H31</f>
        <v>61579887.660000004</v>
      </c>
      <c r="D4996" s="2" t="str">
        <f t="shared" si="77"/>
        <v>Error?</v>
      </c>
    </row>
    <row r="4997" spans="1:4" x14ac:dyDescent="0.2">
      <c r="A4997" s="12">
        <v>4936</v>
      </c>
      <c r="B4997" s="1832">
        <f>'FP Info 3'!H37</f>
        <v>11614860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20244393</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20244393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99421</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99421</v>
      </c>
      <c r="C5071" s="2" t="s">
        <v>569</v>
      </c>
      <c r="D5071" s="2" t="str">
        <f t="shared" si="78"/>
        <v>Error?</v>
      </c>
    </row>
    <row r="5072" spans="1:4" x14ac:dyDescent="0.2">
      <c r="A5072" s="5">
        <v>5011</v>
      </c>
      <c r="B5072" s="1832">
        <f>'Revenues 9-14'!C20</f>
        <v>373421</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19664</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393085</v>
      </c>
      <c r="C5087" s="2" t="s">
        <v>569</v>
      </c>
      <c r="D5087" s="2" t="str">
        <f t="shared" si="78"/>
        <v>Error?</v>
      </c>
    </row>
    <row r="5088" spans="1:4" x14ac:dyDescent="0.2">
      <c r="A5088" s="5">
        <v>5027</v>
      </c>
      <c r="B5088" s="1832">
        <f>'Revenues 9-14'!C65</f>
        <v>421486</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421486</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2425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27366</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29791</v>
      </c>
      <c r="C5102" s="2" t="s">
        <v>569</v>
      </c>
      <c r="D5102" s="2" t="str">
        <f t="shared" si="78"/>
        <v>Error?</v>
      </c>
    </row>
    <row r="5103" spans="1:4" x14ac:dyDescent="0.2">
      <c r="A5103" s="5">
        <v>5042</v>
      </c>
      <c r="B5103" s="1832">
        <f>'Revenues 9-14'!C84</f>
        <v>460378</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460378</v>
      </c>
      <c r="C5112" s="2" t="s">
        <v>569</v>
      </c>
      <c r="D5112" s="2" t="str">
        <f t="shared" si="78"/>
        <v>Error?</v>
      </c>
    </row>
    <row r="5113" spans="1:4" x14ac:dyDescent="0.2">
      <c r="A5113" s="5">
        <v>5052</v>
      </c>
      <c r="B5113" s="1832">
        <f>'Revenues 9-14'!C95</f>
        <v>9592</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32800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169092</v>
      </c>
      <c r="D5119" s="2" t="str">
        <f t="shared" ref="D5119:D5182" si="79">IF(ISBLANK(B5119),"OK",IF(A5119-B5119=0,"OK","Error?"))</f>
        <v>Error?</v>
      </c>
    </row>
    <row r="5120" spans="1:4" x14ac:dyDescent="0.2">
      <c r="A5120" s="5">
        <v>5059</v>
      </c>
      <c r="B5120" s="1832">
        <f>'Revenues 9-14'!C108</f>
        <v>211484</v>
      </c>
      <c r="C5120" s="2" t="s">
        <v>569</v>
      </c>
      <c r="D5120" s="2" t="str">
        <f t="shared" si="79"/>
        <v>Error?</v>
      </c>
    </row>
    <row r="5121" spans="1:4" x14ac:dyDescent="0.2">
      <c r="A5121" s="5">
        <v>5060</v>
      </c>
      <c r="B5121" s="1832">
        <f>'Revenues 9-14'!C109</f>
        <v>21860038</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1028093</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1028093</v>
      </c>
      <c r="C5132" s="2" t="s">
        <v>569</v>
      </c>
      <c r="D5132" s="2" t="str">
        <f t="shared" si="79"/>
        <v>Error?</v>
      </c>
    </row>
    <row r="5133" spans="1:4" x14ac:dyDescent="0.2">
      <c r="A5133" s="5">
        <v>5072</v>
      </c>
      <c r="B5133" s="1832">
        <f>'Revenues 9-14'!C125</f>
        <v>105434</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42865</v>
      </c>
      <c r="D5137" s="2" t="str">
        <f t="shared" si="79"/>
        <v>Error?</v>
      </c>
    </row>
    <row r="5138" spans="1:4" x14ac:dyDescent="0.2">
      <c r="A5138" s="10">
        <v>5077</v>
      </c>
      <c r="B5138" s="1832"/>
      <c r="D5138" s="2" t="str">
        <f t="shared" si="79"/>
        <v>OK</v>
      </c>
    </row>
    <row r="5139" spans="1:4" x14ac:dyDescent="0.2">
      <c r="A5139" s="5">
        <v>5078</v>
      </c>
      <c r="B5139" s="1832">
        <f>'Revenues 9-14'!C129</f>
        <v>840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149139</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149139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1177232</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8774</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8774</v>
      </c>
      <c r="C5246" s="2" t="s">
        <v>569</v>
      </c>
      <c r="D5246" s="2" t="str">
        <f t="shared" si="80"/>
        <v>Error?</v>
      </c>
    </row>
    <row r="5247" spans="1:4" x14ac:dyDescent="0.2">
      <c r="A5247" s="5">
        <v>5186</v>
      </c>
      <c r="B5247" s="1832">
        <f>'Revenues 9-14'!C200</f>
        <v>124249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9315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124249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24694</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233009</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257703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514558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514558</v>
      </c>
      <c r="C5326" s="2" t="s">
        <v>569</v>
      </c>
      <c r="D5326" s="2" t="str">
        <f t="shared" si="82"/>
        <v>Error?</v>
      </c>
    </row>
    <row r="5327" spans="1:5" x14ac:dyDescent="0.2">
      <c r="A5327" s="5">
        <v>5266</v>
      </c>
      <c r="B5327" s="1832">
        <f>'Revenues 9-14'!C268</f>
        <v>23551828</v>
      </c>
      <c r="C5327" s="2" t="s">
        <v>569</v>
      </c>
      <c r="D5327" s="2" t="str">
        <f t="shared" si="82"/>
        <v>Error?</v>
      </c>
    </row>
    <row r="5328" spans="1:5" x14ac:dyDescent="0.2">
      <c r="A5328" s="5">
        <v>5267</v>
      </c>
      <c r="B5328" s="1832">
        <f>'Revenues 9-14'!D5</f>
        <v>2487307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2487307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54210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54210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28134</v>
      </c>
      <c r="D5349" s="2" t="str">
        <f t="shared" si="82"/>
        <v>Error?</v>
      </c>
    </row>
    <row r="5350" spans="1:4" x14ac:dyDescent="0.2">
      <c r="A5350" s="5">
        <v>5289</v>
      </c>
      <c r="B5350" s="1832">
        <f>'Revenues 9-14'!D96</f>
        <v>47030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27133</v>
      </c>
      <c r="D5354" s="2" t="str">
        <f t="shared" si="82"/>
        <v>Error?</v>
      </c>
    </row>
    <row r="5355" spans="1:4" x14ac:dyDescent="0.2">
      <c r="A5355" s="5">
        <v>5294</v>
      </c>
      <c r="B5355" s="1832">
        <f>'Revenues 9-14'!D108</f>
        <v>102297</v>
      </c>
      <c r="C5355" s="2" t="s">
        <v>569</v>
      </c>
      <c r="D5355" s="2" t="str">
        <f t="shared" si="82"/>
        <v>Error?</v>
      </c>
    </row>
    <row r="5356" spans="1:4" x14ac:dyDescent="0.2">
      <c r="A5356" s="5">
        <v>5295</v>
      </c>
      <c r="B5356" s="1832">
        <f>'Revenues 9-14'!D109</f>
        <v>2643814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81800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81800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2725614</v>
      </c>
      <c r="C5508" s="2" t="s">
        <v>569</v>
      </c>
      <c r="D5508" s="2" t="str">
        <f t="shared" si="85"/>
        <v>Error?</v>
      </c>
    </row>
    <row r="5509" spans="1:4" x14ac:dyDescent="0.2">
      <c r="A5509" s="5">
        <v>5448</v>
      </c>
      <c r="B5509" s="1832">
        <f>'Revenues 9-14'!E5</f>
        <v>3020950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3020950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22877</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22877</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3043827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3043827</v>
      </c>
      <c r="C5552" s="2" t="s">
        <v>569</v>
      </c>
      <c r="D5552" s="2" t="str">
        <f t="shared" si="85"/>
        <v>Error?</v>
      </c>
    </row>
    <row r="5553" spans="1:4" x14ac:dyDescent="0.2">
      <c r="A5553" s="5">
        <v>5492</v>
      </c>
      <c r="B5553" s="1832">
        <f>'Revenues 9-14'!F5</f>
        <v>1222523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1222523</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1452</v>
      </c>
      <c r="D5563" s="2" t="str">
        <f t="shared" si="85"/>
        <v>Error?</v>
      </c>
    </row>
    <row r="5564" spans="1:4" x14ac:dyDescent="0.2">
      <c r="A5564" s="5">
        <v>5503</v>
      </c>
      <c r="B5564" s="1832">
        <f>'Revenues 9-14'!F43</f>
        <v>503</v>
      </c>
      <c r="D5564" s="2" t="str">
        <f t="shared" si="85"/>
        <v>Error?</v>
      </c>
    </row>
    <row r="5565" spans="1:4" x14ac:dyDescent="0.2">
      <c r="A5565" s="5">
        <v>5504</v>
      </c>
      <c r="B5565" s="1832">
        <f>'Revenues 9-14'!F44</f>
        <v>2435</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4390</v>
      </c>
      <c r="C5579" s="2" t="s">
        <v>569</v>
      </c>
      <c r="D5579" s="2" t="str">
        <f t="shared" si="86"/>
        <v>Error?</v>
      </c>
    </row>
    <row r="5580" spans="1:4" x14ac:dyDescent="0.2">
      <c r="A5580" s="5">
        <v>5519</v>
      </c>
      <c r="B5580" s="1832">
        <f>'Revenues 9-14'!F65</f>
        <v>32182</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32182</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129220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129220</v>
      </c>
      <c r="C5587" s="2" t="s">
        <v>569</v>
      </c>
      <c r="D5587" s="2" t="str">
        <f t="shared" si="86"/>
        <v>Error?</v>
      </c>
    </row>
    <row r="5588" spans="1:4" x14ac:dyDescent="0.2">
      <c r="A5588" s="5">
        <v>5527</v>
      </c>
      <c r="B5588" s="1832">
        <f>'Revenues 9-14'!F109</f>
        <v>1388315</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561849</v>
      </c>
      <c r="D5615" s="2" t="str">
        <f t="shared" si="86"/>
        <v>Error?</v>
      </c>
    </row>
    <row r="5616" spans="1:4" x14ac:dyDescent="0.2">
      <c r="A5616" s="10">
        <v>5555</v>
      </c>
      <c r="B5616" s="1832"/>
      <c r="D5616" s="2" t="str">
        <f t="shared" si="86"/>
        <v>OK</v>
      </c>
    </row>
    <row r="5617" spans="1:5" x14ac:dyDescent="0.2">
      <c r="A5617" s="5">
        <v>5556</v>
      </c>
      <c r="B5617" s="1832">
        <f>'Revenues 9-14'!F153</f>
        <v>347028</v>
      </c>
      <c r="D5617" s="2" t="str">
        <f t="shared" si="86"/>
        <v>Error?</v>
      </c>
    </row>
    <row r="5618" spans="1:5" x14ac:dyDescent="0.2">
      <c r="A5618" s="5">
        <v>5557</v>
      </c>
      <c r="B5618" s="1832">
        <f>'Revenues 9-14'!F155</f>
        <v>908877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908877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908877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2297192</v>
      </c>
      <c r="C5720" s="2" t="s">
        <v>569</v>
      </c>
      <c r="D5720" s="2" t="str">
        <f t="shared" si="88"/>
        <v>Error?</v>
      </c>
    </row>
    <row r="5721" spans="1:4" x14ac:dyDescent="0.2">
      <c r="A5721" s="5">
        <v>5660</v>
      </c>
      <c r="B5721" s="1832">
        <f>'Revenues 9-14'!G5</f>
        <v>727025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52792</v>
      </c>
      <c r="D5724" s="2" t="str">
        <f t="shared" si="88"/>
        <v>Error?</v>
      </c>
    </row>
    <row r="5725" spans="1:4" x14ac:dyDescent="0.2">
      <c r="A5725" s="5">
        <v>5664</v>
      </c>
      <c r="B5725" s="1832">
        <f>'Revenues 9-14'!G12</f>
        <v>779817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6500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6500</v>
      </c>
      <c r="C5730" s="2" t="s">
        <v>569</v>
      </c>
      <c r="D5730" s="2" t="str">
        <f t="shared" si="88"/>
        <v>Error?</v>
      </c>
    </row>
    <row r="5731" spans="1:4" x14ac:dyDescent="0.2">
      <c r="A5731" s="5">
        <v>5670</v>
      </c>
      <c r="B5731" s="1832">
        <f>'Revenues 9-14'!G65</f>
        <v>6378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6378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792695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167998</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167998</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167998</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11249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11249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11249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331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331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331</v>
      </c>
      <c r="C6023" s="2" t="s">
        <v>569</v>
      </c>
      <c r="D6023" s="2" t="str">
        <f t="shared" si="93"/>
        <v>Error?</v>
      </c>
    </row>
    <row r="6024" spans="1:5" x14ac:dyDescent="0.2">
      <c r="A6024" s="5">
        <v>5963</v>
      </c>
      <c r="B6024" s="1832">
        <f>'Revenues 9-14'!G109</f>
        <v>792695</v>
      </c>
      <c r="C6024" s="2" t="s">
        <v>569</v>
      </c>
      <c r="D6024" s="2" t="str">
        <f t="shared" si="93"/>
        <v>Error?</v>
      </c>
    </row>
    <row r="6025" spans="1:5" x14ac:dyDescent="0.2">
      <c r="A6025" s="5">
        <v>5964</v>
      </c>
      <c r="B6025" s="1832">
        <f>'Revenues 9-14'!H109</f>
        <v>167998</v>
      </c>
      <c r="C6025" s="2" t="s">
        <v>569</v>
      </c>
      <c r="D6025" s="2" t="str">
        <f t="shared" si="93"/>
        <v>Error?</v>
      </c>
    </row>
    <row r="6026" spans="1:5" x14ac:dyDescent="0.2">
      <c r="A6026" s="5">
        <v>5965</v>
      </c>
      <c r="B6026" s="1832">
        <f>'Revenues 9-14'!I109</f>
        <v>11249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331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53358</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2039</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105344</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299692</v>
      </c>
      <c r="D6093" s="2" t="str">
        <f t="shared" si="94"/>
        <v>Error?</v>
      </c>
      <c r="E6093" s="2" t="s">
        <v>189</v>
      </c>
    </row>
    <row r="6094" spans="1:5" x14ac:dyDescent="0.2">
      <c r="A6094">
        <v>6033</v>
      </c>
      <c r="B6094" s="1832">
        <f>'Assets-Liab 5-6'!G8</f>
        <v>6500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302</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470463</v>
      </c>
      <c r="D6142" s="2" t="str">
        <f t="shared" si="94"/>
        <v>Error?</v>
      </c>
      <c r="E6142" s="2" t="s">
        <v>189</v>
      </c>
    </row>
    <row r="6143" spans="1:5" x14ac:dyDescent="0.2">
      <c r="A6143">
        <v>6082</v>
      </c>
      <c r="B6143" s="1832">
        <f>'Assets-Liab 5-6'!D27</f>
        <v>35197</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17058</v>
      </c>
      <c r="D6145" s="2" t="str">
        <f t="shared" si="95"/>
        <v>Error?</v>
      </c>
      <c r="E6145" s="2" t="s">
        <v>189</v>
      </c>
    </row>
    <row r="6146" spans="1:5" x14ac:dyDescent="0.2">
      <c r="A6146">
        <v>6085</v>
      </c>
      <c r="B6146" s="1832">
        <f>'Assets-Liab 5-6'!G27</f>
        <v>5636</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62616</v>
      </c>
      <c r="D6267" s="2" t="str">
        <f t="shared" si="96"/>
        <v>Error?</v>
      </c>
      <c r="E6267" s="2" t="s">
        <v>189</v>
      </c>
    </row>
    <row r="6268" spans="1:5" x14ac:dyDescent="0.2">
      <c r="A6268">
        <v>6207</v>
      </c>
      <c r="B6268" s="1832">
        <f>'Acct Summary 7-8'!D82</f>
        <v>224161</v>
      </c>
      <c r="D6268" s="2" t="str">
        <f t="shared" si="96"/>
        <v>Error?</v>
      </c>
      <c r="E6268" s="2" t="s">
        <v>189</v>
      </c>
    </row>
    <row r="6269" spans="1:5" x14ac:dyDescent="0.2">
      <c r="A6269">
        <v>6208</v>
      </c>
      <c r="B6269" s="1832">
        <f>'Acct Summary 7-8'!E82</f>
        <v>1115</v>
      </c>
      <c r="D6269" s="2" t="str">
        <f t="shared" si="96"/>
        <v>Error?</v>
      </c>
      <c r="E6269" s="2" t="s">
        <v>189</v>
      </c>
    </row>
    <row r="6270" spans="1:5" x14ac:dyDescent="0.2">
      <c r="A6270">
        <v>6209</v>
      </c>
      <c r="B6270" s="1832">
        <f>'Acct Summary 7-8'!F82</f>
        <v>223968</v>
      </c>
      <c r="D6270" s="2" t="str">
        <f t="shared" si="96"/>
        <v>Error?</v>
      </c>
      <c r="E6270" s="2" t="s">
        <v>189</v>
      </c>
    </row>
    <row r="6271" spans="1:5" x14ac:dyDescent="0.2">
      <c r="A6271">
        <v>6210</v>
      </c>
      <c r="B6271" s="1832">
        <f>'Acct Summary 7-8'!G82</f>
        <v>62409</v>
      </c>
      <c r="D6271" s="2" t="str">
        <f t="shared" ref="D6271:D6334" si="97">IF(ISBLANK(B6271),"OK",IF(A6271-B6271=0,"OK","Error?"))</f>
        <v>Error?</v>
      </c>
      <c r="E6271" s="2" t="s">
        <v>189</v>
      </c>
    </row>
    <row r="6272" spans="1:5" x14ac:dyDescent="0.2">
      <c r="A6272">
        <v>6211</v>
      </c>
      <c r="B6272" s="1832">
        <f>'Acct Summary 7-8'!H82</f>
        <v>-692779</v>
      </c>
      <c r="D6272" s="2" t="str">
        <f t="shared" si="97"/>
        <v>Error?</v>
      </c>
      <c r="E6272" s="2" t="s">
        <v>189</v>
      </c>
    </row>
    <row r="6273" spans="1:5" x14ac:dyDescent="0.2">
      <c r="A6273">
        <v>6212</v>
      </c>
      <c r="B6273" s="1832">
        <f>'Acct Summary 7-8'!I82</f>
        <v>-1238751</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331</v>
      </c>
      <c r="D6275" s="2" t="str">
        <f t="shared" si="97"/>
        <v>Error?</v>
      </c>
      <c r="E6275" s="2" t="s">
        <v>189</v>
      </c>
    </row>
    <row r="6276" spans="1:5" x14ac:dyDescent="0.2">
      <c r="A6276">
        <v>6215</v>
      </c>
      <c r="B6276" s="1832">
        <f>'Acct Summary 7-8'!C83</f>
        <v>2.8557695451989972E-3</v>
      </c>
      <c r="D6276" s="2" t="str">
        <f t="shared" si="97"/>
        <v>Error?</v>
      </c>
      <c r="E6276" s="2" t="s">
        <v>189</v>
      </c>
    </row>
    <row r="6277" spans="1:5" x14ac:dyDescent="0.2">
      <c r="A6277">
        <v>6216</v>
      </c>
      <c r="B6277" s="1832">
        <f>'Acct Summary 7-8'!D83</f>
        <v>6.9141149596030696E-2</v>
      </c>
      <c r="D6277" s="2" t="str">
        <f t="shared" si="97"/>
        <v>Error?</v>
      </c>
      <c r="E6277" s="2" t="s">
        <v>189</v>
      </c>
    </row>
    <row r="6278" spans="1:5" x14ac:dyDescent="0.2">
      <c r="A6278">
        <v>6217</v>
      </c>
      <c r="B6278" s="1832">
        <f>'Acct Summary 7-8'!E83</f>
        <v>4.8342816907759307E-4</v>
      </c>
      <c r="D6278" s="2" t="str">
        <f t="shared" si="97"/>
        <v>Error?</v>
      </c>
      <c r="E6278" s="2" t="s">
        <v>189</v>
      </c>
    </row>
    <row r="6279" spans="1:5" x14ac:dyDescent="0.2">
      <c r="A6279">
        <v>6218</v>
      </c>
      <c r="B6279" s="1832">
        <f>'Acct Summary 7-8'!F83</f>
        <v>8.8650974785485448E-2</v>
      </c>
      <c r="D6279" s="2" t="str">
        <f t="shared" si="97"/>
        <v>Error?</v>
      </c>
      <c r="E6279" s="2" t="s">
        <v>189</v>
      </c>
    </row>
    <row r="6280" spans="1:5" x14ac:dyDescent="0.2">
      <c r="A6280">
        <v>6219</v>
      </c>
      <c r="B6280" s="1832">
        <f>'Acct Summary 7-8'!G83</f>
        <v>0.18921680390991669</v>
      </c>
      <c r="D6280" s="2" t="str">
        <f t="shared" si="97"/>
        <v>Error?</v>
      </c>
      <c r="E6280" s="2" t="s">
        <v>189</v>
      </c>
    </row>
    <row r="6281" spans="1:5" x14ac:dyDescent="0.2">
      <c r="A6281">
        <v>6220</v>
      </c>
      <c r="B6281" s="1832">
        <f>'Acct Summary 7-8'!H83</f>
        <v>-7.948997739607357</v>
      </c>
      <c r="D6281" s="2" t="str">
        <f t="shared" si="97"/>
        <v>Error?</v>
      </c>
      <c r="E6281" s="2" t="s">
        <v>189</v>
      </c>
    </row>
    <row r="6282" spans="1:5" x14ac:dyDescent="0.2">
      <c r="A6282">
        <v>6221</v>
      </c>
      <c r="B6282" s="1832">
        <f>'Acct Summary 7-8'!I83</f>
        <v>-15.132001026104589</v>
      </c>
      <c r="D6282" s="2" t="str">
        <f t="shared" si="97"/>
        <v>Error?</v>
      </c>
      <c r="E6282" s="2" t="s">
        <v>189</v>
      </c>
    </row>
    <row r="6283" spans="1:5" x14ac:dyDescent="0.2">
      <c r="A6283">
        <v>6222</v>
      </c>
      <c r="B6283" s="1832" t="e">
        <f>'Acct Summary 7-8'!J83</f>
        <v>#DIV/0!</v>
      </c>
      <c r="D6283" s="2" t="e">
        <f t="shared" si="97"/>
        <v>#DIV/0!</v>
      </c>
      <c r="E6283" s="2" t="s">
        <v>189</v>
      </c>
    </row>
    <row r="6284" spans="1:5" x14ac:dyDescent="0.2">
      <c r="A6284">
        <v>6223</v>
      </c>
      <c r="B6284" s="1832">
        <f>'Acct Summary 7-8'!K83</f>
        <v>1.8044047099869166E-2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47621</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26852</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69376</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166342</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26852</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24648</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24648</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24648</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518454</v>
      </c>
      <c r="D6983" s="2" t="str">
        <f t="shared" si="108"/>
        <v>Error?</v>
      </c>
    </row>
    <row r="6984" spans="1:4" x14ac:dyDescent="0.2">
      <c r="A6984">
        <v>6923</v>
      </c>
      <c r="B6984" s="1832">
        <f>'Expenditures 15-22'!K86</f>
        <v>518454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518454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26852</v>
      </c>
      <c r="D7020" s="2" t="str">
        <f t="shared" si="108"/>
        <v>Error?</v>
      </c>
    </row>
    <row r="7021" spans="1:4" x14ac:dyDescent="0.2">
      <c r="A7021">
        <v>6960</v>
      </c>
      <c r="B7021" s="1832">
        <f>'Expenditures 15-22'!J114</f>
        <v>24648</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16846</v>
      </c>
      <c r="D7067" s="2" t="str">
        <f t="shared" si="109"/>
        <v>Error?</v>
      </c>
    </row>
    <row r="7068" spans="1:4" x14ac:dyDescent="0.2">
      <c r="A7068">
        <v>7007</v>
      </c>
      <c r="B7068" s="1832">
        <f>'Expenditures 15-22'!K205</f>
        <v>16846</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691</v>
      </c>
      <c r="D7073" s="2" t="str">
        <f t="shared" si="109"/>
        <v>Error?</v>
      </c>
    </row>
    <row r="7074" spans="1:4" x14ac:dyDescent="0.2">
      <c r="A7074">
        <v>7013</v>
      </c>
      <c r="B7074" s="1832">
        <f>'Expenditures 15-22'!K216</f>
        <v>691</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1841</v>
      </c>
      <c r="D7077" s="2" t="str">
        <f t="shared" si="109"/>
        <v>Error?</v>
      </c>
    </row>
    <row r="7078" spans="1:4" x14ac:dyDescent="0.2">
      <c r="A7078">
        <v>7017</v>
      </c>
      <c r="B7078" s="1832">
        <f>'Expenditures 15-22'!K220</f>
        <v>1841</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18398</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3357</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126956</v>
      </c>
      <c r="D7251" s="2" t="str">
        <f t="shared" si="112"/>
        <v>Error?</v>
      </c>
    </row>
    <row r="7252" spans="1:4" x14ac:dyDescent="0.2">
      <c r="A7252">
        <f t="shared" si="113"/>
        <v>7191</v>
      </c>
      <c r="B7252" s="1832">
        <f>'Expenditures 15-22'!D9</f>
        <v>37540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1846</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26852</v>
      </c>
      <c r="D7624" s="2" t="str">
        <f t="shared" si="124"/>
        <v>Error?</v>
      </c>
      <c r="E7624" s="2" t="s">
        <v>19</v>
      </c>
    </row>
    <row r="7625" spans="1:5" x14ac:dyDescent="0.2">
      <c r="A7625">
        <f t="shared" si="123"/>
        <v>7564</v>
      </c>
      <c r="B7625" s="1832">
        <f>'Cap Outlay Deprec 26'!I17</f>
        <v>2685.2</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2368874.2000000002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52792</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1250000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262308</v>
      </c>
      <c r="D7759" s="2" t="str">
        <f t="shared" si="127"/>
        <v>Error?</v>
      </c>
      <c r="E7759" s="4" t="s">
        <v>1322</v>
      </c>
    </row>
    <row r="7760" spans="1:6" x14ac:dyDescent="0.2">
      <c r="A7760">
        <v>7699</v>
      </c>
      <c r="B7760" s="1832">
        <f>'Aud Quest 2'!J90</f>
        <v>262308</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18675000</v>
      </c>
      <c r="D7817" s="2" t="str">
        <f t="shared" si="128"/>
        <v>Error?</v>
      </c>
      <c r="E7817" s="4" t="s">
        <v>1966</v>
      </c>
    </row>
    <row r="7818" spans="1:5" x14ac:dyDescent="0.2">
      <c r="A7818">
        <v>7757</v>
      </c>
      <c r="B7818" s="1832">
        <f>'PCTC-OEPP 27-28'!F172</f>
        <v>619083</v>
      </c>
      <c r="D7818" s="2" t="str">
        <f t="shared" si="128"/>
        <v>Error?</v>
      </c>
      <c r="E7818" s="4" t="s">
        <v>1980</v>
      </c>
    </row>
    <row r="7819" spans="1:5" x14ac:dyDescent="0.2">
      <c r="A7819">
        <v>7758</v>
      </c>
      <c r="B7819" s="1832">
        <f>'PCTC-OEPP 27-28'!F173</f>
        <v>55436</v>
      </c>
      <c r="D7819" s="2" t="str">
        <f t="shared" si="128"/>
        <v>Error?</v>
      </c>
      <c r="E7819" s="4" t="s">
        <v>1980</v>
      </c>
    </row>
    <row r="7820" spans="1:5" x14ac:dyDescent="0.2">
      <c r="A7820">
        <v>7759</v>
      </c>
      <c r="B7820" s="1832">
        <f>'ICR Computation 30'!E40</f>
        <v>-781729</v>
      </c>
      <c r="D7820" s="2" t="str">
        <f t="shared" si="128"/>
        <v>Error?</v>
      </c>
    </row>
    <row r="7821" spans="1:5" x14ac:dyDescent="0.2">
      <c r="A7821">
        <v>7760</v>
      </c>
      <c r="B7821" s="1832">
        <f>'ICR Computation 30'!G40</f>
        <v>-781729</v>
      </c>
      <c r="D7821" s="2" t="str">
        <f t="shared" si="128"/>
        <v>Error?</v>
      </c>
    </row>
    <row r="7822" spans="1:5" x14ac:dyDescent="0.2">
      <c r="A7822" s="1">
        <v>7761</v>
      </c>
      <c r="B7822" s="1832">
        <f>'PCTC-OEPP 27-28'!F14</f>
        <v>31836887</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69376</v>
      </c>
      <c r="D7826" s="2" t="str">
        <f t="shared" si="129"/>
        <v>Error?</v>
      </c>
      <c r="E7826" s="4" t="s">
        <v>1998</v>
      </c>
    </row>
    <row r="7827" spans="1:5" x14ac:dyDescent="0.2">
      <c r="A7827">
        <v>7766</v>
      </c>
      <c r="B7827" s="1832">
        <f>'PCTC-OEPP 27-28'!F35</f>
        <v>166342</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24840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5717404</v>
      </c>
      <c r="D7834" s="2" t="str">
        <f t="shared" si="129"/>
        <v>Error?</v>
      </c>
      <c r="E7834" s="4" t="s">
        <v>1998</v>
      </c>
    </row>
    <row r="7835" spans="1:5" x14ac:dyDescent="0.2">
      <c r="A7835">
        <v>7774</v>
      </c>
      <c r="B7835" s="1832">
        <f>'PCTC-OEPP 27-28'!F78</f>
        <v>26119483</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12809.947523295734</v>
      </c>
      <c r="D7837" s="2" t="str">
        <f t="shared" si="129"/>
        <v>Error?</v>
      </c>
      <c r="E7837" s="4" t="s">
        <v>1998</v>
      </c>
    </row>
    <row r="7838" spans="1:5" x14ac:dyDescent="0.2">
      <c r="A7838">
        <v>7777</v>
      </c>
      <c r="B7838" s="1832">
        <f>'PCTC-OEPP 27-28'!F96</f>
        <v>29791</v>
      </c>
      <c r="D7838" s="2" t="str">
        <f t="shared" si="129"/>
        <v>Error?</v>
      </c>
      <c r="E7838" s="4" t="s">
        <v>1998</v>
      </c>
    </row>
    <row r="7839" spans="1:5" x14ac:dyDescent="0.2">
      <c r="A7839">
        <v>7778</v>
      </c>
      <c r="B7839" s="1832">
        <f>'PCTC-OEPP 27-28'!F102</f>
        <v>37726</v>
      </c>
      <c r="D7839" s="2" t="str">
        <f t="shared" si="129"/>
        <v>Error?</v>
      </c>
      <c r="E7839" s="4" t="s">
        <v>1998</v>
      </c>
    </row>
    <row r="7840" spans="1:5" x14ac:dyDescent="0.2">
      <c r="A7840">
        <v>7779</v>
      </c>
      <c r="B7840" s="1832">
        <f>'PCTC-OEPP 27-28'!F103</f>
        <v>129220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149139</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908877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8774</v>
      </c>
      <c r="D7858" s="2" t="str">
        <f t="shared" si="129"/>
        <v>Error?</v>
      </c>
      <c r="E7858" s="4" t="s">
        <v>1998</v>
      </c>
    </row>
    <row r="7859" spans="1:5" x14ac:dyDescent="0.2">
      <c r="A7859">
        <v>7798</v>
      </c>
      <c r="B7859" s="1832">
        <f>'PCTC-OEPP 27-28'!F127</f>
        <v>124249</v>
      </c>
      <c r="D7859" s="2" t="str">
        <f t="shared" si="129"/>
        <v>Error?</v>
      </c>
      <c r="E7859" s="4" t="s">
        <v>1998</v>
      </c>
    </row>
    <row r="7860" spans="1:5" x14ac:dyDescent="0.2">
      <c r="A7860">
        <v>7799</v>
      </c>
      <c r="B7860" s="1832">
        <f>'PCTC-OEPP 27-28'!F128</f>
        <v>9315</v>
      </c>
      <c r="D7860" s="2" t="str">
        <f t="shared" si="129"/>
        <v>Error?</v>
      </c>
      <c r="E7860" s="4" t="s">
        <v>1998</v>
      </c>
    </row>
    <row r="7861" spans="1:5" x14ac:dyDescent="0.2">
      <c r="A7861">
        <v>7800</v>
      </c>
      <c r="B7861" s="1832">
        <f>'PCTC-OEPP 27-28'!F129</f>
        <v>233009</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28418</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19480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20475</v>
      </c>
      <c r="D7874" s="2" t="str">
        <f t="shared" si="129"/>
        <v>Error?</v>
      </c>
      <c r="E7874" s="4" t="s">
        <v>1998</v>
      </c>
    </row>
    <row r="7875" spans="1:5" x14ac:dyDescent="0.2">
      <c r="A7875">
        <v>7814</v>
      </c>
      <c r="B7875" s="1832">
        <f>'PCTC-OEPP 27-28'!F170</f>
        <v>46144</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2933401</v>
      </c>
      <c r="D7877" s="2" t="str">
        <f t="shared" si="129"/>
        <v>Error?</v>
      </c>
      <c r="E7877" s="4" t="s">
        <v>1998</v>
      </c>
    </row>
    <row r="7878" spans="1:5" x14ac:dyDescent="0.2">
      <c r="A7878">
        <v>7817</v>
      </c>
      <c r="B7878" s="1832">
        <f>'PCTC-OEPP 27-28'!F176</f>
        <v>23186082</v>
      </c>
      <c r="D7878" s="2" t="str">
        <f t="shared" si="129"/>
        <v>Error?</v>
      </c>
      <c r="E7878" s="4" t="s">
        <v>1998</v>
      </c>
    </row>
    <row r="7879" spans="1:5" x14ac:dyDescent="0.2">
      <c r="A7879">
        <v>7818</v>
      </c>
      <c r="B7879" s="1832">
        <f>'PCTC-OEPP 27-28'!F178</f>
        <v>25554956.199999999</v>
      </c>
      <c r="D7879" s="2" t="str">
        <f t="shared" si="129"/>
        <v>Error?</v>
      </c>
      <c r="E7879" s="4" t="s">
        <v>1998</v>
      </c>
    </row>
    <row r="7880" spans="1:5" x14ac:dyDescent="0.2">
      <c r="A7880">
        <v>7819</v>
      </c>
      <c r="B7880" s="1832">
        <f>'PCTC-OEPP 27-28'!F180</f>
        <v>12533.08298185385</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6" t="s">
        <v>1181</v>
      </c>
      <c r="B2" s="2536"/>
      <c r="C2" s="2536"/>
      <c r="D2" s="2536"/>
      <c r="E2" s="2536"/>
      <c r="F2" s="2536"/>
      <c r="G2" s="2536"/>
      <c r="H2" s="2536"/>
      <c r="I2" s="2536"/>
      <c r="J2" s="2536"/>
      <c r="K2" s="2536"/>
      <c r="L2" s="2536"/>
    </row>
    <row r="3" spans="1:29" ht="13.5" customHeight="1" x14ac:dyDescent="0.2">
      <c r="A3" s="2522" t="s">
        <v>1180</v>
      </c>
      <c r="B3" s="2522"/>
      <c r="C3" s="2522"/>
      <c r="D3" s="2522"/>
      <c r="E3" s="2522"/>
      <c r="F3" s="2522"/>
      <c r="G3" s="2522"/>
      <c r="H3" s="2522"/>
      <c r="I3" s="2522"/>
      <c r="J3" s="2522"/>
      <c r="K3" s="2522"/>
      <c r="L3" s="2522"/>
    </row>
    <row r="4" spans="1:29" ht="13.5" customHeight="1" x14ac:dyDescent="0.2">
      <c r="A4" s="2553" t="str">
        <f>"Year Ending June 30, "&amp;'AFR20'!E2</f>
        <v>Year Ending June 30, 2020</v>
      </c>
      <c r="B4" s="2554"/>
      <c r="C4" s="2554"/>
      <c r="D4" s="2554"/>
      <c r="E4" s="2554"/>
      <c r="F4" s="2554"/>
      <c r="G4" s="2554"/>
      <c r="H4" s="2554"/>
      <c r="I4" s="2554"/>
      <c r="J4" s="2554"/>
      <c r="K4" s="2554"/>
      <c r="L4" s="255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6" t="str">
        <f>COVER!A17</f>
        <v xml:space="preserve"> Fremont SD 79</v>
      </c>
      <c r="B7" s="2517"/>
      <c r="C7" s="2517"/>
      <c r="D7" s="2555"/>
      <c r="E7" s="2556">
        <f>COVER!A13</f>
        <v>34049079002</v>
      </c>
      <c r="F7" s="2557"/>
      <c r="G7" s="2523" t="str">
        <f>COVER!T23</f>
        <v>066-005340</v>
      </c>
      <c r="H7" s="2524"/>
      <c r="I7" s="2524"/>
      <c r="J7" s="2524"/>
      <c r="K7" s="2524"/>
      <c r="L7" s="252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6"/>
      <c r="B9" s="2527"/>
      <c r="C9" s="2527"/>
      <c r="D9" s="2527"/>
      <c r="E9" s="2527"/>
      <c r="F9" s="2528"/>
      <c r="G9" s="2529" t="str">
        <f>COVER!T13</f>
        <v>Evans, Marshall and Pease, PC</v>
      </c>
      <c r="H9" s="2530"/>
      <c r="I9" s="2530"/>
      <c r="J9" s="2530"/>
      <c r="K9" s="2530"/>
      <c r="L9" s="2531"/>
    </row>
    <row r="10" spans="1:29" ht="13.5" customHeight="1" x14ac:dyDescent="0.2">
      <c r="A10" s="2513">
        <f>COVER!A38</f>
        <v>0</v>
      </c>
      <c r="B10" s="2514"/>
      <c r="C10" s="2514"/>
      <c r="D10" s="2514"/>
      <c r="E10" s="2514"/>
      <c r="F10" s="2515"/>
      <c r="G10" s="2529" t="str">
        <f>COVER!T17</f>
        <v>1875 Hicks Road</v>
      </c>
      <c r="H10" s="2542"/>
      <c r="I10" s="2542"/>
      <c r="J10" s="2542"/>
      <c r="K10" s="2542"/>
      <c r="L10" s="2543"/>
    </row>
    <row r="11" spans="1:29" ht="13.5" customHeight="1" x14ac:dyDescent="0.2">
      <c r="A11" s="963" t="s">
        <v>1502</v>
      </c>
      <c r="B11" s="964"/>
      <c r="C11" s="965"/>
      <c r="D11" s="970"/>
      <c r="E11" s="965"/>
      <c r="F11" s="969"/>
      <c r="G11" s="2529" t="str">
        <f>COVER!T19</f>
        <v>Rolling Meadows</v>
      </c>
      <c r="H11" s="2542"/>
      <c r="I11" s="2542"/>
      <c r="J11" s="2542"/>
      <c r="K11" s="2542"/>
      <c r="L11" s="2543"/>
    </row>
    <row r="12" spans="1:29" ht="13.5" customHeight="1" x14ac:dyDescent="0.2">
      <c r="A12" s="2547" t="s">
        <v>1501</v>
      </c>
      <c r="B12" s="2548"/>
      <c r="C12" s="2548"/>
      <c r="D12" s="2548"/>
      <c r="E12" s="2548"/>
      <c r="F12" s="2549"/>
      <c r="G12" s="2544"/>
      <c r="H12" s="2545"/>
      <c r="I12" s="2545"/>
      <c r="J12" s="2545"/>
      <c r="K12" s="2545"/>
      <c r="L12" s="2546"/>
    </row>
    <row r="13" spans="1:29" ht="13.5" customHeight="1" x14ac:dyDescent="0.2">
      <c r="A13" s="2529"/>
      <c r="B13" s="2542"/>
      <c r="C13" s="2542"/>
      <c r="D13" s="2542"/>
      <c r="E13" s="2542"/>
      <c r="F13" s="2543"/>
      <c r="G13" s="2537" t="s">
        <v>1503</v>
      </c>
      <c r="H13" s="2538"/>
      <c r="I13" s="2550" t="str">
        <f>COVER!T25</f>
        <v>jeff@empcpa.com</v>
      </c>
      <c r="J13" s="2551"/>
      <c r="K13" s="2551"/>
      <c r="L13" s="2552"/>
    </row>
    <row r="14" spans="1:29" ht="13.5" customHeight="1" x14ac:dyDescent="0.2">
      <c r="A14" s="2529" t="str">
        <f>COVER!A19</f>
        <v>28855 N. Fremont Center</v>
      </c>
      <c r="B14" s="2542"/>
      <c r="C14" s="2542"/>
      <c r="D14" s="2542"/>
      <c r="E14" s="2542"/>
      <c r="F14" s="2543"/>
      <c r="G14" s="974" t="s">
        <v>1175</v>
      </c>
      <c r="H14" s="972"/>
      <c r="I14" s="972"/>
      <c r="J14" s="972"/>
      <c r="K14" s="972"/>
      <c r="L14" s="973"/>
    </row>
    <row r="15" spans="1:29" ht="13.5" customHeight="1" x14ac:dyDescent="0.2">
      <c r="A15" s="2529" t="str">
        <f>COVER!A21</f>
        <v>Mundelein</v>
      </c>
      <c r="B15" s="2542"/>
      <c r="C15" s="2542"/>
      <c r="D15" s="2542"/>
      <c r="E15" s="2542"/>
      <c r="F15" s="2543"/>
      <c r="G15" s="2539" t="str">
        <f>COVER!T15</f>
        <v>Jeffery M. Rollefson, CPA</v>
      </c>
      <c r="H15" s="2540"/>
      <c r="I15" s="2540"/>
      <c r="J15" s="2540"/>
      <c r="K15" s="2540"/>
      <c r="L15" s="2541"/>
    </row>
    <row r="16" spans="1:29" ht="12.2" customHeight="1" x14ac:dyDescent="0.2">
      <c r="A16" s="2519">
        <f>COVER!A25</f>
        <v>60060</v>
      </c>
      <c r="B16" s="2520"/>
      <c r="C16" s="2520"/>
      <c r="D16" s="2520"/>
      <c r="E16" s="2520"/>
      <c r="F16" s="2521"/>
      <c r="G16" s="2532"/>
      <c r="H16" s="2533"/>
      <c r="I16" s="2533"/>
      <c r="J16" s="2533"/>
      <c r="K16" s="2533"/>
      <c r="L16" s="2534"/>
    </row>
    <row r="17" spans="1:13" ht="12.2" customHeight="1" x14ac:dyDescent="0.2">
      <c r="A17" s="2535"/>
      <c r="B17" s="2520"/>
      <c r="C17" s="2520"/>
      <c r="D17" s="2520"/>
      <c r="E17" s="2520"/>
      <c r="F17" s="2521"/>
      <c r="G17" s="974" t="s">
        <v>1174</v>
      </c>
      <c r="H17" s="972"/>
      <c r="I17" s="972"/>
      <c r="J17" s="972"/>
      <c r="K17" s="976" t="s">
        <v>1173</v>
      </c>
      <c r="L17" s="969"/>
      <c r="M17" s="962"/>
    </row>
    <row r="18" spans="1:13" ht="12.2" customHeight="1" x14ac:dyDescent="0.2">
      <c r="A18" s="2513"/>
      <c r="B18" s="2514"/>
      <c r="C18" s="2514"/>
      <c r="D18" s="2514"/>
      <c r="E18" s="2514"/>
      <c r="F18" s="2515"/>
      <c r="G18" s="2516" t="str">
        <f>COVER!T21</f>
        <v>847-221-5700</v>
      </c>
      <c r="H18" s="2517"/>
      <c r="I18" s="2517"/>
      <c r="J18" s="2517"/>
      <c r="K18" s="2516" t="str">
        <f>COVER!X21</f>
        <v>847-221-5701</v>
      </c>
      <c r="L18" s="251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 xml:space="preserve"> Fremont SD 79</v>
      </c>
      <c r="B1" s="2559"/>
      <c r="C1" s="2559"/>
      <c r="D1" s="2559"/>
    </row>
    <row r="2" spans="1:11" s="991" customFormat="1" ht="12.75" x14ac:dyDescent="0.2">
      <c r="A2" s="2560">
        <f>'Single Audit Cover'!E7</f>
        <v>34049079002</v>
      </c>
      <c r="B2" s="2561"/>
      <c r="C2" s="2561"/>
      <c r="D2" s="2561"/>
    </row>
    <row r="3" spans="1:11" s="991" customFormat="1" ht="12.75" x14ac:dyDescent="0.2">
      <c r="A3" s="2558" t="s">
        <v>1496</v>
      </c>
      <c r="B3" s="2559"/>
      <c r="C3" s="2559"/>
      <c r="D3" s="255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 xml:space="preserve"> Fremont SD 79</v>
      </c>
      <c r="B1" s="2563"/>
      <c r="C1" s="2563"/>
      <c r="D1" s="2563"/>
      <c r="E1" s="2563"/>
    </row>
    <row r="2" spans="1:5" x14ac:dyDescent="0.2">
      <c r="A2" s="2564">
        <f>'Single Audit Cover'!E7</f>
        <v>34049079002</v>
      </c>
      <c r="B2" s="2564"/>
      <c r="C2" s="2564"/>
      <c r="D2" s="2564"/>
      <c r="E2" s="2564"/>
    </row>
    <row r="3" spans="1:5" ht="4.5" customHeight="1" x14ac:dyDescent="0.2"/>
    <row r="4" spans="1:5" x14ac:dyDescent="0.2">
      <c r="A4" s="2563" t="s">
        <v>1234</v>
      </c>
      <c r="B4" s="2563"/>
      <c r="C4" s="2563"/>
      <c r="D4" s="2563"/>
      <c r="E4" s="2563"/>
    </row>
    <row r="5" spans="1:5" x14ac:dyDescent="0.2">
      <c r="A5" s="2566" t="str">
        <f>'Single Audit Cover'!A4</f>
        <v>Year Ending June 30, 2020</v>
      </c>
      <c r="B5" s="2566"/>
      <c r="C5" s="2566"/>
      <c r="D5" s="2566"/>
      <c r="E5" s="2566"/>
    </row>
    <row r="6" spans="1:5" x14ac:dyDescent="0.2">
      <c r="A6" s="2563" t="s">
        <v>1233</v>
      </c>
      <c r="B6" s="2563"/>
      <c r="C6" s="2563"/>
      <c r="D6" s="2563"/>
      <c r="E6" s="2563"/>
    </row>
    <row r="8" spans="1:5" x14ac:dyDescent="0.2">
      <c r="A8" s="1036" t="s">
        <v>1232</v>
      </c>
    </row>
    <row r="10" spans="1:5" x14ac:dyDescent="0.2">
      <c r="A10" s="1037" t="s">
        <v>1231</v>
      </c>
      <c r="B10" s="1038" t="s">
        <v>1230</v>
      </c>
      <c r="C10" s="1038"/>
      <c r="D10" s="1039">
        <f>SUM('Acct Summary 7-8'!C7:K7)</f>
        <v>514558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-46144</v>
      </c>
    </row>
    <row r="19" spans="1:4" ht="13.5" thickBot="1" x14ac:dyDescent="0.25">
      <c r="A19" s="1041" t="s">
        <v>1224</v>
      </c>
      <c r="D19" s="1042">
        <f>SUM(D10:D17)</f>
        <v>468414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1222</v>
      </c>
      <c r="D32" s="1039">
        <f>SUM(D19:D30)</f>
        <v>468414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1216</v>
      </c>
      <c r="C47" s="1048"/>
      <c r="D47" s="1049">
        <f>SUM(D35:D45)</f>
        <v>0</v>
      </c>
    </row>
    <row r="49" spans="2:4" x14ac:dyDescent="0.2">
      <c r="B49" s="1048" t="s">
        <v>1215</v>
      </c>
      <c r="C49" s="1048"/>
      <c r="D49" s="1049">
        <f>D32-D47</f>
        <v>468414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2" t="str">
        <f>'Single Audit Cover'!A7</f>
        <v xml:space="preserve"> Fremont SD 79</v>
      </c>
      <c r="C1" s="2567"/>
      <c r="D1" s="2567"/>
      <c r="E1" s="2567"/>
      <c r="F1" s="2567"/>
      <c r="G1" s="2567"/>
      <c r="H1" s="2567"/>
      <c r="I1" s="2567"/>
      <c r="J1" s="2567"/>
      <c r="K1" s="2567"/>
      <c r="L1" s="2567"/>
      <c r="M1" s="2567"/>
    </row>
    <row r="2" spans="2:14" ht="15" x14ac:dyDescent="0.2">
      <c r="B2" s="2568">
        <f>'Single Audit Cover'!E7</f>
        <v>34049079002</v>
      </c>
      <c r="C2" s="2568"/>
      <c r="D2" s="2568"/>
      <c r="E2" s="2568"/>
      <c r="F2" s="2568"/>
      <c r="G2" s="2568"/>
      <c r="H2" s="2568"/>
      <c r="I2" s="2568"/>
      <c r="J2" s="2568"/>
      <c r="K2" s="2568"/>
      <c r="L2" s="2568"/>
      <c r="M2" s="2568"/>
      <c r="N2" s="1078"/>
    </row>
    <row r="3" spans="2:14" ht="15" x14ac:dyDescent="0.2">
      <c r="B3" s="2569" t="s">
        <v>1208</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2" t="str">
        <f>'Single Audit Cover'!A7</f>
        <v xml:space="preserve"> Fremont SD 79</v>
      </c>
      <c r="B1" s="2572"/>
      <c r="C1" s="2572"/>
      <c r="D1" s="2572"/>
      <c r="E1" s="2572"/>
      <c r="F1" s="2572"/>
    </row>
    <row r="2" spans="1:7" ht="13.5" customHeight="1" x14ac:dyDescent="0.2">
      <c r="A2" s="2568">
        <f>'Single Audit Cover'!E7</f>
        <v>34049079002</v>
      </c>
      <c r="B2" s="2568"/>
      <c r="C2" s="2568"/>
      <c r="D2" s="2568"/>
      <c r="E2" s="2568"/>
      <c r="F2" s="2568"/>
      <c r="G2" s="1051"/>
    </row>
    <row r="3" spans="1:7" ht="15.75" customHeight="1" x14ac:dyDescent="0.2">
      <c r="A3" s="2573" t="s">
        <v>1260</v>
      </c>
      <c r="B3" s="2573"/>
      <c r="C3" s="2573"/>
      <c r="D3" s="2573"/>
      <c r="E3" s="2573"/>
      <c r="F3" s="2573"/>
    </row>
    <row r="4" spans="1:7" ht="13.5" customHeight="1" x14ac:dyDescent="0.2">
      <c r="A4" s="2574" t="str">
        <f>'Single Audit Cover'!A4</f>
        <v>Year Ending June 30, 2020</v>
      </c>
      <c r="B4" s="2574"/>
      <c r="C4" s="2574"/>
      <c r="D4" s="2574"/>
      <c r="E4" s="2574"/>
      <c r="F4" s="2574"/>
    </row>
    <row r="5" spans="1:7" ht="8.25" customHeight="1" x14ac:dyDescent="0.2">
      <c r="C5" s="295"/>
      <c r="D5" s="295"/>
    </row>
    <row r="6" spans="1:7" ht="13.5" customHeight="1" x14ac:dyDescent="0.2">
      <c r="A6" s="1052" t="s">
        <v>1705</v>
      </c>
      <c r="C6" s="295"/>
      <c r="D6" s="295"/>
    </row>
    <row r="7" spans="1:7" ht="60.95" customHeight="1" x14ac:dyDescent="0.2">
      <c r="A7" s="2571" t="s">
        <v>1706</v>
      </c>
      <c r="B7" s="2571"/>
      <c r="C7" s="2571"/>
      <c r="D7" s="2571"/>
      <c r="E7" s="2571"/>
      <c r="F7" s="257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1" t="s">
        <v>1708</v>
      </c>
      <c r="B13" s="2571"/>
      <c r="C13" s="2571"/>
      <c r="D13" s="2571"/>
      <c r="E13" s="2571"/>
      <c r="F13" s="2571"/>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5"/>
      <c r="E17" s="2575"/>
      <c r="F17" s="2575"/>
    </row>
    <row r="18" spans="1:6" ht="20.65" customHeight="1" x14ac:dyDescent="0.2">
      <c r="A18" s="1059"/>
      <c r="B18" s="1060"/>
      <c r="C18" s="1061"/>
      <c r="D18" s="2575"/>
      <c r="E18" s="2575"/>
      <c r="F18" s="2575"/>
    </row>
    <row r="19" spans="1:6" ht="20.65" customHeight="1" x14ac:dyDescent="0.2">
      <c r="A19" s="1059"/>
      <c r="B19" s="1060"/>
      <c r="C19" s="1061"/>
      <c r="D19" s="2575"/>
      <c r="E19" s="2575"/>
      <c r="F19" s="2575"/>
    </row>
    <row r="20" spans="1:6" ht="20.65" customHeight="1" x14ac:dyDescent="0.2">
      <c r="A20" s="1059"/>
      <c r="B20" s="1060"/>
      <c r="C20" s="1061"/>
      <c r="D20" s="2575"/>
      <c r="E20" s="2575"/>
      <c r="F20" s="2575"/>
    </row>
    <row r="21" spans="1:6" ht="20.65" customHeight="1" x14ac:dyDescent="0.2">
      <c r="A21" s="1059"/>
      <c r="B21" s="1060"/>
      <c r="C21" s="1061"/>
      <c r="D21" s="2575"/>
      <c r="E21" s="2575"/>
      <c r="F21" s="2575"/>
    </row>
    <row r="22" spans="1:6" ht="20.65" customHeight="1" x14ac:dyDescent="0.2">
      <c r="A22" s="1059"/>
      <c r="B22" s="1060"/>
      <c r="C22" s="1061"/>
      <c r="D22" s="2575"/>
      <c r="E22" s="2575"/>
      <c r="F22" s="2575"/>
    </row>
    <row r="23" spans="1:6" ht="20.65" customHeight="1" x14ac:dyDescent="0.2">
      <c r="A23" s="1059"/>
      <c r="B23" s="1060"/>
      <c r="C23" s="1061"/>
      <c r="D23" s="2575"/>
      <c r="E23" s="2575"/>
      <c r="F23" s="2575"/>
    </row>
    <row r="24" spans="1:6" ht="20.65" customHeight="1" x14ac:dyDescent="0.2">
      <c r="A24" s="1059"/>
      <c r="B24" s="1060"/>
      <c r="C24" s="1061"/>
      <c r="D24" s="2575"/>
      <c r="E24" s="2575"/>
      <c r="F24" s="2575"/>
    </row>
    <row r="25" spans="1:6" ht="20.65" customHeight="1" x14ac:dyDescent="0.2">
      <c r="A25" s="1059"/>
      <c r="B25" s="1060"/>
      <c r="C25" s="1061"/>
      <c r="D25" s="2575"/>
      <c r="E25" s="2575"/>
      <c r="F25" s="2575"/>
    </row>
    <row r="26" spans="1:6" ht="20.65" customHeight="1" x14ac:dyDescent="0.2">
      <c r="A26" s="1059"/>
      <c r="B26" s="1060"/>
      <c r="C26" s="1061"/>
      <c r="D26" s="2575"/>
      <c r="E26" s="2575"/>
      <c r="F26" s="2575"/>
    </row>
    <row r="27" spans="1:6" ht="20.65" customHeight="1" x14ac:dyDescent="0.2">
      <c r="A27" s="1059"/>
      <c r="B27" s="1060"/>
      <c r="C27" s="1061"/>
      <c r="D27" s="2575"/>
      <c r="E27" s="2575"/>
      <c r="F27" s="2575"/>
    </row>
    <row r="28" spans="1:6" ht="20.65" customHeight="1" x14ac:dyDescent="0.2">
      <c r="A28" s="1059"/>
      <c r="B28" s="1060"/>
      <c r="C28" s="1061"/>
      <c r="D28" s="2575"/>
      <c r="E28" s="2575"/>
      <c r="F28" s="2575"/>
    </row>
    <row r="29" spans="1:6" ht="20.65" customHeight="1" x14ac:dyDescent="0.2">
      <c r="A29" s="1059"/>
      <c r="B29" s="1060"/>
      <c r="C29" s="1061"/>
      <c r="D29" s="2575"/>
      <c r="E29" s="2575"/>
      <c r="F29" s="257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1534</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election activeCell="J78" sqref="J7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5" t="s">
        <v>1158</v>
      </c>
      <c r="B2" s="2155"/>
      <c r="C2" s="2155"/>
      <c r="D2" s="2155"/>
      <c r="E2" s="2155"/>
      <c r="F2" s="2155"/>
      <c r="G2" s="2155"/>
      <c r="H2" s="2155"/>
      <c r="I2" s="2155"/>
      <c r="J2" s="2155"/>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9" t="s">
        <v>1616</v>
      </c>
      <c r="B35" s="2170"/>
      <c r="C35" s="2170"/>
      <c r="D35" s="2170"/>
      <c r="E35" s="2171"/>
      <c r="F35" s="2171"/>
      <c r="G35" s="2171"/>
      <c r="H35" s="2171"/>
      <c r="I35" s="217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9" t="s">
        <v>310</v>
      </c>
      <c r="B47" s="2172"/>
      <c r="C47" s="2172"/>
      <c r="D47" s="2172"/>
      <c r="E47" s="2173"/>
      <c r="F47" s="2173"/>
      <c r="G47" s="2173"/>
      <c r="H47" s="2173"/>
      <c r="I47" s="217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2051</v>
      </c>
      <c r="C53" s="174">
        <v>22</v>
      </c>
      <c r="D53" s="242" t="s">
        <v>1445</v>
      </c>
      <c r="E53" s="243"/>
      <c r="F53" s="244"/>
      <c r="G53" s="244" t="s">
        <v>1444</v>
      </c>
      <c r="H53" s="245">
        <v>33512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6"/>
      <c r="C57" s="2177"/>
      <c r="D57" s="2177"/>
      <c r="E57" s="2177"/>
      <c r="F57" s="2177"/>
      <c r="G57" s="2177"/>
      <c r="H57" s="2177"/>
      <c r="I57" s="2177"/>
      <c r="J57" s="2178"/>
    </row>
    <row r="58" spans="1:10" s="176" customFormat="1" x14ac:dyDescent="0.2">
      <c r="A58" s="248"/>
      <c r="B58" s="2179"/>
      <c r="C58" s="2180"/>
      <c r="D58" s="2180"/>
      <c r="E58" s="2180"/>
      <c r="F58" s="2180"/>
      <c r="G58" s="2180"/>
      <c r="H58" s="2180"/>
      <c r="I58" s="2180"/>
      <c r="J58" s="2181"/>
    </row>
    <row r="59" spans="1:10" s="176" customFormat="1" x14ac:dyDescent="0.2">
      <c r="A59" s="248"/>
      <c r="B59" s="2179"/>
      <c r="C59" s="2180"/>
      <c r="D59" s="2180"/>
      <c r="E59" s="2180"/>
      <c r="F59" s="2180"/>
      <c r="G59" s="2180"/>
      <c r="H59" s="2180"/>
      <c r="I59" s="2180"/>
      <c r="J59" s="2181"/>
    </row>
    <row r="60" spans="1:10" s="176" customFormat="1" x14ac:dyDescent="0.2">
      <c r="A60" s="248"/>
      <c r="B60" s="2179"/>
      <c r="C60" s="2180"/>
      <c r="D60" s="2180"/>
      <c r="E60" s="2180"/>
      <c r="F60" s="2180"/>
      <c r="G60" s="2180"/>
      <c r="H60" s="2180"/>
      <c r="I60" s="2180"/>
      <c r="J60" s="2181"/>
    </row>
    <row r="61" spans="1:10" s="176" customFormat="1" x14ac:dyDescent="0.2">
      <c r="A61" s="248"/>
      <c r="B61" s="2179"/>
      <c r="C61" s="2180"/>
      <c r="D61" s="2180"/>
      <c r="E61" s="2180"/>
      <c r="F61" s="2180"/>
      <c r="G61" s="2180"/>
      <c r="H61" s="2180"/>
      <c r="I61" s="2180"/>
      <c r="J61" s="2181"/>
    </row>
    <row r="62" spans="1:10" s="176" customFormat="1" x14ac:dyDescent="0.2">
      <c r="A62" s="248"/>
      <c r="B62" s="2179"/>
      <c r="C62" s="2180"/>
      <c r="D62" s="2180"/>
      <c r="E62" s="2180"/>
      <c r="F62" s="2180"/>
      <c r="G62" s="2180"/>
      <c r="H62" s="2180"/>
      <c r="I62" s="2180"/>
      <c r="J62" s="2181"/>
    </row>
    <row r="63" spans="1:10" s="176" customFormat="1" x14ac:dyDescent="0.2">
      <c r="A63" s="248"/>
      <c r="B63" s="2179"/>
      <c r="C63" s="2180"/>
      <c r="D63" s="2180"/>
      <c r="E63" s="2180"/>
      <c r="F63" s="2180"/>
      <c r="G63" s="2180"/>
      <c r="H63" s="2180"/>
      <c r="I63" s="2180"/>
      <c r="J63" s="2181"/>
    </row>
    <row r="64" spans="1:10" s="176" customFormat="1" x14ac:dyDescent="0.2">
      <c r="A64" s="248"/>
      <c r="B64" s="2179"/>
      <c r="C64" s="2180"/>
      <c r="D64" s="2180"/>
      <c r="E64" s="2180"/>
      <c r="F64" s="2180"/>
      <c r="G64" s="2180"/>
      <c r="H64" s="2180"/>
      <c r="I64" s="2180"/>
      <c r="J64" s="2181"/>
    </row>
    <row r="65" spans="1:11" s="176" customFormat="1" x14ac:dyDescent="0.2">
      <c r="A65" s="248"/>
      <c r="B65" s="2179"/>
      <c r="C65" s="2180"/>
      <c r="D65" s="2180"/>
      <c r="E65" s="2180"/>
      <c r="F65" s="2180"/>
      <c r="G65" s="2180"/>
      <c r="H65" s="2180"/>
      <c r="I65" s="2180"/>
      <c r="J65" s="2181"/>
    </row>
    <row r="66" spans="1:11" s="176" customFormat="1" x14ac:dyDescent="0.2">
      <c r="A66" s="248"/>
      <c r="B66" s="2179"/>
      <c r="C66" s="2180"/>
      <c r="D66" s="2180"/>
      <c r="E66" s="2180"/>
      <c r="F66" s="2180"/>
      <c r="G66" s="2180"/>
      <c r="H66" s="2180"/>
      <c r="I66" s="2180"/>
      <c r="J66" s="2181"/>
    </row>
    <row r="67" spans="1:11" s="176" customFormat="1" ht="9" customHeight="1" x14ac:dyDescent="0.2">
      <c r="A67" s="249"/>
      <c r="B67" s="2182"/>
      <c r="C67" s="2183"/>
      <c r="D67" s="2183"/>
      <c r="E67" s="2183"/>
      <c r="F67" s="2183"/>
      <c r="G67" s="2183"/>
      <c r="H67" s="2183"/>
      <c r="I67" s="2183"/>
      <c r="J67" s="218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9" t="s">
        <v>1312</v>
      </c>
      <c r="B70" s="2172"/>
      <c r="C70" s="2172"/>
      <c r="D70" s="2172"/>
      <c r="E70" s="2173"/>
      <c r="F70" s="2173"/>
      <c r="G70" s="2173"/>
      <c r="H70" s="2173"/>
      <c r="I70" s="2173"/>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v>44072</v>
      </c>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4" t="s">
        <v>1309</v>
      </c>
      <c r="B83" s="2174"/>
      <c r="C83" s="2174"/>
      <c r="D83" s="2175"/>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5" t="s">
        <v>1989</v>
      </c>
      <c r="B85" s="2185"/>
      <c r="C85" s="2185"/>
      <c r="D85" s="2186"/>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7" t="s">
        <v>1989</v>
      </c>
      <c r="B88" s="2188"/>
      <c r="C88" s="2188"/>
      <c r="D88" s="2189"/>
      <c r="E88" s="1544">
        <v>34978</v>
      </c>
      <c r="F88" s="1544"/>
      <c r="G88" s="1544">
        <v>141553</v>
      </c>
      <c r="H88" s="1544">
        <v>85777</v>
      </c>
      <c r="I88" s="1904"/>
      <c r="J88" s="1727">
        <f>SUM(E88:I88)</f>
        <v>262308</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262308</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6"/>
      <c r="C102" s="2157"/>
      <c r="D102" s="2157"/>
      <c r="E102" s="2157"/>
      <c r="F102" s="2157"/>
      <c r="G102" s="2157"/>
      <c r="H102" s="2157"/>
      <c r="I102" s="2158"/>
    </row>
    <row r="103" spans="1:9" s="176" customFormat="1" ht="11.25" customHeight="1" x14ac:dyDescent="0.2">
      <c r="A103" s="294"/>
      <c r="B103" s="2159"/>
      <c r="C103" s="2160"/>
      <c r="D103" s="2160"/>
      <c r="E103" s="2160"/>
      <c r="F103" s="2160"/>
      <c r="G103" s="2160"/>
      <c r="H103" s="2160"/>
      <c r="I103" s="2161"/>
    </row>
    <row r="104" spans="1:9" s="176" customFormat="1" ht="11.25" customHeight="1" x14ac:dyDescent="0.2">
      <c r="A104" s="294"/>
      <c r="B104" s="2159"/>
      <c r="C104" s="2160"/>
      <c r="D104" s="2160"/>
      <c r="E104" s="2160"/>
      <c r="F104" s="2160"/>
      <c r="G104" s="2160"/>
      <c r="H104" s="2160"/>
      <c r="I104" s="2161"/>
    </row>
    <row r="105" spans="1:9" s="176" customFormat="1" x14ac:dyDescent="0.2">
      <c r="A105" s="294"/>
      <c r="B105" s="2159"/>
      <c r="C105" s="2160"/>
      <c r="D105" s="2160"/>
      <c r="E105" s="2160"/>
      <c r="F105" s="2160"/>
      <c r="G105" s="2160"/>
      <c r="H105" s="2160"/>
      <c r="I105" s="2161"/>
    </row>
    <row r="106" spans="1:9" s="176" customFormat="1" ht="11.25" customHeight="1" x14ac:dyDescent="0.2">
      <c r="A106" s="294"/>
      <c r="B106" s="2159"/>
      <c r="C106" s="2160"/>
      <c r="D106" s="2160"/>
      <c r="E106" s="2160"/>
      <c r="F106" s="2160"/>
      <c r="G106" s="2160"/>
      <c r="H106" s="2160"/>
      <c r="I106" s="2161"/>
    </row>
    <row r="107" spans="1:9" s="176" customFormat="1" ht="11.25" customHeight="1" x14ac:dyDescent="0.2">
      <c r="A107" s="294"/>
      <c r="B107" s="2159"/>
      <c r="C107" s="2160"/>
      <c r="D107" s="2160"/>
      <c r="E107" s="2160"/>
      <c r="F107" s="2160"/>
      <c r="G107" s="2160"/>
      <c r="H107" s="2160"/>
      <c r="I107" s="2161"/>
    </row>
    <row r="108" spans="1:9" s="176" customFormat="1" ht="11.25" customHeight="1" x14ac:dyDescent="0.2">
      <c r="A108" s="294"/>
      <c r="B108" s="2159"/>
      <c r="C108" s="2160"/>
      <c r="D108" s="2160"/>
      <c r="E108" s="2160"/>
      <c r="F108" s="2160"/>
      <c r="G108" s="2160"/>
      <c r="H108" s="2160"/>
      <c r="I108" s="2161"/>
    </row>
    <row r="109" spans="1:9" s="176" customFormat="1" ht="11.25" customHeight="1" x14ac:dyDescent="0.2">
      <c r="A109" s="294"/>
      <c r="B109" s="2159"/>
      <c r="C109" s="2160"/>
      <c r="D109" s="2160"/>
      <c r="E109" s="2160"/>
      <c r="F109" s="2160"/>
      <c r="G109" s="2160"/>
      <c r="H109" s="2160"/>
      <c r="I109" s="2161"/>
    </row>
    <row r="110" spans="1:9" s="176" customFormat="1" ht="11.25" customHeight="1" x14ac:dyDescent="0.2">
      <c r="A110" s="294"/>
      <c r="B110" s="2159"/>
      <c r="C110" s="2160"/>
      <c r="D110" s="2160"/>
      <c r="E110" s="2160"/>
      <c r="F110" s="2160"/>
      <c r="G110" s="2160"/>
      <c r="H110" s="2160"/>
      <c r="I110" s="2161"/>
    </row>
    <row r="111" spans="1:9" s="176" customFormat="1" ht="11.25" customHeight="1" x14ac:dyDescent="0.2">
      <c r="A111" s="294"/>
      <c r="B111" s="2159"/>
      <c r="C111" s="2160"/>
      <c r="D111" s="2160"/>
      <c r="E111" s="2160"/>
      <c r="F111" s="2160"/>
      <c r="G111" s="2160"/>
      <c r="H111" s="2160"/>
      <c r="I111" s="2161"/>
    </row>
    <row r="112" spans="1:9" s="176" customFormat="1" ht="11.25" customHeight="1" x14ac:dyDescent="0.2">
      <c r="A112" s="294"/>
      <c r="B112" s="2162"/>
      <c r="C112" s="2163"/>
      <c r="D112" s="2163"/>
      <c r="E112" s="2163"/>
      <c r="F112" s="2163"/>
      <c r="G112" s="2163"/>
      <c r="H112" s="2163"/>
      <c r="I112" s="216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5" t="s">
        <v>2063</v>
      </c>
      <c r="D114" s="2165"/>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6" t="s">
        <v>1319</v>
      </c>
      <c r="D117" s="2167"/>
      <c r="E117" s="2168"/>
      <c r="F117" s="2168"/>
      <c r="G117" s="2168"/>
      <c r="H117" s="2168"/>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7" t="str">
        <f>'Single Audit Cover'!A7</f>
        <v xml:space="preserve"> Fremont SD 79</v>
      </c>
      <c r="C1" s="2588"/>
      <c r="D1" s="2588"/>
      <c r="E1" s="2588"/>
      <c r="F1" s="2588"/>
      <c r="G1" s="2588"/>
      <c r="H1" s="2588"/>
      <c r="I1" s="2588"/>
      <c r="J1" s="1178"/>
    </row>
    <row r="2" spans="2:10" s="295" customFormat="1" ht="12.75" customHeight="1" x14ac:dyDescent="0.2">
      <c r="B2" s="2589">
        <f>'Single Audit Cover'!E7</f>
        <v>34049079002</v>
      </c>
      <c r="C2" s="2590"/>
      <c r="D2" s="2590"/>
      <c r="E2" s="2590"/>
      <c r="F2" s="2590"/>
      <c r="G2" s="2590"/>
      <c r="H2" s="2590"/>
      <c r="I2" s="2590"/>
      <c r="J2" s="1178"/>
    </row>
    <row r="3" spans="2:10" s="295" customFormat="1" ht="12.75" customHeight="1" x14ac:dyDescent="0.2">
      <c r="B3" s="2591" t="s">
        <v>1274</v>
      </c>
      <c r="C3" s="2592"/>
      <c r="D3" s="2592"/>
      <c r="E3" s="2592"/>
      <c r="F3" s="2592"/>
      <c r="G3" s="2592"/>
      <c r="H3" s="2592"/>
      <c r="I3" s="2592"/>
      <c r="J3" s="1179"/>
    </row>
    <row r="4" spans="2:10" s="295" customFormat="1" ht="12.75" customHeight="1" x14ac:dyDescent="0.2">
      <c r="B4" s="2591" t="str">
        <f>'Single Audit Cover'!A4</f>
        <v>Year Ending June 30, 2020</v>
      </c>
      <c r="C4" s="2592"/>
      <c r="D4" s="2592"/>
      <c r="E4" s="2592"/>
      <c r="F4" s="2592"/>
      <c r="G4" s="2592"/>
      <c r="H4" s="2592"/>
      <c r="I4" s="259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1" t="s">
        <v>1273</v>
      </c>
      <c r="C7" s="2592"/>
      <c r="D7" s="2592"/>
      <c r="E7" s="2592"/>
      <c r="F7" s="2592"/>
      <c r="G7" s="2592"/>
      <c r="H7" s="2592"/>
      <c r="I7" s="259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3"/>
      <c r="D11" s="259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4"/>
      <c r="E29" s="2594"/>
      <c r="F29" s="2594"/>
      <c r="G29" s="2594"/>
      <c r="H29" s="2594"/>
      <c r="I29" s="259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5" t="s">
        <v>1728</v>
      </c>
      <c r="D37" s="2596"/>
      <c r="E37" s="2596"/>
      <c r="F37" s="2597"/>
      <c r="G37" s="2595" t="s">
        <v>1575</v>
      </c>
      <c r="H37" s="2596"/>
      <c r="I37" s="2597"/>
    </row>
    <row r="38" spans="2:9" ht="16.5" customHeight="1" x14ac:dyDescent="0.2">
      <c r="B38" s="1200"/>
      <c r="C38" s="2583"/>
      <c r="D38" s="2584"/>
      <c r="E38" s="2584"/>
      <c r="F38" s="2585"/>
      <c r="G38" s="2598"/>
      <c r="H38" s="2599"/>
      <c r="I38" s="2600"/>
    </row>
    <row r="39" spans="2:9" ht="16.5" customHeight="1" x14ac:dyDescent="0.2">
      <c r="B39" s="1200"/>
      <c r="C39" s="2583"/>
      <c r="D39" s="2584"/>
      <c r="E39" s="2584"/>
      <c r="F39" s="2585"/>
      <c r="G39" s="2586"/>
      <c r="H39" s="2586"/>
      <c r="I39" s="2586"/>
    </row>
    <row r="40" spans="2:9" ht="16.5" customHeight="1" x14ac:dyDescent="0.2">
      <c r="B40" s="1200"/>
      <c r="C40" s="2583"/>
      <c r="D40" s="2584"/>
      <c r="E40" s="2584"/>
      <c r="F40" s="2585"/>
      <c r="G40" s="2586"/>
      <c r="H40" s="2586"/>
      <c r="I40" s="2586"/>
    </row>
    <row r="41" spans="2:9" ht="16.5" customHeight="1" x14ac:dyDescent="0.2">
      <c r="B41" s="1200"/>
      <c r="C41" s="2583"/>
      <c r="D41" s="2584"/>
      <c r="E41" s="2584"/>
      <c r="F41" s="2585"/>
      <c r="G41" s="2586"/>
      <c r="H41" s="2586"/>
      <c r="I41" s="2586"/>
    </row>
    <row r="42" spans="2:9" ht="16.5" customHeight="1" x14ac:dyDescent="0.2">
      <c r="B42" s="1200"/>
      <c r="C42" s="2583"/>
      <c r="D42" s="2584"/>
      <c r="E42" s="2584"/>
      <c r="F42" s="2585"/>
      <c r="G42" s="2586"/>
      <c r="H42" s="2586"/>
      <c r="I42" s="2586"/>
    </row>
    <row r="43" spans="2:9" ht="16.5" customHeight="1" x14ac:dyDescent="0.2">
      <c r="B43" s="1200"/>
      <c r="C43" s="2601" t="s">
        <v>1576</v>
      </c>
      <c r="D43" s="2602"/>
      <c r="E43" s="2602"/>
      <c r="F43" s="2603"/>
      <c r="G43" s="2604">
        <f>SUM(G38:I42)</f>
        <v>0</v>
      </c>
      <c r="H43" s="2604"/>
      <c r="I43" s="2604"/>
    </row>
    <row r="44" spans="2:9" ht="12.75" customHeight="1" x14ac:dyDescent="0.2"/>
    <row r="45" spans="2:9" ht="12.75" customHeight="1" x14ac:dyDescent="0.2">
      <c r="B45" s="1917" t="str">
        <f>"Total Federal Expenditures for 7/1/"&amp;MID('AFR20'!E2,3,2)-1&amp;"-6/30/"&amp;MID('AFR20'!E2,3,2)</f>
        <v>Total Federal Expenditures for 7/1/19-6/30/20</v>
      </c>
      <c r="C45" s="1918"/>
      <c r="D45" s="2605">
        <v>0</v>
      </c>
      <c r="E45" s="260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7"/>
      <c r="F49" s="2607"/>
      <c r="G49" s="260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7" t="str">
        <f>'Single Audit Cover'!A7</f>
        <v xml:space="preserve"> Fremont SD 79</v>
      </c>
      <c r="C1" s="2587"/>
      <c r="D1" s="2587"/>
      <c r="E1" s="2587"/>
      <c r="F1" s="2587"/>
      <c r="G1" s="2587"/>
      <c r="H1" s="2587"/>
      <c r="I1" s="2587"/>
      <c r="J1" s="2587"/>
      <c r="K1" s="2587"/>
      <c r="L1" s="1144"/>
      <c r="M1" s="1144"/>
    </row>
    <row r="2" spans="1:13" ht="12" customHeight="1" x14ac:dyDescent="0.2">
      <c r="B2" s="2589">
        <f>'Single Audit Cover'!E7</f>
        <v>34049079002</v>
      </c>
      <c r="C2" s="2589"/>
      <c r="D2" s="2589"/>
      <c r="E2" s="2589"/>
      <c r="F2" s="2589"/>
      <c r="G2" s="2589"/>
      <c r="H2" s="2589"/>
      <c r="I2" s="2589"/>
      <c r="J2" s="2589"/>
      <c r="K2" s="2589"/>
      <c r="L2" s="1145"/>
      <c r="M2" s="1146"/>
    </row>
    <row r="3" spans="1:13" ht="10.35" customHeight="1" x14ac:dyDescent="0.2">
      <c r="B3" s="2610" t="s">
        <v>1274</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1285</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9"/>
      <c r="C14" s="2609"/>
      <c r="D14" s="2609"/>
      <c r="E14" s="2609"/>
      <c r="F14" s="2609"/>
      <c r="G14" s="2609"/>
      <c r="H14" s="2609"/>
      <c r="I14" s="2609"/>
      <c r="J14" s="2609"/>
      <c r="K14" s="260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9"/>
      <c r="C17" s="2609"/>
      <c r="D17" s="2609"/>
      <c r="E17" s="2609"/>
      <c r="F17" s="2609"/>
      <c r="G17" s="2609"/>
      <c r="H17" s="2609"/>
      <c r="I17" s="2609"/>
      <c r="J17" s="2609"/>
      <c r="K17" s="260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3"/>
      <c r="C20" s="2613"/>
      <c r="D20" s="2609"/>
      <c r="E20" s="2609"/>
      <c r="F20" s="2609"/>
      <c r="G20" s="2609"/>
      <c r="H20" s="2609"/>
      <c r="I20" s="2609"/>
      <c r="J20" s="2609"/>
      <c r="K20" s="260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9"/>
      <c r="C23" s="2609"/>
      <c r="D23" s="2609"/>
      <c r="E23" s="2609"/>
      <c r="F23" s="2609"/>
      <c r="G23" s="2609"/>
      <c r="H23" s="2609"/>
      <c r="I23" s="2609"/>
      <c r="J23" s="2609"/>
      <c r="K23" s="260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9"/>
      <c r="C26" s="2609"/>
      <c r="D26" s="2609"/>
      <c r="E26" s="2609"/>
      <c r="F26" s="2609"/>
      <c r="G26" s="2609"/>
      <c r="H26" s="2609"/>
      <c r="I26" s="2609"/>
      <c r="J26" s="2609"/>
      <c r="K26" s="260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8"/>
      <c r="C29" s="2608"/>
      <c r="D29" s="2609"/>
      <c r="E29" s="2609"/>
      <c r="F29" s="2609"/>
      <c r="G29" s="2609"/>
      <c r="H29" s="2609"/>
      <c r="I29" s="2609"/>
      <c r="J29" s="2609"/>
      <c r="K29" s="260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8"/>
      <c r="C32" s="2608"/>
      <c r="D32" s="2609"/>
      <c r="E32" s="2609"/>
      <c r="F32" s="2609"/>
      <c r="G32" s="2609"/>
      <c r="H32" s="2609"/>
      <c r="I32" s="2609"/>
      <c r="J32" s="2609"/>
      <c r="K32" s="260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 xml:space="preserve"> Fremont SD 79</v>
      </c>
      <c r="C1" s="2614"/>
      <c r="D1" s="2614"/>
      <c r="E1" s="2614"/>
      <c r="F1" s="2614"/>
      <c r="G1" s="2614"/>
      <c r="H1" s="2614"/>
      <c r="I1" s="2614"/>
      <c r="J1" s="2614"/>
      <c r="K1" s="2614"/>
      <c r="L1" s="1221"/>
    </row>
    <row r="2" spans="1:12" ht="12.75" customHeight="1" x14ac:dyDescent="0.2">
      <c r="B2" s="2615">
        <f>'Single Audit Cover'!E7</f>
        <v>34049079002</v>
      </c>
      <c r="C2" s="2615"/>
      <c r="D2" s="2615"/>
      <c r="E2" s="2615"/>
      <c r="F2" s="2615"/>
      <c r="G2" s="2615"/>
      <c r="H2" s="2615"/>
      <c r="I2" s="2615"/>
      <c r="J2" s="2615"/>
      <c r="K2" s="2615"/>
      <c r="L2" s="1222"/>
    </row>
    <row r="3" spans="1:12" ht="12.75" customHeight="1" x14ac:dyDescent="0.2">
      <c r="B3" s="2610" t="s">
        <v>1274</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1159</v>
      </c>
      <c r="C5" s="1036"/>
      <c r="L5" s="300"/>
    </row>
    <row r="6" spans="1:12" ht="30.75" customHeight="1" x14ac:dyDescent="0.2">
      <c r="A6" s="300"/>
      <c r="B6" s="2616" t="s">
        <v>1297</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4"/>
      <c r="G12" s="2594"/>
      <c r="H12" s="2594"/>
      <c r="I12" s="2594"/>
      <c r="J12" s="2594"/>
      <c r="K12" s="259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7"/>
      <c r="E14" s="2617"/>
      <c r="F14" s="2617"/>
      <c r="H14" s="1230" t="s">
        <v>1292</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8"/>
      <c r="E16" s="2618"/>
      <c r="F16" s="2618"/>
      <c r="G16" s="2618"/>
      <c r="H16" s="2618"/>
      <c r="I16" s="2618"/>
      <c r="J16" s="2618"/>
      <c r="K16" s="2618"/>
      <c r="L16" s="300"/>
    </row>
    <row r="17" spans="2:12" ht="13.5" customHeight="1" x14ac:dyDescent="0.2">
      <c r="B17" s="1156" t="s">
        <v>1290</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9"/>
      <c r="C20" s="2609"/>
      <c r="D20" s="2609"/>
      <c r="E20" s="2609"/>
      <c r="F20" s="2609"/>
      <c r="G20" s="2609"/>
      <c r="H20" s="2609"/>
      <c r="I20" s="2609"/>
      <c r="J20" s="2609"/>
      <c r="K20" s="260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9"/>
      <c r="C23" s="2609"/>
      <c r="D23" s="2609"/>
      <c r="E23" s="2609"/>
      <c r="F23" s="2609"/>
      <c r="G23" s="2609"/>
      <c r="H23" s="2609"/>
      <c r="I23" s="2609"/>
      <c r="J23" s="2609"/>
      <c r="K23" s="260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9"/>
      <c r="C26" s="2609"/>
      <c r="D26" s="2609"/>
      <c r="E26" s="2609"/>
      <c r="F26" s="2609"/>
      <c r="G26" s="2609"/>
      <c r="H26" s="2609"/>
      <c r="I26" s="2609"/>
      <c r="J26" s="2609"/>
      <c r="K26" s="260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9"/>
      <c r="C29" s="2609"/>
      <c r="D29" s="2609"/>
      <c r="E29" s="2609"/>
      <c r="F29" s="2609"/>
      <c r="G29" s="2609"/>
      <c r="H29" s="2609"/>
      <c r="I29" s="2609"/>
      <c r="J29" s="2609"/>
      <c r="K29" s="260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9"/>
      <c r="C32" s="2609"/>
      <c r="D32" s="2609"/>
      <c r="E32" s="2609"/>
      <c r="F32" s="2609"/>
      <c r="G32" s="2609"/>
      <c r="H32" s="2609"/>
      <c r="I32" s="2609"/>
      <c r="J32" s="2609"/>
      <c r="K32" s="260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9"/>
      <c r="C35" s="2609"/>
      <c r="D35" s="2609"/>
      <c r="E35" s="2609"/>
      <c r="F35" s="2609"/>
      <c r="G35" s="2609"/>
      <c r="H35" s="2609"/>
      <c r="I35" s="2609"/>
      <c r="J35" s="2609"/>
      <c r="K35" s="260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9"/>
      <c r="C38" s="2609"/>
      <c r="D38" s="2609"/>
      <c r="E38" s="2609"/>
      <c r="F38" s="2609"/>
      <c r="G38" s="2609"/>
      <c r="H38" s="2609"/>
      <c r="I38" s="2609"/>
      <c r="J38" s="2609"/>
      <c r="K38" s="260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9"/>
      <c r="C41" s="2609"/>
      <c r="D41" s="2609"/>
      <c r="E41" s="2609"/>
      <c r="F41" s="2609"/>
      <c r="G41" s="2609"/>
      <c r="H41" s="2609"/>
      <c r="I41" s="2609"/>
      <c r="J41" s="2609"/>
      <c r="K41" s="260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7" t="str">
        <f>'Single Audit Cover'!A7</f>
        <v xml:space="preserve"> Fremont SD 79</v>
      </c>
      <c r="C1" s="2587"/>
      <c r="D1" s="2587"/>
      <c r="E1" s="1240"/>
    </row>
    <row r="2" spans="2:5" s="1058" customFormat="1" ht="12.75" customHeight="1" x14ac:dyDescent="0.2">
      <c r="B2" s="2589">
        <f>'Single Audit Cover'!E7</f>
        <v>34049079002</v>
      </c>
      <c r="C2" s="2589"/>
      <c r="D2" s="2589"/>
      <c r="E2" s="1241"/>
    </row>
    <row r="3" spans="2:5" ht="12.75" customHeight="1" x14ac:dyDescent="0.2">
      <c r="B3" s="2610" t="s">
        <v>1743</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7" sqref="H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0" t="s">
        <v>383</v>
      </c>
      <c r="B1" s="2190"/>
      <c r="C1" s="2190"/>
      <c r="D1" s="2190"/>
      <c r="E1" s="2190"/>
      <c r="F1" s="2190"/>
      <c r="G1" s="2190"/>
      <c r="H1" s="2190"/>
      <c r="I1" s="2190"/>
      <c r="J1" s="2190"/>
      <c r="K1" s="2190"/>
      <c r="L1" s="2190"/>
      <c r="M1" s="219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892462140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2.3372E-2</v>
      </c>
      <c r="E10" s="333" t="s">
        <v>998</v>
      </c>
      <c r="F10" s="332">
        <v>2.8570000000000002E-3</v>
      </c>
      <c r="G10" s="333" t="s">
        <v>998</v>
      </c>
      <c r="H10" s="332">
        <v>1.4040000000000001E-3</v>
      </c>
      <c r="I10" s="333" t="s">
        <v>999</v>
      </c>
      <c r="J10" s="1424">
        <f>ROUND(D10+F10+H10,5)</f>
        <v>2.7629999999999998E-2</v>
      </c>
      <c r="K10" s="217"/>
      <c r="L10" s="332">
        <v>0</v>
      </c>
      <c r="M10" s="217"/>
    </row>
    <row r="11" spans="1:14" ht="7.5" customHeight="1" x14ac:dyDescent="0.2">
      <c r="B11" s="217"/>
      <c r="C11" s="217"/>
      <c r="D11" s="2200" t="str">
        <f>IF(SUM(J10)&lt;=0.0999999,"","Enter the Tax Rates by moving the decimal two places to the left.")</f>
        <v/>
      </c>
      <c r="E11" s="2201"/>
      <c r="F11" s="2201"/>
      <c r="G11" s="2201"/>
      <c r="H11" s="2201"/>
      <c r="I11" s="2201"/>
      <c r="J11" s="220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28585883</v>
      </c>
      <c r="E16" s="1547"/>
      <c r="F16" s="1546">
        <f>SUM('Acct Summary 7-8'!C17,'Acct Summary 7-8'!D17,'Acct Summary 7-8'!F17)</f>
        <v>28063889</v>
      </c>
      <c r="G16" s="1547"/>
      <c r="H16" s="1546">
        <f>SUM(D16-F16)</f>
        <v>521994</v>
      </c>
      <c r="I16" s="1548"/>
      <c r="J16" s="1546">
        <f>SUM('Acct Summary 7-8'!C81,'Acct Summary 7-8'!D81,'Acct Summary 7-8'!F81,'Acct Summary 7-8'!I81)</f>
        <v>27776482</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61579887.660000004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11614860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1"/>
      <c r="C54" s="2192"/>
      <c r="D54" s="2192"/>
      <c r="E54" s="2192"/>
      <c r="F54" s="2192"/>
      <c r="G54" s="2192"/>
      <c r="H54" s="2192"/>
      <c r="I54" s="2192"/>
      <c r="J54" s="2192"/>
      <c r="K54" s="2192"/>
      <c r="L54" s="2193"/>
      <c r="M54" s="357"/>
    </row>
    <row r="55" spans="1:13" ht="12.75" customHeight="1" x14ac:dyDescent="0.2">
      <c r="B55" s="2194"/>
      <c r="C55" s="2195"/>
      <c r="D55" s="2195"/>
      <c r="E55" s="2195"/>
      <c r="F55" s="2195"/>
      <c r="G55" s="2195"/>
      <c r="H55" s="2195"/>
      <c r="I55" s="2195"/>
      <c r="J55" s="2195"/>
      <c r="K55" s="2195"/>
      <c r="L55" s="2196"/>
      <c r="M55" s="357"/>
    </row>
    <row r="56" spans="1:13" ht="12.75" customHeight="1" x14ac:dyDescent="0.2">
      <c r="B56" s="2194"/>
      <c r="C56" s="2195"/>
      <c r="D56" s="2195"/>
      <c r="E56" s="2195"/>
      <c r="F56" s="2195"/>
      <c r="G56" s="2195"/>
      <c r="H56" s="2195"/>
      <c r="I56" s="2195"/>
      <c r="J56" s="2195"/>
      <c r="K56" s="2195"/>
      <c r="L56" s="2196"/>
      <c r="M56" s="217"/>
    </row>
    <row r="57" spans="1:13" ht="12.75" customHeight="1" x14ac:dyDescent="0.2">
      <c r="B57" s="2194"/>
      <c r="C57" s="2195"/>
      <c r="D57" s="2195"/>
      <c r="E57" s="2195"/>
      <c r="F57" s="2195"/>
      <c r="G57" s="2195"/>
      <c r="H57" s="2195"/>
      <c r="I57" s="2195"/>
      <c r="J57" s="2195"/>
      <c r="K57" s="2195"/>
      <c r="L57" s="2196"/>
      <c r="M57" s="217"/>
    </row>
    <row r="58" spans="1:13" x14ac:dyDescent="0.2">
      <c r="B58" s="2197"/>
      <c r="C58" s="2198"/>
      <c r="D58" s="2198"/>
      <c r="E58" s="2198"/>
      <c r="F58" s="2198"/>
      <c r="G58" s="2198"/>
      <c r="H58" s="2198"/>
      <c r="I58" s="2198"/>
      <c r="J58" s="2198"/>
      <c r="K58" s="2198"/>
      <c r="L58" s="219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2"/>
      <c r="D61" s="220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5"/>
      <c r="B1" s="2206"/>
      <c r="C1" s="2206"/>
      <c r="D1" s="361"/>
      <c r="E1" s="361"/>
      <c r="F1" s="361"/>
      <c r="G1" s="361"/>
      <c r="H1" s="361"/>
      <c r="I1" s="361"/>
      <c r="J1" s="361"/>
      <c r="K1" s="361"/>
      <c r="L1" s="361"/>
      <c r="M1" s="361"/>
      <c r="N1" s="361"/>
      <c r="O1" s="2205"/>
      <c r="P1" s="2206"/>
      <c r="Q1" s="2206"/>
    </row>
    <row r="2" spans="1:18" ht="15" x14ac:dyDescent="0.2">
      <c r="A2" s="2209" t="s">
        <v>552</v>
      </c>
      <c r="B2" s="2209"/>
      <c r="C2" s="2209"/>
      <c r="D2" s="2209"/>
      <c r="E2" s="2209"/>
      <c r="F2" s="2209"/>
      <c r="G2" s="2209"/>
      <c r="H2" s="2209"/>
      <c r="I2" s="2209"/>
      <c r="J2" s="2209"/>
      <c r="K2" s="2209"/>
      <c r="L2" s="2209"/>
      <c r="M2" s="2209"/>
      <c r="N2" s="2209"/>
      <c r="O2" s="2209"/>
      <c r="P2" s="2209"/>
      <c r="Q2" s="2209"/>
      <c r="R2" s="2209"/>
    </row>
    <row r="3" spans="1:18" ht="12.75" x14ac:dyDescent="0.2">
      <c r="A3" s="2210" t="s">
        <v>1396</v>
      </c>
      <c r="B3" s="2210"/>
      <c r="C3" s="2210"/>
      <c r="D3" s="2210"/>
      <c r="E3" s="2210"/>
      <c r="F3" s="2210"/>
      <c r="G3" s="2210"/>
      <c r="H3" s="2210"/>
      <c r="I3" s="2210"/>
      <c r="J3" s="2210"/>
      <c r="K3" s="2210"/>
      <c r="L3" s="2210"/>
      <c r="M3" s="2210"/>
      <c r="N3" s="2210"/>
      <c r="O3" s="2210"/>
      <c r="P3" s="2210"/>
      <c r="Q3" s="2210"/>
      <c r="R3" s="2210"/>
    </row>
    <row r="4" spans="1:18" x14ac:dyDescent="0.2">
      <c r="A4" s="2211" t="s">
        <v>1537</v>
      </c>
      <c r="B4" s="2211"/>
      <c r="C4" s="2211"/>
      <c r="D4" s="2211"/>
      <c r="E4" s="2211"/>
      <c r="F4" s="2211"/>
      <c r="G4" s="2211"/>
      <c r="H4" s="2211"/>
      <c r="I4" s="2211"/>
      <c r="J4" s="2211"/>
      <c r="K4" s="2211"/>
      <c r="L4" s="2211"/>
      <c r="M4" s="2211"/>
      <c r="N4" s="2211"/>
      <c r="O4" s="2211"/>
      <c r="P4" s="2211"/>
      <c r="Q4" s="2211"/>
      <c r="R4" s="221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Fremont SD 79</v>
      </c>
      <c r="E7" s="368"/>
      <c r="G7" s="247"/>
      <c r="H7" s="364"/>
      <c r="I7" s="364"/>
      <c r="J7" s="364"/>
      <c r="K7" s="364"/>
      <c r="L7" s="307"/>
      <c r="M7" s="307"/>
      <c r="N7" s="307"/>
      <c r="O7" s="307"/>
      <c r="P7" s="307"/>
    </row>
    <row r="8" spans="1:18" ht="12.75" x14ac:dyDescent="0.2">
      <c r="A8" s="307"/>
      <c r="B8" s="307"/>
      <c r="C8" s="366" t="s">
        <v>1115</v>
      </c>
      <c r="D8" s="369">
        <f>COVER!A13</f>
        <v>34049079002</v>
      </c>
      <c r="E8" s="370"/>
      <c r="G8" s="307"/>
      <c r="H8" s="307"/>
      <c r="I8" s="307"/>
      <c r="J8" s="307"/>
      <c r="K8" s="307"/>
      <c r="L8" s="307"/>
      <c r="M8" s="307"/>
      <c r="N8" s="307"/>
      <c r="O8" s="307"/>
      <c r="P8" s="307"/>
    </row>
    <row r="9" spans="1:18" ht="12.75" x14ac:dyDescent="0.2">
      <c r="A9" s="307"/>
      <c r="B9" s="307"/>
      <c r="C9" s="366" t="s">
        <v>708</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27776482</v>
      </c>
      <c r="I12" s="380"/>
      <c r="J12" s="380"/>
      <c r="K12" s="1559">
        <f>TRUNC((H12/H13*100000),5)/100000</f>
        <v>0.9716852895000001</v>
      </c>
      <c r="L12" s="381"/>
      <c r="M12" s="337" t="s">
        <v>1134</v>
      </c>
      <c r="N12" s="337"/>
      <c r="O12" s="1562">
        <v>0.35</v>
      </c>
      <c r="P12" s="213"/>
      <c r="Q12" s="213"/>
    </row>
    <row r="13" spans="1:18" s="382" customFormat="1" ht="12.75" x14ac:dyDescent="0.2">
      <c r="A13" s="213"/>
      <c r="B13" s="377"/>
      <c r="C13" s="2207" t="s">
        <v>1313</v>
      </c>
      <c r="D13" s="2208"/>
      <c r="E13" s="213"/>
      <c r="F13" s="383" t="s">
        <v>788</v>
      </c>
      <c r="G13" s="378"/>
      <c r="H13" s="1551">
        <f>SUM('Acct Summary 7-8'!C8+'Acct Summary 7-8'!D8+'Acct Summary 7-8'!F8+'Acct Summary 7-8'!I8)+H14</f>
        <v>28585883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28063889</v>
      </c>
      <c r="I17" s="380"/>
      <c r="J17" s="389"/>
      <c r="K17" s="1559">
        <f>TRUNC((H17/H18*100000),5)/100000</f>
        <v>0.98173944810000002</v>
      </c>
      <c r="L17" s="381"/>
      <c r="M17" s="390" t="s">
        <v>1161</v>
      </c>
      <c r="O17" s="1565" t="str">
        <f>IF(AND(O16="2", J20 &gt; 2),"1",IF(AND(O16 = "1", J20 &gt; 2),"2",IF(AND(O16="1", J20 &gt;1),"1","0")))</f>
        <v>0</v>
      </c>
      <c r="P17" s="213"/>
    </row>
    <row r="18" spans="1:18" s="382" customFormat="1" ht="11.25" x14ac:dyDescent="0.2">
      <c r="A18" s="213"/>
      <c r="B18" s="377"/>
      <c r="C18" s="2207" t="s">
        <v>1306</v>
      </c>
      <c r="D18" s="2208"/>
      <c r="E18" s="213"/>
      <c r="F18" s="391" t="s">
        <v>789</v>
      </c>
      <c r="G18" s="378"/>
      <c r="H18" s="1551">
        <f>SUM('Acct Summary 7-8'!C8+'Acct Summary 7-8'!D8+'Acct Summary 7-8'!F8+'Acct Summary 7-8'!I8)+H19</f>
        <v>28585883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4" t="s">
        <v>1395</v>
      </c>
      <c r="D24" s="2204"/>
      <c r="E24" s="213"/>
      <c r="F24" s="213" t="s">
        <v>442</v>
      </c>
      <c r="G24" s="378"/>
      <c r="H24" s="1551">
        <f>SUM('Assets-Liab 5-6'!C4+'Assets-Liab 5-6'!D4+'Assets-Liab 5-6'!F4+'Assets-Liab 5-6'!I4+'Assets-Liab 5-6'!C5+'Assets-Liab 5-6'!D5+'Assets-Liab 5-6'!F5+'Assets-Liab 5-6'!I5)</f>
        <v>25851847</v>
      </c>
      <c r="I24" s="394"/>
      <c r="J24" s="394"/>
      <c r="K24" s="1555">
        <f>TRUNC(((H24/H25*100000)/100000),2)</f>
        <v>331.62</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77955.247220000005</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20959919.588970002</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11614860</v>
      </c>
      <c r="I32" s="392"/>
      <c r="J32" s="392"/>
      <c r="K32" s="1555">
        <f>TRUNC(100-((((H32/H33*100))*100)/100),2)</f>
        <v>81.13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61579887.660000004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C1" colorId="8" zoomScale="110" zoomScaleNormal="110" workbookViewId="0">
      <pane ySplit="2" topLeftCell="A3" activePane="bottomLeft" state="frozen"/>
      <selection pane="bottomLeft" activeCell="D32" sqref="D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2"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3"/>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4" t="s">
        <v>967</v>
      </c>
      <c r="B3" s="2215"/>
      <c r="C3" s="1306"/>
      <c r="D3" s="1307"/>
      <c r="E3" s="1307"/>
      <c r="F3" s="1307"/>
      <c r="G3" s="1307"/>
      <c r="H3" s="1307"/>
      <c r="I3" s="1307"/>
      <c r="J3" s="1307"/>
      <c r="K3" s="1307"/>
      <c r="L3" s="1307"/>
      <c r="M3" s="1308"/>
      <c r="N3" s="1309"/>
    </row>
    <row r="4" spans="1:14" ht="13.5" customHeight="1" x14ac:dyDescent="0.2">
      <c r="A4" s="427" t="s">
        <v>1632</v>
      </c>
      <c r="B4" s="428"/>
      <c r="C4" s="1572">
        <v>20613081</v>
      </c>
      <c r="D4" s="1573">
        <v>3033133</v>
      </c>
      <c r="E4" s="1573">
        <v>2012317</v>
      </c>
      <c r="F4" s="1573">
        <v>2123770</v>
      </c>
      <c r="G4" s="1573">
        <v>252654</v>
      </c>
      <c r="H4" s="1573">
        <v>87153</v>
      </c>
      <c r="I4" s="1573">
        <v>81863</v>
      </c>
      <c r="J4" s="1574"/>
      <c r="K4" s="1573">
        <v>18344</v>
      </c>
      <c r="L4" s="1573">
        <v>1263871</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v>11800624</v>
      </c>
      <c r="D6" s="1573">
        <v>1442447</v>
      </c>
      <c r="E6" s="1573">
        <v>1737767</v>
      </c>
      <c r="F6" s="1573">
        <v>708970</v>
      </c>
      <c r="G6" s="1577">
        <v>450861</v>
      </c>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f>8603+96741</f>
        <v>105344</v>
      </c>
      <c r="D8" s="1574"/>
      <c r="E8" s="1574"/>
      <c r="F8" s="1574">
        <v>299692</v>
      </c>
      <c r="G8" s="1583">
        <v>6500</v>
      </c>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v>302</v>
      </c>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32519351</v>
      </c>
      <c r="D13" s="1587">
        <f t="shared" ref="D13:L13" si="0">SUM(D4:D12)</f>
        <v>4475580</v>
      </c>
      <c r="E13" s="1587">
        <f t="shared" si="0"/>
        <v>3750084</v>
      </c>
      <c r="F13" s="1587">
        <f t="shared" si="0"/>
        <v>3132432</v>
      </c>
      <c r="G13" s="1587">
        <f t="shared" si="0"/>
        <v>710015</v>
      </c>
      <c r="H13" s="1587">
        <f t="shared" si="0"/>
        <v>87153</v>
      </c>
      <c r="I13" s="1587">
        <f t="shared" si="0"/>
        <v>81863</v>
      </c>
      <c r="J13" s="1587">
        <f t="shared" si="0"/>
        <v>0</v>
      </c>
      <c r="K13" s="1587">
        <f t="shared" si="0"/>
        <v>18344</v>
      </c>
      <c r="L13" s="1587">
        <f t="shared" si="0"/>
        <v>1263871</v>
      </c>
      <c r="M13" s="1575"/>
      <c r="N13" s="1576"/>
    </row>
    <row r="14" spans="1:14" ht="18" customHeight="1" thickTop="1" x14ac:dyDescent="0.2">
      <c r="A14" s="2216" t="s">
        <v>146</v>
      </c>
      <c r="B14" s="2217"/>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4698697</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55241307</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4098193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f>5870334+2936173</f>
        <v>8806507</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1065275</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2306444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9308416</v>
      </c>
    </row>
    <row r="23" spans="1:14" ht="13.5" customHeight="1" thickBot="1" x14ac:dyDescent="0.25">
      <c r="A23" s="1426" t="s">
        <v>638</v>
      </c>
      <c r="B23" s="1429"/>
      <c r="C23" s="1575"/>
      <c r="D23" s="1575"/>
      <c r="E23" s="1575"/>
      <c r="F23" s="1575"/>
      <c r="G23" s="1575"/>
      <c r="H23" s="1575"/>
      <c r="I23" s="1575"/>
      <c r="J23" s="1575"/>
      <c r="K23" s="1575"/>
      <c r="L23" s="1575"/>
      <c r="M23" s="1594">
        <f>SUM(M15:M22)</f>
        <v>73909979</v>
      </c>
      <c r="N23" s="1594">
        <f>SUM(N21:N22)</f>
        <v>11614860</v>
      </c>
    </row>
    <row r="24" spans="1:14" ht="18" customHeight="1" thickTop="1" x14ac:dyDescent="0.2">
      <c r="A24" s="2218" t="s">
        <v>594</v>
      </c>
      <c r="B24" s="2219"/>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470463</v>
      </c>
      <c r="D27" s="1574">
        <v>35197</v>
      </c>
      <c r="E27" s="1574"/>
      <c r="F27" s="1574">
        <v>17058</v>
      </c>
      <c r="G27" s="1574">
        <v>5636</v>
      </c>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319446</v>
      </c>
      <c r="D31" s="1574"/>
      <c r="E31" s="1574"/>
      <c r="F31" s="1573"/>
      <c r="G31" s="1574"/>
      <c r="H31" s="1574"/>
      <c r="I31" s="1574"/>
      <c r="J31" s="1574"/>
      <c r="K31" s="1574"/>
      <c r="L31" s="1575"/>
      <c r="M31" s="1575"/>
      <c r="N31" s="1575"/>
    </row>
    <row r="32" spans="1:14" ht="13.5" customHeight="1" x14ac:dyDescent="0.2">
      <c r="A32" s="434" t="s">
        <v>647</v>
      </c>
      <c r="B32" s="435">
        <v>490</v>
      </c>
      <c r="C32" s="1599">
        <v>9803303</v>
      </c>
      <c r="D32" s="1599">
        <v>1198305</v>
      </c>
      <c r="E32" s="1579">
        <v>1443640</v>
      </c>
      <c r="F32" s="1579">
        <v>588972</v>
      </c>
      <c r="G32" s="1579">
        <v>374551</v>
      </c>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1263871</v>
      </c>
      <c r="M33" s="1575"/>
      <c r="N33" s="1576"/>
    </row>
    <row r="34" spans="1:14" ht="13.5" customHeight="1" thickBot="1" x14ac:dyDescent="0.25">
      <c r="A34" s="1427" t="s">
        <v>649</v>
      </c>
      <c r="B34" s="1428"/>
      <c r="C34" s="1600">
        <f>SUM(C25:C33)</f>
        <v>10593212</v>
      </c>
      <c r="D34" s="1600">
        <f t="shared" ref="D34:K34" si="1">SUM(D25:D33)</f>
        <v>1233502</v>
      </c>
      <c r="E34" s="1600">
        <f t="shared" si="1"/>
        <v>1443640</v>
      </c>
      <c r="F34" s="1600">
        <f t="shared" si="1"/>
        <v>606030</v>
      </c>
      <c r="G34" s="1600">
        <f t="shared" si="1"/>
        <v>380187</v>
      </c>
      <c r="H34" s="1600">
        <f t="shared" si="1"/>
        <v>0</v>
      </c>
      <c r="I34" s="1600">
        <f t="shared" si="1"/>
        <v>0</v>
      </c>
      <c r="J34" s="1600">
        <f t="shared" si="1"/>
        <v>0</v>
      </c>
      <c r="K34" s="1600">
        <f t="shared" si="1"/>
        <v>0</v>
      </c>
      <c r="L34" s="1601">
        <f>SUM(L33)</f>
        <v>1263871</v>
      </c>
      <c r="M34" s="1575"/>
      <c r="N34" s="1585"/>
    </row>
    <row r="35" spans="1:14" ht="18" customHeight="1" thickTop="1" x14ac:dyDescent="0.2">
      <c r="A35" s="2220" t="s">
        <v>526</v>
      </c>
      <c r="B35" s="2221"/>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11614860</v>
      </c>
    </row>
    <row r="37" spans="1:14" ht="13.5" thickBot="1" x14ac:dyDescent="0.25">
      <c r="A37" s="1426" t="s">
        <v>648</v>
      </c>
      <c r="B37" s="1429"/>
      <c r="C37" s="1582"/>
      <c r="D37" s="1582"/>
      <c r="E37" s="1582"/>
      <c r="F37" s="1582"/>
      <c r="G37" s="1582"/>
      <c r="H37" s="1582"/>
      <c r="I37" s="1582"/>
      <c r="J37" s="1582"/>
      <c r="K37" s="1582"/>
      <c r="L37" s="1585"/>
      <c r="M37" s="1575"/>
      <c r="N37" s="1594">
        <f>SUM(N36:N36)</f>
        <v>11614860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21926139</v>
      </c>
      <c r="D39" s="1573">
        <v>3242078</v>
      </c>
      <c r="E39" s="1573">
        <v>2306444</v>
      </c>
      <c r="F39" s="1573">
        <v>2526402</v>
      </c>
      <c r="G39" s="1573">
        <v>329828</v>
      </c>
      <c r="H39" s="1573">
        <v>87153</v>
      </c>
      <c r="I39" s="1573">
        <v>81863</v>
      </c>
      <c r="J39" s="1574"/>
      <c r="K39" s="1573">
        <v>18344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73909979</v>
      </c>
      <c r="N40" s="1604"/>
    </row>
    <row r="41" spans="1:14" ht="13.5" customHeight="1" thickBot="1" x14ac:dyDescent="0.25">
      <c r="A41" s="1426" t="s">
        <v>650</v>
      </c>
      <c r="B41" s="1405"/>
      <c r="C41" s="1594">
        <f>(SUM(C34,C37,C38,C39))</f>
        <v>32519351</v>
      </c>
      <c r="D41" s="1594">
        <f t="shared" ref="D41:L41" si="2">SUM(D34,D37,D38:D39)</f>
        <v>4475580</v>
      </c>
      <c r="E41" s="1594">
        <f t="shared" si="2"/>
        <v>3750084</v>
      </c>
      <c r="F41" s="1594">
        <f t="shared" si="2"/>
        <v>3132432</v>
      </c>
      <c r="G41" s="1594">
        <f t="shared" si="2"/>
        <v>710015</v>
      </c>
      <c r="H41" s="1594">
        <f t="shared" si="2"/>
        <v>87153</v>
      </c>
      <c r="I41" s="1594">
        <f t="shared" si="2"/>
        <v>81863</v>
      </c>
      <c r="J41" s="1594">
        <f t="shared" si="2"/>
        <v>0</v>
      </c>
      <c r="K41" s="1594">
        <f t="shared" si="2"/>
        <v>18344</v>
      </c>
      <c r="L41" s="1594">
        <f t="shared" si="2"/>
        <v>1263871</v>
      </c>
      <c r="M41" s="1594">
        <f>SUM(M40)</f>
        <v>73909979</v>
      </c>
      <c r="N41" s="1594">
        <f>SUM(N37)</f>
        <v>11614860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topLeftCell="C1" colorId="8" zoomScale="110" zoomScaleNormal="110" zoomScaleSheetLayoutView="100" workbookViewId="0">
      <pane ySplit="2" topLeftCell="A43" activePane="bottomLeft" state="frozen"/>
      <selection pane="bottomLeft" activeCell="D9" sqref="D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0"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1"/>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2" t="s">
        <v>1165</v>
      </c>
      <c r="B3" s="2243"/>
      <c r="C3" s="1311"/>
      <c r="D3" s="1312"/>
      <c r="E3" s="1312"/>
      <c r="F3" s="1312"/>
      <c r="G3" s="1312"/>
      <c r="H3" s="1312"/>
      <c r="I3" s="1312"/>
      <c r="J3" s="1312"/>
      <c r="K3" s="1313"/>
      <c r="L3" s="446"/>
    </row>
    <row r="4" spans="1:13" ht="15.75" customHeight="1" x14ac:dyDescent="0.2">
      <c r="A4" s="1537" t="s">
        <v>1482</v>
      </c>
      <c r="B4" s="1538">
        <v>1000</v>
      </c>
      <c r="C4" s="1606">
        <f>'Revenues 9-14'!C109</f>
        <v>21860038</v>
      </c>
      <c r="D4" s="1606">
        <f>'Revenues 9-14'!D109</f>
        <v>2643814</v>
      </c>
      <c r="E4" s="1606">
        <f>'Revenues 9-14'!E109</f>
        <v>3043827</v>
      </c>
      <c r="F4" s="1606">
        <f>'Revenues 9-14'!F109</f>
        <v>1388315</v>
      </c>
      <c r="G4" s="1606">
        <f>'Revenues 9-14'!G109</f>
        <v>792695</v>
      </c>
      <c r="H4" s="1606">
        <f>'Revenues 9-14'!H109</f>
        <v>167998</v>
      </c>
      <c r="I4" s="1606">
        <f>'Revenues 9-14'!I109</f>
        <v>11249</v>
      </c>
      <c r="J4" s="1606">
        <f>'Revenues 9-14'!J109</f>
        <v>0</v>
      </c>
      <c r="K4" s="1606">
        <f>'Revenues 9-14'!K109</f>
        <v>331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1177232</v>
      </c>
      <c r="D6" s="1607">
        <f>'Revenues 9-14'!D170</f>
        <v>81800</v>
      </c>
      <c r="E6" s="1607">
        <f>'Revenues 9-14'!E170</f>
        <v>0</v>
      </c>
      <c r="F6" s="1607">
        <f>'Revenues 9-14'!F170</f>
        <v>908877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514558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23551828</v>
      </c>
      <c r="D8" s="1594">
        <f t="shared" ref="D8:K8" si="0">SUM(D4:D7)</f>
        <v>2725614</v>
      </c>
      <c r="E8" s="1594">
        <f t="shared" si="0"/>
        <v>3043827</v>
      </c>
      <c r="F8" s="1594">
        <f t="shared" si="0"/>
        <v>2297192</v>
      </c>
      <c r="G8" s="1594">
        <f t="shared" si="0"/>
        <v>792695</v>
      </c>
      <c r="H8" s="1594">
        <f t="shared" si="0"/>
        <v>167998</v>
      </c>
      <c r="I8" s="1594">
        <f t="shared" si="0"/>
        <v>11249</v>
      </c>
      <c r="J8" s="1594">
        <f t="shared" si="0"/>
        <v>0</v>
      </c>
      <c r="K8" s="1594">
        <f t="shared" si="0"/>
        <v>331</v>
      </c>
      <c r="L8" s="325"/>
    </row>
    <row r="9" spans="1:13" ht="15.75" thickTop="1" x14ac:dyDescent="0.2">
      <c r="A9" s="449" t="s">
        <v>1634</v>
      </c>
      <c r="B9" s="450">
        <v>3998</v>
      </c>
      <c r="C9" s="1586">
        <v>10524808</v>
      </c>
      <c r="D9" s="1613"/>
      <c r="E9" s="1586"/>
      <c r="F9" s="1586"/>
      <c r="G9" s="1614"/>
      <c r="H9" s="1586"/>
      <c r="I9" s="1609" t="s">
        <v>1159</v>
      </c>
      <c r="J9" s="1583"/>
      <c r="K9" s="1586"/>
      <c r="L9" s="325"/>
    </row>
    <row r="10" spans="1:13" s="452" customFormat="1" ht="13.5" thickBot="1" x14ac:dyDescent="0.25">
      <c r="A10" s="1426" t="s">
        <v>1163</v>
      </c>
      <c r="B10" s="1407"/>
      <c r="C10" s="1594">
        <f>SUM(C8:C9)</f>
        <v>34076636</v>
      </c>
      <c r="D10" s="1594">
        <f t="shared" ref="D10:K10" si="1">SUM(D8:D9)</f>
        <v>2725614</v>
      </c>
      <c r="E10" s="1594">
        <f t="shared" si="1"/>
        <v>3043827</v>
      </c>
      <c r="F10" s="1594">
        <f t="shared" si="1"/>
        <v>2297192</v>
      </c>
      <c r="G10" s="1594">
        <f t="shared" si="1"/>
        <v>792695</v>
      </c>
      <c r="H10" s="1594">
        <f t="shared" si="1"/>
        <v>167998</v>
      </c>
      <c r="I10" s="1594">
        <f t="shared" si="1"/>
        <v>11249</v>
      </c>
      <c r="J10" s="1594">
        <f t="shared" si="1"/>
        <v>0</v>
      </c>
      <c r="K10" s="1594">
        <f t="shared" si="1"/>
        <v>331</v>
      </c>
      <c r="L10" s="451"/>
    </row>
    <row r="11" spans="1:13" s="452" customFormat="1" ht="16.7" customHeight="1" thickTop="1" x14ac:dyDescent="0.2">
      <c r="A11" s="2216" t="s">
        <v>1166</v>
      </c>
      <c r="B11" s="2217"/>
      <c r="C11" s="1602"/>
      <c r="D11" s="1603"/>
      <c r="E11" s="1603"/>
      <c r="F11" s="1603"/>
      <c r="G11" s="1603"/>
      <c r="H11" s="1603"/>
      <c r="I11" s="1603"/>
      <c r="J11" s="1603"/>
      <c r="K11" s="1615"/>
      <c r="L11" s="451"/>
    </row>
    <row r="12" spans="1:13" ht="15.75" customHeight="1" x14ac:dyDescent="0.2">
      <c r="A12" s="1314" t="s">
        <v>453</v>
      </c>
      <c r="B12" s="1316">
        <v>1000</v>
      </c>
      <c r="C12" s="1606">
        <f>'Expenditures 15-22'!K33</f>
        <v>15219465</v>
      </c>
      <c r="D12" s="1616" t="s">
        <v>1159</v>
      </c>
      <c r="E12" s="1575" t="s">
        <v>1159</v>
      </c>
      <c r="F12" s="1575" t="s">
        <v>1159</v>
      </c>
      <c r="G12" s="1606">
        <f>'Expenditures 15-22'!K229</f>
        <v>248954</v>
      </c>
      <c r="H12" s="1617"/>
      <c r="I12" s="1575" t="s">
        <v>1159</v>
      </c>
      <c r="J12" s="1575" t="s">
        <v>1159</v>
      </c>
      <c r="K12" s="1617" t="s">
        <v>1159</v>
      </c>
      <c r="L12" s="325"/>
    </row>
    <row r="13" spans="1:13" ht="15.75" customHeight="1" x14ac:dyDescent="0.2">
      <c r="A13" s="1314" t="s">
        <v>454</v>
      </c>
      <c r="B13" s="1316">
        <v>2000</v>
      </c>
      <c r="C13" s="1607">
        <f>'Expenditures 15-22'!K74</f>
        <v>7132591</v>
      </c>
      <c r="D13" s="1607">
        <f>'Expenditures 15-22'!K129</f>
        <v>2453658</v>
      </c>
      <c r="E13" s="1576" t="s">
        <v>1159</v>
      </c>
      <c r="F13" s="1607">
        <f>'Expenditures 15-22'!K184</f>
        <v>1844829</v>
      </c>
      <c r="G13" s="1607">
        <f>'Expenditures 15-22'!K279</f>
        <v>427974</v>
      </c>
      <c r="H13" s="1607">
        <f>'Expenditures 15-22'!K303</f>
        <v>2110777</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1137156</v>
      </c>
      <c r="D15" s="1607">
        <f>'Expenditures 15-22'!K139</f>
        <v>47795</v>
      </c>
      <c r="E15" s="1607">
        <f>'Expenditures 15-22'!K160</f>
        <v>0</v>
      </c>
      <c r="F15" s="1607">
        <f>'Expenditures 15-22'!K196</f>
        <v>0</v>
      </c>
      <c r="G15" s="1607">
        <f>'Expenditures 15-22'!K285</f>
        <v>53358</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3042712</v>
      </c>
      <c r="F16" s="1607">
        <f>'Expenditures 15-22'!K208</f>
        <v>228395</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23489212</v>
      </c>
      <c r="D17" s="1594">
        <f t="shared" si="2"/>
        <v>2501453</v>
      </c>
      <c r="E17" s="1594">
        <f t="shared" si="2"/>
        <v>3042712</v>
      </c>
      <c r="F17" s="1594">
        <f t="shared" si="2"/>
        <v>2073224</v>
      </c>
      <c r="G17" s="1594">
        <f t="shared" si="2"/>
        <v>730286</v>
      </c>
      <c r="H17" s="1594">
        <f t="shared" si="2"/>
        <v>2110777</v>
      </c>
      <c r="I17" s="1575"/>
      <c r="J17" s="1594">
        <f>SUM(J12:J16)</f>
        <v>0</v>
      </c>
      <c r="K17" s="1594">
        <f>SUM(K12:K16)</f>
        <v>0</v>
      </c>
      <c r="L17" s="325"/>
    </row>
    <row r="18" spans="1:12" ht="15" customHeight="1" thickTop="1" x14ac:dyDescent="0.2">
      <c r="A18" s="1430" t="s">
        <v>1635</v>
      </c>
      <c r="B18" s="1431">
        <v>4180</v>
      </c>
      <c r="C18" s="1606">
        <f t="shared" ref="C18:H18" si="3">C9</f>
        <v>10524808</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34014020</v>
      </c>
      <c r="D19" s="1594">
        <f t="shared" si="4"/>
        <v>2501453</v>
      </c>
      <c r="E19" s="1594">
        <f t="shared" si="4"/>
        <v>3042712</v>
      </c>
      <c r="F19" s="1594">
        <f t="shared" si="4"/>
        <v>2073224</v>
      </c>
      <c r="G19" s="1594">
        <f t="shared" si="4"/>
        <v>730286</v>
      </c>
      <c r="H19" s="1594">
        <f t="shared" si="4"/>
        <v>2110777</v>
      </c>
      <c r="I19" s="1575"/>
      <c r="J19" s="1594">
        <f>SUM(J17:J18)</f>
        <v>0</v>
      </c>
      <c r="K19" s="1594">
        <f>SUM(K17:K18)</f>
        <v>0</v>
      </c>
      <c r="L19" s="325"/>
    </row>
    <row r="20" spans="1:12" ht="16.5" thickTop="1" thickBot="1" x14ac:dyDescent="0.25">
      <c r="A20" s="2232" t="s">
        <v>1636</v>
      </c>
      <c r="B20" s="2233"/>
      <c r="C20" s="1622">
        <f>C8-C17</f>
        <v>62616</v>
      </c>
      <c r="D20" s="1622">
        <f t="shared" ref="D20:K20" si="5">D8-D17</f>
        <v>224161</v>
      </c>
      <c r="E20" s="1622">
        <f t="shared" si="5"/>
        <v>1115</v>
      </c>
      <c r="F20" s="1622">
        <f t="shared" si="5"/>
        <v>223968</v>
      </c>
      <c r="G20" s="1622">
        <f t="shared" si="5"/>
        <v>62409</v>
      </c>
      <c r="H20" s="1622">
        <f t="shared" si="5"/>
        <v>-1942779</v>
      </c>
      <c r="I20" s="1622">
        <f t="shared" si="5"/>
        <v>11249</v>
      </c>
      <c r="J20" s="1622">
        <f t="shared" si="5"/>
        <v>0</v>
      </c>
      <c r="K20" s="1622">
        <f t="shared" si="5"/>
        <v>331</v>
      </c>
      <c r="L20" s="325"/>
    </row>
    <row r="21" spans="1:12" ht="16.7" customHeight="1" thickTop="1" x14ac:dyDescent="0.2">
      <c r="A21" s="2244" t="s">
        <v>591</v>
      </c>
      <c r="B21" s="2245"/>
      <c r="C21" s="1602"/>
      <c r="D21" s="1603"/>
      <c r="E21" s="1603"/>
      <c r="F21" s="1603"/>
      <c r="G21" s="1603"/>
      <c r="H21" s="1603"/>
      <c r="I21" s="1603"/>
      <c r="J21" s="1603"/>
      <c r="K21" s="1615"/>
      <c r="L21" s="453"/>
    </row>
    <row r="22" spans="1:12" ht="15.75" customHeight="1" collapsed="1" x14ac:dyDescent="0.2">
      <c r="A22" s="2240" t="s">
        <v>592</v>
      </c>
      <c r="B22" s="2241"/>
      <c r="C22" s="1582"/>
      <c r="D22" s="1582"/>
      <c r="E22" s="1582"/>
      <c r="F22" s="1582"/>
      <c r="G22" s="1582"/>
      <c r="H22" s="1582"/>
      <c r="I22" s="1582"/>
      <c r="J22" s="1582"/>
      <c r="K22" s="1582"/>
      <c r="L22" s="325"/>
    </row>
    <row r="23" spans="1:12" s="433" customFormat="1" ht="15.75" customHeight="1" x14ac:dyDescent="0.2">
      <c r="A23" s="2236" t="s">
        <v>290</v>
      </c>
      <c r="B23" s="2237"/>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v>1250000</v>
      </c>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8" t="s">
        <v>974</v>
      </c>
      <c r="B32" s="2239"/>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6" t="s">
        <v>371</v>
      </c>
      <c r="B44" s="2247"/>
      <c r="C44" s="1624">
        <f>SUM(C24:C43)</f>
        <v>0</v>
      </c>
      <c r="D44" s="1624">
        <f t="shared" ref="D44:K44" si="6">SUM(D24:D43)</f>
        <v>0</v>
      </c>
      <c r="E44" s="1624">
        <f t="shared" si="6"/>
        <v>0</v>
      </c>
      <c r="F44" s="1624">
        <f t="shared" si="6"/>
        <v>0</v>
      </c>
      <c r="G44" s="1624">
        <f t="shared" si="6"/>
        <v>0</v>
      </c>
      <c r="H44" s="1624">
        <f t="shared" si="6"/>
        <v>1250000</v>
      </c>
      <c r="I44" s="1624">
        <f t="shared" si="6"/>
        <v>0</v>
      </c>
      <c r="J44" s="1624">
        <f t="shared" si="6"/>
        <v>0</v>
      </c>
      <c r="K44" s="1624">
        <f t="shared" si="6"/>
        <v>0</v>
      </c>
      <c r="L44" s="453"/>
    </row>
    <row r="45" spans="1:12" ht="15.75" customHeight="1" thickTop="1" x14ac:dyDescent="0.2">
      <c r="A45" s="2240" t="s">
        <v>108</v>
      </c>
      <c r="B45" s="2241"/>
      <c r="C45" s="1625"/>
      <c r="D45" s="1625"/>
      <c r="E45" s="1625"/>
      <c r="F45" s="1625"/>
      <c r="G45" s="1625"/>
      <c r="H45" s="1625"/>
      <c r="I45" s="1625"/>
      <c r="J45" s="1625"/>
      <c r="K45" s="1625"/>
      <c r="L45" s="325"/>
    </row>
    <row r="46" spans="1:12" s="433" customFormat="1" ht="15.75" customHeight="1" x14ac:dyDescent="0.2">
      <c r="A46" s="2248" t="s">
        <v>109</v>
      </c>
      <c r="B46" s="2249"/>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1250000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2" t="s">
        <v>437</v>
      </c>
      <c r="B76" s="2223"/>
      <c r="C76" s="1624">
        <f t="shared" ref="C76:K76" si="7">SUM(C47:C75)</f>
        <v>0</v>
      </c>
      <c r="D76" s="1624">
        <f t="shared" si="7"/>
        <v>0</v>
      </c>
      <c r="E76" s="1624">
        <f t="shared" si="7"/>
        <v>0</v>
      </c>
      <c r="F76" s="1624">
        <f t="shared" si="7"/>
        <v>0</v>
      </c>
      <c r="G76" s="1624">
        <f t="shared" si="7"/>
        <v>0</v>
      </c>
      <c r="H76" s="1624">
        <f t="shared" si="7"/>
        <v>0</v>
      </c>
      <c r="I76" s="1624">
        <f t="shared" si="7"/>
        <v>1250000</v>
      </c>
      <c r="J76" s="1624">
        <f t="shared" si="7"/>
        <v>0</v>
      </c>
      <c r="K76" s="1624">
        <f t="shared" si="7"/>
        <v>0</v>
      </c>
      <c r="L76" s="453"/>
    </row>
    <row r="77" spans="1:12" ht="14.25" thickTop="1" thickBot="1" x14ac:dyDescent="0.25">
      <c r="A77" s="2224" t="s">
        <v>1167</v>
      </c>
      <c r="B77" s="2225"/>
      <c r="C77" s="1624">
        <f t="shared" ref="C77:K77" si="8">C44-C76</f>
        <v>0</v>
      </c>
      <c r="D77" s="1624">
        <f t="shared" si="8"/>
        <v>0</v>
      </c>
      <c r="E77" s="1624">
        <f t="shared" si="8"/>
        <v>0</v>
      </c>
      <c r="F77" s="1624">
        <f t="shared" si="8"/>
        <v>0</v>
      </c>
      <c r="G77" s="1624">
        <f t="shared" si="8"/>
        <v>0</v>
      </c>
      <c r="H77" s="1624">
        <f t="shared" si="8"/>
        <v>1250000</v>
      </c>
      <c r="I77" s="1624">
        <f t="shared" si="8"/>
        <v>-1250000</v>
      </c>
      <c r="J77" s="1624">
        <f t="shared" si="8"/>
        <v>0</v>
      </c>
      <c r="K77" s="1624">
        <f t="shared" si="8"/>
        <v>0</v>
      </c>
      <c r="L77" s="325"/>
    </row>
    <row r="78" spans="1:12" ht="21.75" customHeight="1" thickTop="1" thickBot="1" x14ac:dyDescent="0.25">
      <c r="A78" s="2228" t="s">
        <v>593</v>
      </c>
      <c r="B78" s="2229"/>
      <c r="C78" s="1629">
        <f t="shared" ref="C78:K78" si="9">C20+C77</f>
        <v>62616</v>
      </c>
      <c r="D78" s="1629">
        <f t="shared" si="9"/>
        <v>224161</v>
      </c>
      <c r="E78" s="1629">
        <f t="shared" si="9"/>
        <v>1115</v>
      </c>
      <c r="F78" s="1629">
        <f t="shared" si="9"/>
        <v>223968</v>
      </c>
      <c r="G78" s="1629">
        <f t="shared" si="9"/>
        <v>62409</v>
      </c>
      <c r="H78" s="1629">
        <f t="shared" si="9"/>
        <v>-692779</v>
      </c>
      <c r="I78" s="1629">
        <f t="shared" si="9"/>
        <v>-1238751</v>
      </c>
      <c r="J78" s="1629">
        <f t="shared" si="9"/>
        <v>0</v>
      </c>
      <c r="K78" s="1629">
        <f t="shared" si="9"/>
        <v>331</v>
      </c>
      <c r="L78" s="457"/>
    </row>
    <row r="79" spans="1:12" ht="13.5" thickTop="1" x14ac:dyDescent="0.2">
      <c r="A79" s="1844" t="str">
        <f>"Fund Balances - July 1, "&amp;'AFR20'!E2-1</f>
        <v>Fund Balances - July 1, 2019</v>
      </c>
      <c r="B79" s="458"/>
      <c r="C79" s="1583">
        <v>21863523</v>
      </c>
      <c r="D79" s="1630">
        <v>3017917</v>
      </c>
      <c r="E79" s="1630">
        <v>2305329</v>
      </c>
      <c r="F79" s="1630">
        <v>2302434</v>
      </c>
      <c r="G79" s="1630">
        <v>267419</v>
      </c>
      <c r="H79" s="1630">
        <v>779932</v>
      </c>
      <c r="I79" s="1630">
        <v>1320614</v>
      </c>
      <c r="J79" s="1630"/>
      <c r="K79" s="1630">
        <v>18013</v>
      </c>
      <c r="L79" s="325"/>
    </row>
    <row r="80" spans="1:12" x14ac:dyDescent="0.2">
      <c r="A80" s="2234" t="s">
        <v>1772</v>
      </c>
      <c r="B80" s="2235"/>
      <c r="C80" s="1574"/>
      <c r="D80" s="1574"/>
      <c r="E80" s="1574"/>
      <c r="F80" s="1574"/>
      <c r="G80" s="1574"/>
      <c r="H80" s="1574"/>
      <c r="I80" s="1574"/>
      <c r="J80" s="1574"/>
      <c r="K80" s="1574"/>
      <c r="L80" s="325"/>
    </row>
    <row r="81" spans="1:12" ht="13.5" thickBot="1" x14ac:dyDescent="0.25">
      <c r="A81" s="2226" t="str">
        <f>"Fund Balances - June 30, "&amp;'AFR20'!E2</f>
        <v>Fund Balances - June 30, 2020</v>
      </c>
      <c r="B81" s="2227"/>
      <c r="C81" s="1594">
        <f>(SUM(C78:C80))</f>
        <v>21926139</v>
      </c>
      <c r="D81" s="1594">
        <f>SUM(D78:D80)</f>
        <v>3242078</v>
      </c>
      <c r="E81" s="1594">
        <f t="shared" ref="E81:K81" si="10">SUM(E78:E80)</f>
        <v>2306444</v>
      </c>
      <c r="F81" s="1594">
        <f t="shared" si="10"/>
        <v>2526402</v>
      </c>
      <c r="G81" s="1594">
        <f t="shared" si="10"/>
        <v>329828</v>
      </c>
      <c r="H81" s="1594">
        <f t="shared" si="10"/>
        <v>87153</v>
      </c>
      <c r="I81" s="1594">
        <f t="shared" si="10"/>
        <v>81863</v>
      </c>
      <c r="J81" s="1594">
        <f t="shared" si="10"/>
        <v>0</v>
      </c>
      <c r="K81" s="1594">
        <f t="shared" si="10"/>
        <v>18344</v>
      </c>
      <c r="L81" s="325"/>
    </row>
    <row r="82" spans="1:12" ht="0.75" customHeight="1" thickTop="1" thickBot="1" x14ac:dyDescent="0.25">
      <c r="A82" s="459" t="s">
        <v>340</v>
      </c>
      <c r="B82" s="460"/>
      <c r="C82" s="461">
        <f>(C81-C79)</f>
        <v>62616</v>
      </c>
      <c r="D82" s="461">
        <f t="shared" ref="D82:K82" si="11">(D81-D79)</f>
        <v>224161</v>
      </c>
      <c r="E82" s="461">
        <f t="shared" si="11"/>
        <v>1115</v>
      </c>
      <c r="F82" s="461">
        <f t="shared" si="11"/>
        <v>223968</v>
      </c>
      <c r="G82" s="461">
        <f t="shared" si="11"/>
        <v>62409</v>
      </c>
      <c r="H82" s="461">
        <f t="shared" si="11"/>
        <v>-692779</v>
      </c>
      <c r="I82" s="461">
        <f t="shared" si="11"/>
        <v>-1238751</v>
      </c>
      <c r="J82" s="461">
        <f t="shared" si="11"/>
        <v>0</v>
      </c>
      <c r="K82" s="461">
        <f t="shared" si="11"/>
        <v>331</v>
      </c>
    </row>
    <row r="83" spans="1:12" ht="14.25" hidden="1" thickTop="1" thickBot="1" x14ac:dyDescent="0.25">
      <c r="A83" s="462" t="s">
        <v>341</v>
      </c>
      <c r="B83" s="428"/>
      <c r="C83" s="463">
        <f>C82/C81</f>
        <v>2.8557695451989972E-3</v>
      </c>
      <c r="D83" s="463">
        <f t="shared" ref="D83:K83" si="12">D82/D81</f>
        <v>6.9141149596030696E-2</v>
      </c>
      <c r="E83" s="463">
        <f t="shared" si="12"/>
        <v>4.8342816907759307E-4</v>
      </c>
      <c r="F83" s="463">
        <f t="shared" si="12"/>
        <v>8.8650974785485448E-2</v>
      </c>
      <c r="G83" s="463">
        <f t="shared" si="12"/>
        <v>0.18921680390991669</v>
      </c>
      <c r="H83" s="463">
        <f t="shared" si="12"/>
        <v>-7.948997739607357</v>
      </c>
      <c r="I83" s="463">
        <f t="shared" si="12"/>
        <v>-15.132001026104589</v>
      </c>
      <c r="J83" s="463" t="e">
        <f t="shared" si="12"/>
        <v>#DIV/0!</v>
      </c>
      <c r="K83" s="463">
        <f t="shared" si="12"/>
        <v>1.8044047099869166E-2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0" t="s">
        <v>1779</v>
      </c>
      <c r="B1" s="416"/>
      <c r="C1" s="417" t="s">
        <v>422</v>
      </c>
      <c r="D1" s="417" t="s">
        <v>423</v>
      </c>
      <c r="E1" s="417" t="s">
        <v>424</v>
      </c>
      <c r="F1" s="417" t="s">
        <v>425</v>
      </c>
      <c r="G1" s="417" t="s">
        <v>426</v>
      </c>
      <c r="H1" s="417" t="s">
        <v>427</v>
      </c>
      <c r="I1" s="417" t="s">
        <v>428</v>
      </c>
      <c r="J1" s="417" t="s">
        <v>429</v>
      </c>
      <c r="K1" s="417" t="s">
        <v>751</v>
      </c>
    </row>
    <row r="2" spans="1:12" ht="36" x14ac:dyDescent="0.2">
      <c r="A2" s="2231"/>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20244393</v>
      </c>
      <c r="D5" s="1586">
        <v>2487307</v>
      </c>
      <c r="E5" s="1573">
        <v>3020950</v>
      </c>
      <c r="F5" s="1631">
        <v>1222523</v>
      </c>
      <c r="G5" s="1573">
        <f>554490-27+172562</f>
        <v>727025</v>
      </c>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v>52792</v>
      </c>
      <c r="H11" s="1573"/>
      <c r="I11" s="1573"/>
      <c r="J11" s="1574"/>
      <c r="K11" s="1573"/>
      <c r="L11" s="473"/>
    </row>
    <row r="12" spans="1:12" ht="12.75" customHeight="1" thickBot="1" x14ac:dyDescent="0.25">
      <c r="A12" s="1404" t="s">
        <v>29</v>
      </c>
      <c r="B12" s="1405"/>
      <c r="C12" s="1633">
        <f t="shared" ref="C12:K12" si="0">SUM(C5:C11)</f>
        <v>20244393</v>
      </c>
      <c r="D12" s="1633">
        <f t="shared" si="0"/>
        <v>2487307</v>
      </c>
      <c r="E12" s="1633">
        <f t="shared" si="0"/>
        <v>3020950</v>
      </c>
      <c r="F12" s="1633">
        <f t="shared" si="0"/>
        <v>1222523</v>
      </c>
      <c r="G12" s="1633">
        <f t="shared" si="0"/>
        <v>779817</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99421</v>
      </c>
      <c r="D16" s="1573"/>
      <c r="E16" s="1573"/>
      <c r="F16" s="1573"/>
      <c r="G16" s="1573">
        <v>6500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99421</v>
      </c>
      <c r="D18" s="1635">
        <f t="shared" ref="D18:K18" si="1">SUM(D14:D17)</f>
        <v>0</v>
      </c>
      <c r="E18" s="1635">
        <f t="shared" si="1"/>
        <v>0</v>
      </c>
      <c r="F18" s="1635">
        <f t="shared" si="1"/>
        <v>0</v>
      </c>
      <c r="G18" s="1635">
        <f t="shared" si="1"/>
        <v>6500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373421</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v>19664</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393085</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1452</v>
      </c>
      <c r="G42" s="1575"/>
      <c r="H42" s="1575"/>
      <c r="I42" s="1575"/>
      <c r="J42" s="1575"/>
      <c r="K42" s="1575"/>
    </row>
    <row r="43" spans="1:11" ht="12.75" customHeight="1" x14ac:dyDescent="0.2">
      <c r="A43" s="427" t="s">
        <v>832</v>
      </c>
      <c r="B43" s="429">
        <v>1412</v>
      </c>
      <c r="C43" s="1575"/>
      <c r="D43" s="1575"/>
      <c r="E43" s="1575"/>
      <c r="F43" s="1573">
        <v>503</v>
      </c>
      <c r="G43" s="1575"/>
      <c r="H43" s="1575"/>
      <c r="I43" s="1575"/>
      <c r="J43" s="1575"/>
      <c r="K43" s="1575"/>
    </row>
    <row r="44" spans="1:11" ht="12.75" customHeight="1" x14ac:dyDescent="0.2">
      <c r="A44" s="427" t="s">
        <v>381</v>
      </c>
      <c r="B44" s="429">
        <v>1413</v>
      </c>
      <c r="C44" s="1575"/>
      <c r="D44" s="1575"/>
      <c r="E44" s="1575"/>
      <c r="F44" s="1573">
        <v>2435</v>
      </c>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4390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421486</v>
      </c>
      <c r="D65" s="1573">
        <v>54210</v>
      </c>
      <c r="E65" s="1573">
        <v>22877</v>
      </c>
      <c r="F65" s="1574">
        <v>32182</v>
      </c>
      <c r="G65" s="1573">
        <f>3127+3251</f>
        <v>6378</v>
      </c>
      <c r="H65" s="1573"/>
      <c r="I65" s="1573">
        <v>11249</v>
      </c>
      <c r="J65" s="1574"/>
      <c r="K65" s="1573">
        <v>331</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421486</v>
      </c>
      <c r="D67" s="1594">
        <f t="shared" ref="D67:K67" si="2">SUM(D65:D66)</f>
        <v>54210</v>
      </c>
      <c r="E67" s="1594">
        <f t="shared" si="2"/>
        <v>22877</v>
      </c>
      <c r="F67" s="1594">
        <f t="shared" si="2"/>
        <v>32182</v>
      </c>
      <c r="G67" s="1594">
        <f t="shared" si="2"/>
        <v>6378</v>
      </c>
      <c r="H67" s="1594">
        <f t="shared" si="2"/>
        <v>0</v>
      </c>
      <c r="I67" s="1594">
        <f t="shared" si="2"/>
        <v>11249</v>
      </c>
      <c r="J67" s="1594">
        <f t="shared" si="2"/>
        <v>0</v>
      </c>
      <c r="K67" s="1594">
        <f t="shared" si="2"/>
        <v>331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2425</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27366</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29791</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460378</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460378</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9592</v>
      </c>
      <c r="D95" s="1632">
        <v>28134</v>
      </c>
      <c r="E95" s="1617"/>
      <c r="F95" s="1617"/>
      <c r="G95" s="1617"/>
      <c r="H95" s="1617"/>
      <c r="I95" s="1617"/>
      <c r="J95" s="1617"/>
      <c r="K95" s="1617"/>
    </row>
    <row r="96" spans="1:11" ht="12.75" customHeight="1" x14ac:dyDescent="0.2">
      <c r="A96" s="427" t="s">
        <v>388</v>
      </c>
      <c r="B96" s="429">
        <v>1920</v>
      </c>
      <c r="C96" s="1632"/>
      <c r="D96" s="1632">
        <v>47030</v>
      </c>
      <c r="E96" s="1584"/>
      <c r="F96" s="1583"/>
      <c r="G96" s="1583"/>
      <c r="H96" s="1583">
        <v>167998</v>
      </c>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v>129220</v>
      </c>
      <c r="G98" s="1612"/>
      <c r="H98" s="1612"/>
      <c r="I98" s="1610"/>
      <c r="J98" s="1612"/>
      <c r="K98" s="1612"/>
    </row>
    <row r="99" spans="1:12" ht="12.75" customHeight="1" x14ac:dyDescent="0.2">
      <c r="A99" s="427" t="s">
        <v>816</v>
      </c>
      <c r="B99" s="429">
        <v>1950</v>
      </c>
      <c r="C99" s="1598">
        <v>32800</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169092</v>
      </c>
      <c r="D107" s="1573">
        <v>27133</v>
      </c>
      <c r="E107" s="1573"/>
      <c r="F107" s="1573"/>
      <c r="G107" s="1573"/>
      <c r="H107" s="1573"/>
      <c r="I107" s="1573"/>
      <c r="J107" s="1574"/>
      <c r="K107" s="1573"/>
    </row>
    <row r="108" spans="1:12" ht="12.75" customHeight="1" thickBot="1" x14ac:dyDescent="0.25">
      <c r="A108" s="1406" t="s">
        <v>484</v>
      </c>
      <c r="B108" s="1408"/>
      <c r="C108" s="1633">
        <f>SUM(C95:C107)</f>
        <v>211484</v>
      </c>
      <c r="D108" s="1633">
        <f t="shared" ref="D108:K108" si="3">SUM(D95:D107)</f>
        <v>102297</v>
      </c>
      <c r="E108" s="1633">
        <f t="shared" si="3"/>
        <v>0</v>
      </c>
      <c r="F108" s="1633">
        <f t="shared" si="3"/>
        <v>129220</v>
      </c>
      <c r="G108" s="1633">
        <f t="shared" si="3"/>
        <v>0</v>
      </c>
      <c r="H108" s="1633">
        <f t="shared" si="3"/>
        <v>167998</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21860038</v>
      </c>
      <c r="D109" s="1641">
        <f t="shared" si="4"/>
        <v>2643814</v>
      </c>
      <c r="E109" s="1641">
        <f t="shared" si="4"/>
        <v>3043827</v>
      </c>
      <c r="F109" s="1641">
        <f t="shared" si="4"/>
        <v>1388315</v>
      </c>
      <c r="G109" s="1641">
        <f t="shared" si="4"/>
        <v>792695</v>
      </c>
      <c r="H109" s="1641">
        <f t="shared" si="4"/>
        <v>167998</v>
      </c>
      <c r="I109" s="1641">
        <f t="shared" si="4"/>
        <v>11249</v>
      </c>
      <c r="J109" s="1641">
        <f t="shared" si="4"/>
        <v>0</v>
      </c>
      <c r="K109" s="1629">
        <f t="shared" si="4"/>
        <v>331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1028093</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1028093</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105434</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42865</v>
      </c>
      <c r="D128" s="1640"/>
      <c r="E128" s="1575"/>
      <c r="F128" s="1573"/>
      <c r="G128" s="1575"/>
      <c r="H128" s="1575"/>
      <c r="I128" s="1575"/>
      <c r="J128" s="1575"/>
      <c r="K128" s="1575"/>
    </row>
    <row r="129" spans="1:11" ht="12.75" customHeight="1" x14ac:dyDescent="0.2">
      <c r="A129" s="427" t="s">
        <v>1430</v>
      </c>
      <c r="B129" s="478">
        <v>3130</v>
      </c>
      <c r="C129" s="1573">
        <v>840</v>
      </c>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149139</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561849</v>
      </c>
      <c r="G152" s="1574"/>
      <c r="H152" s="1575"/>
      <c r="I152" s="1575"/>
      <c r="J152" s="1575"/>
      <c r="K152" s="1575"/>
    </row>
    <row r="153" spans="1:11" ht="12.75" customHeight="1" x14ac:dyDescent="0.2">
      <c r="A153" s="427" t="s">
        <v>1048</v>
      </c>
      <c r="B153" s="478">
        <v>3510</v>
      </c>
      <c r="C153" s="1632"/>
      <c r="D153" s="1573"/>
      <c r="E153" s="1640"/>
      <c r="F153" s="1573">
        <v>347028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908877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v>31800</v>
      </c>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0" t="s">
        <v>395</v>
      </c>
      <c r="B169" s="2251"/>
      <c r="C169" s="1658">
        <f t="shared" ref="C169:K169" si="6">SUM(C132,C141,C145,C146:C150,C155,C156:C167,C168)</f>
        <v>149139</v>
      </c>
      <c r="D169" s="1658">
        <f t="shared" si="6"/>
        <v>81800</v>
      </c>
      <c r="E169" s="1658">
        <f t="shared" si="6"/>
        <v>0</v>
      </c>
      <c r="F169" s="1658">
        <f t="shared" si="6"/>
        <v>908877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1177232</v>
      </c>
      <c r="D170" s="1641">
        <f t="shared" si="7"/>
        <v>81800</v>
      </c>
      <c r="E170" s="1641">
        <f t="shared" si="7"/>
        <v>0</v>
      </c>
      <c r="F170" s="1641">
        <f t="shared" si="7"/>
        <v>908877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2" t="s">
        <v>1475</v>
      </c>
      <c r="B172" s="2253"/>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6" t="s">
        <v>1646</v>
      </c>
      <c r="B175" s="2257"/>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0" t="s">
        <v>1645</v>
      </c>
      <c r="B176" s="2261"/>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8" t="s">
        <v>780</v>
      </c>
      <c r="B181" s="2259"/>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4" t="s">
        <v>1780</v>
      </c>
      <c r="B182" s="2255"/>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v>8774</v>
      </c>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8774</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124249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124249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9315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9315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24694</v>
      </c>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233009</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257703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v>28418</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19480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20475</v>
      </c>
      <c r="D263" s="1651"/>
      <c r="E263" s="1575"/>
      <c r="F263" s="1651"/>
      <c r="G263" s="1651"/>
      <c r="H263" s="1575"/>
      <c r="I263" s="1575"/>
      <c r="J263" s="1575"/>
      <c r="K263" s="1575"/>
    </row>
    <row r="264" spans="1:11" ht="12.75" customHeight="1" thickTop="1" thickBot="1" x14ac:dyDescent="0.25">
      <c r="A264" s="427" t="s">
        <v>374</v>
      </c>
      <c r="B264" s="429">
        <v>4992</v>
      </c>
      <c r="C264" s="1650">
        <v>46144</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514558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514558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23551828</v>
      </c>
      <c r="D268" s="1641">
        <f t="shared" si="12"/>
        <v>2725614</v>
      </c>
      <c r="E268" s="1641">
        <f t="shared" si="12"/>
        <v>3043827</v>
      </c>
      <c r="F268" s="1641">
        <f t="shared" si="12"/>
        <v>2297192</v>
      </c>
      <c r="G268" s="1641">
        <f t="shared" si="12"/>
        <v>792695</v>
      </c>
      <c r="H268" s="1641">
        <f t="shared" si="12"/>
        <v>167998</v>
      </c>
      <c r="I268" s="1641">
        <f t="shared" si="12"/>
        <v>11249</v>
      </c>
      <c r="J268" s="1641">
        <f t="shared" si="12"/>
        <v>0</v>
      </c>
      <c r="K268" s="1629">
        <f t="shared" si="12"/>
        <v>331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activeCell="E9" sqref="E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0"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0" t="s">
        <v>294</v>
      </c>
      <c r="B3" s="2271"/>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8001597</v>
      </c>
      <c r="D5" s="1573">
        <v>2284758</v>
      </c>
      <c r="E5" s="1573">
        <v>9335</v>
      </c>
      <c r="F5" s="1573">
        <v>163876</v>
      </c>
      <c r="G5" s="1573">
        <v>461412</v>
      </c>
      <c r="H5" s="1573">
        <v>2272</v>
      </c>
      <c r="I5" s="1574">
        <v>26852</v>
      </c>
      <c r="J5" s="1574"/>
      <c r="K5" s="1672">
        <f>SUM(C5:J5)</f>
        <v>10950102</v>
      </c>
      <c r="L5" s="1573">
        <v>11035000</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47621</v>
      </c>
      <c r="D7" s="1574">
        <v>18398</v>
      </c>
      <c r="E7" s="1574"/>
      <c r="F7" s="1574">
        <v>3357</v>
      </c>
      <c r="G7" s="1574"/>
      <c r="H7" s="1574"/>
      <c r="I7" s="1574"/>
      <c r="J7" s="1574"/>
      <c r="K7" s="1672">
        <f t="shared" ref="K7:K32" si="0">SUM(C7:J7)</f>
        <v>69376</v>
      </c>
      <c r="L7" s="1573">
        <v>205432</v>
      </c>
    </row>
    <row r="8" spans="1:14" x14ac:dyDescent="0.2">
      <c r="A8" s="1274" t="s">
        <v>163</v>
      </c>
      <c r="B8" s="503">
        <v>1200</v>
      </c>
      <c r="C8" s="1573">
        <v>1698355</v>
      </c>
      <c r="D8" s="1573">
        <v>793007</v>
      </c>
      <c r="E8" s="1573">
        <v>422683</v>
      </c>
      <c r="F8" s="1573">
        <v>22515</v>
      </c>
      <c r="G8" s="1573"/>
      <c r="H8" s="1573">
        <v>315</v>
      </c>
      <c r="I8" s="1574"/>
      <c r="J8" s="1574"/>
      <c r="K8" s="1672">
        <f t="shared" si="0"/>
        <v>2936875</v>
      </c>
      <c r="L8" s="1573">
        <v>3059376</v>
      </c>
    </row>
    <row r="9" spans="1:14" x14ac:dyDescent="0.2">
      <c r="A9" s="1274" t="s">
        <v>716</v>
      </c>
      <c r="B9" s="503" t="s">
        <v>962</v>
      </c>
      <c r="C9" s="1574">
        <v>126956</v>
      </c>
      <c r="D9" s="1574">
        <v>37540</v>
      </c>
      <c r="E9" s="1574"/>
      <c r="F9" s="1574">
        <v>1846</v>
      </c>
      <c r="G9" s="1574"/>
      <c r="H9" s="1574"/>
      <c r="I9" s="1574"/>
      <c r="J9" s="1574"/>
      <c r="K9" s="1672">
        <f t="shared" si="0"/>
        <v>166342</v>
      </c>
      <c r="L9" s="1573">
        <v>162936</v>
      </c>
    </row>
    <row r="10" spans="1:14" x14ac:dyDescent="0.2">
      <c r="A10" s="1274" t="s">
        <v>717</v>
      </c>
      <c r="B10" s="503">
        <v>1250</v>
      </c>
      <c r="C10" s="1573">
        <v>39736</v>
      </c>
      <c r="D10" s="1573">
        <v>1093</v>
      </c>
      <c r="E10" s="1573">
        <v>20555</v>
      </c>
      <c r="F10" s="1573">
        <v>42467</v>
      </c>
      <c r="G10" s="1573"/>
      <c r="H10" s="1573"/>
      <c r="I10" s="1574"/>
      <c r="J10" s="1574"/>
      <c r="K10" s="1672">
        <f t="shared" si="0"/>
        <v>103851</v>
      </c>
      <c r="L10" s="1573">
        <v>26724</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172363</v>
      </c>
      <c r="D14" s="1573">
        <v>12523</v>
      </c>
      <c r="E14" s="1573">
        <v>6444</v>
      </c>
      <c r="F14" s="1573">
        <v>6696</v>
      </c>
      <c r="G14" s="1573"/>
      <c r="H14" s="1573">
        <v>14731</v>
      </c>
      <c r="I14" s="1574"/>
      <c r="J14" s="1574"/>
      <c r="K14" s="1672">
        <f t="shared" si="0"/>
        <v>212757</v>
      </c>
      <c r="L14" s="1573">
        <v>176234</v>
      </c>
    </row>
    <row r="15" spans="1:14" x14ac:dyDescent="0.2">
      <c r="A15" s="1274" t="s">
        <v>958</v>
      </c>
      <c r="B15" s="503">
        <v>1600</v>
      </c>
      <c r="C15" s="1573">
        <v>13717</v>
      </c>
      <c r="D15" s="1573">
        <v>367</v>
      </c>
      <c r="E15" s="1573"/>
      <c r="F15" s="1573">
        <v>10756</v>
      </c>
      <c r="G15" s="1573"/>
      <c r="H15" s="1573"/>
      <c r="I15" s="1574"/>
      <c r="J15" s="1574"/>
      <c r="K15" s="1672">
        <f t="shared" si="0"/>
        <v>24840</v>
      </c>
      <c r="L15" s="1573">
        <v>61000</v>
      </c>
    </row>
    <row r="16" spans="1:14" x14ac:dyDescent="0.2">
      <c r="A16" s="1274" t="s">
        <v>980</v>
      </c>
      <c r="B16" s="503" t="s">
        <v>421</v>
      </c>
      <c r="C16" s="1573">
        <v>78606</v>
      </c>
      <c r="D16" s="1573">
        <v>19028</v>
      </c>
      <c r="E16" s="1573"/>
      <c r="F16" s="1573">
        <v>370</v>
      </c>
      <c r="G16" s="1573"/>
      <c r="H16" s="1573"/>
      <c r="I16" s="1574"/>
      <c r="J16" s="1574"/>
      <c r="K16" s="1672">
        <f t="shared" si="0"/>
        <v>98004</v>
      </c>
      <c r="L16" s="1573">
        <v>217516</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v>509262</v>
      </c>
      <c r="D18" s="1573">
        <v>122733</v>
      </c>
      <c r="E18" s="1573">
        <v>1807</v>
      </c>
      <c r="F18" s="1573">
        <v>23516</v>
      </c>
      <c r="G18" s="1573"/>
      <c r="H18" s="1573"/>
      <c r="I18" s="1574"/>
      <c r="J18" s="1574"/>
      <c r="K18" s="1672">
        <f t="shared" si="0"/>
        <v>657318</v>
      </c>
      <c r="L18" s="1573">
        <v>676240</v>
      </c>
    </row>
    <row r="19" spans="1:12" x14ac:dyDescent="0.2">
      <c r="A19" s="1274" t="s">
        <v>133</v>
      </c>
      <c r="B19" s="503">
        <v>1900</v>
      </c>
      <c r="C19" s="1573"/>
      <c r="D19" s="1573"/>
      <c r="E19" s="1573"/>
      <c r="F19" s="1573"/>
      <c r="G19" s="1573"/>
      <c r="H19" s="1573"/>
      <c r="I19" s="1574"/>
      <c r="J19" s="1574"/>
      <c r="K19" s="1672">
        <f t="shared" si="0"/>
        <v>0</v>
      </c>
      <c r="L19" s="1573">
        <v>51000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10688213</v>
      </c>
      <c r="D33" s="1674">
        <f t="shared" ref="D33:L33" si="1">SUM(D5:D32)</f>
        <v>3289447</v>
      </c>
      <c r="E33" s="1674">
        <f t="shared" si="1"/>
        <v>460824</v>
      </c>
      <c r="F33" s="1674">
        <f t="shared" si="1"/>
        <v>275399</v>
      </c>
      <c r="G33" s="1674">
        <f t="shared" si="1"/>
        <v>461412</v>
      </c>
      <c r="H33" s="1674">
        <f t="shared" si="1"/>
        <v>17318</v>
      </c>
      <c r="I33" s="1674">
        <f t="shared" si="1"/>
        <v>26852</v>
      </c>
      <c r="J33" s="1674">
        <f t="shared" si="1"/>
        <v>0</v>
      </c>
      <c r="K33" s="1674">
        <f t="shared" si="1"/>
        <v>15219465</v>
      </c>
      <c r="L33" s="1674">
        <f t="shared" si="1"/>
        <v>15671458</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v>275406</v>
      </c>
      <c r="D37" s="1573">
        <v>75057</v>
      </c>
      <c r="E37" s="1573"/>
      <c r="F37" s="1573">
        <v>1751</v>
      </c>
      <c r="G37" s="1573"/>
      <c r="H37" s="1573"/>
      <c r="I37" s="1574"/>
      <c r="J37" s="1574"/>
      <c r="K37" s="1672">
        <f t="shared" si="2"/>
        <v>352214</v>
      </c>
      <c r="L37" s="1573">
        <v>271024</v>
      </c>
    </row>
    <row r="38" spans="1:14" x14ac:dyDescent="0.2">
      <c r="A38" s="1274" t="s">
        <v>196</v>
      </c>
      <c r="B38" s="503">
        <v>2130</v>
      </c>
      <c r="C38" s="1573">
        <v>131195</v>
      </c>
      <c r="D38" s="1573">
        <v>48240</v>
      </c>
      <c r="E38" s="1573"/>
      <c r="F38" s="1573">
        <v>3226</v>
      </c>
      <c r="G38" s="1573"/>
      <c r="H38" s="1573"/>
      <c r="I38" s="1574"/>
      <c r="J38" s="1574"/>
      <c r="K38" s="1672">
        <f t="shared" si="2"/>
        <v>182661</v>
      </c>
      <c r="L38" s="1573">
        <v>187764</v>
      </c>
    </row>
    <row r="39" spans="1:14" x14ac:dyDescent="0.2">
      <c r="A39" s="1274" t="s">
        <v>197</v>
      </c>
      <c r="B39" s="503">
        <v>2140</v>
      </c>
      <c r="C39" s="1573">
        <v>284197</v>
      </c>
      <c r="D39" s="1573">
        <v>56947</v>
      </c>
      <c r="E39" s="1573">
        <v>2414</v>
      </c>
      <c r="F39" s="1573">
        <v>1347</v>
      </c>
      <c r="G39" s="1573"/>
      <c r="H39" s="1573"/>
      <c r="I39" s="1574"/>
      <c r="J39" s="1574"/>
      <c r="K39" s="1672">
        <f t="shared" si="2"/>
        <v>344905</v>
      </c>
      <c r="L39" s="1573">
        <v>377610</v>
      </c>
    </row>
    <row r="40" spans="1:14" x14ac:dyDescent="0.2">
      <c r="A40" s="1274" t="s">
        <v>198</v>
      </c>
      <c r="B40" s="503">
        <v>2150</v>
      </c>
      <c r="C40" s="1573">
        <v>392675</v>
      </c>
      <c r="D40" s="1573">
        <v>86510</v>
      </c>
      <c r="E40" s="1573"/>
      <c r="F40" s="1573">
        <v>2852</v>
      </c>
      <c r="G40" s="1573"/>
      <c r="H40" s="1573"/>
      <c r="I40" s="1574"/>
      <c r="J40" s="1574"/>
      <c r="K40" s="1672">
        <f t="shared" si="2"/>
        <v>482037</v>
      </c>
      <c r="L40" s="1573">
        <v>432482</v>
      </c>
    </row>
    <row r="41" spans="1:14" x14ac:dyDescent="0.2">
      <c r="A41" s="1274" t="s">
        <v>1650</v>
      </c>
      <c r="B41" s="503">
        <v>2190</v>
      </c>
      <c r="C41" s="1573">
        <v>166407</v>
      </c>
      <c r="D41" s="1573">
        <v>19701</v>
      </c>
      <c r="E41" s="1573"/>
      <c r="F41" s="1573"/>
      <c r="G41" s="1573"/>
      <c r="H41" s="1573"/>
      <c r="I41" s="1574"/>
      <c r="J41" s="1574"/>
      <c r="K41" s="1672">
        <f t="shared" si="2"/>
        <v>186108</v>
      </c>
      <c r="L41" s="1573">
        <v>191144</v>
      </c>
    </row>
    <row r="42" spans="1:14" ht="12.75" customHeight="1" thickBot="1" x14ac:dyDescent="0.25">
      <c r="A42" s="1380" t="s">
        <v>556</v>
      </c>
      <c r="B42" s="1381" t="s">
        <v>711</v>
      </c>
      <c r="C42" s="1674">
        <f>SUM(C36:C41)</f>
        <v>1249880</v>
      </c>
      <c r="D42" s="1674">
        <f t="shared" ref="D42:L42" si="3">SUM(D36:D41)</f>
        <v>286455</v>
      </c>
      <c r="E42" s="1674">
        <f t="shared" si="3"/>
        <v>2414</v>
      </c>
      <c r="F42" s="1674">
        <f t="shared" si="3"/>
        <v>9176</v>
      </c>
      <c r="G42" s="1674">
        <f t="shared" si="3"/>
        <v>0</v>
      </c>
      <c r="H42" s="1674">
        <f t="shared" si="3"/>
        <v>0</v>
      </c>
      <c r="I42" s="1674">
        <f t="shared" si="3"/>
        <v>0</v>
      </c>
      <c r="J42" s="1674">
        <f t="shared" si="3"/>
        <v>0</v>
      </c>
      <c r="K42" s="1674">
        <f t="shared" si="3"/>
        <v>1547925</v>
      </c>
      <c r="L42" s="1674">
        <f t="shared" si="3"/>
        <v>1460024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178138</v>
      </c>
      <c r="D44" s="1586">
        <v>36747</v>
      </c>
      <c r="E44" s="1586">
        <v>130276</v>
      </c>
      <c r="F44" s="1586">
        <v>354323</v>
      </c>
      <c r="G44" s="1586"/>
      <c r="H44" s="1586">
        <v>762</v>
      </c>
      <c r="I44" s="1574"/>
      <c r="J44" s="1574"/>
      <c r="K44" s="1678">
        <f>SUM(C44:J44)</f>
        <v>700246</v>
      </c>
      <c r="L44" s="1586">
        <v>673603</v>
      </c>
    </row>
    <row r="45" spans="1:14" x14ac:dyDescent="0.2">
      <c r="A45" s="1274" t="s">
        <v>810</v>
      </c>
      <c r="B45" s="503">
        <v>2220</v>
      </c>
      <c r="C45" s="1573">
        <v>787096</v>
      </c>
      <c r="D45" s="1573">
        <v>184096</v>
      </c>
      <c r="E45" s="1573">
        <v>419195</v>
      </c>
      <c r="F45" s="1573">
        <v>103254</v>
      </c>
      <c r="G45" s="1573">
        <v>446134</v>
      </c>
      <c r="H45" s="1573"/>
      <c r="I45" s="1574"/>
      <c r="J45" s="1574"/>
      <c r="K45" s="1678">
        <f>SUM(C45:J45)</f>
        <v>1939775</v>
      </c>
      <c r="L45" s="1573">
        <v>1435130</v>
      </c>
    </row>
    <row r="46" spans="1:14" x14ac:dyDescent="0.2">
      <c r="A46" s="1274" t="s">
        <v>811</v>
      </c>
      <c r="B46" s="503">
        <v>2230</v>
      </c>
      <c r="C46" s="1573"/>
      <c r="D46" s="1573"/>
      <c r="E46" s="1573">
        <v>36431</v>
      </c>
      <c r="F46" s="1573"/>
      <c r="G46" s="1573"/>
      <c r="H46" s="1573"/>
      <c r="I46" s="1574"/>
      <c r="J46" s="1574"/>
      <c r="K46" s="1678">
        <f>SUM(C46:J46)</f>
        <v>36431</v>
      </c>
      <c r="L46" s="1573">
        <v>90000</v>
      </c>
    </row>
    <row r="47" spans="1:14" ht="12.75" customHeight="1" thickBot="1" x14ac:dyDescent="0.25">
      <c r="A47" s="1380" t="s">
        <v>557</v>
      </c>
      <c r="B47" s="1381" t="s">
        <v>32</v>
      </c>
      <c r="C47" s="1674">
        <f>SUM(C44:C46)</f>
        <v>965234</v>
      </c>
      <c r="D47" s="1674">
        <f t="shared" ref="D47:K47" si="4">SUM(D44:D46)</f>
        <v>220843</v>
      </c>
      <c r="E47" s="1674">
        <f t="shared" si="4"/>
        <v>585902</v>
      </c>
      <c r="F47" s="1674">
        <f t="shared" si="4"/>
        <v>457577</v>
      </c>
      <c r="G47" s="1674">
        <f t="shared" si="4"/>
        <v>446134</v>
      </c>
      <c r="H47" s="1674">
        <f t="shared" si="4"/>
        <v>762</v>
      </c>
      <c r="I47" s="1674">
        <f t="shared" si="4"/>
        <v>0</v>
      </c>
      <c r="J47" s="1674">
        <f t="shared" si="4"/>
        <v>0</v>
      </c>
      <c r="K47" s="1674">
        <f t="shared" si="4"/>
        <v>2676452</v>
      </c>
      <c r="L47" s="1674">
        <f>SUM(L44:L46)</f>
        <v>2198733</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13200</v>
      </c>
      <c r="D49" s="1586"/>
      <c r="E49" s="1586">
        <v>406674</v>
      </c>
      <c r="F49" s="1586">
        <v>44814</v>
      </c>
      <c r="G49" s="1586"/>
      <c r="H49" s="1586">
        <v>4780</v>
      </c>
      <c r="I49" s="1574"/>
      <c r="J49" s="1574">
        <v>24648</v>
      </c>
      <c r="K49" s="1678">
        <f>SUM(C49:J49)</f>
        <v>494116</v>
      </c>
      <c r="L49" s="1586">
        <v>529800</v>
      </c>
    </row>
    <row r="50" spans="1:14" x14ac:dyDescent="0.2">
      <c r="A50" s="1274" t="s">
        <v>813</v>
      </c>
      <c r="B50" s="503">
        <v>2320</v>
      </c>
      <c r="C50" s="1573">
        <v>318163</v>
      </c>
      <c r="D50" s="1573">
        <v>76616</v>
      </c>
      <c r="E50" s="1573">
        <v>9566</v>
      </c>
      <c r="F50" s="1573">
        <v>330</v>
      </c>
      <c r="G50" s="1573"/>
      <c r="H50" s="1573">
        <v>6130</v>
      </c>
      <c r="I50" s="1574"/>
      <c r="J50" s="1574"/>
      <c r="K50" s="1678">
        <f>SUM(C50:J50)</f>
        <v>410805</v>
      </c>
      <c r="L50" s="1573">
        <v>398700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331363</v>
      </c>
      <c r="D53" s="1674">
        <f t="shared" ref="D53:L53" si="5">SUM(D49:D52)</f>
        <v>76616</v>
      </c>
      <c r="E53" s="1674">
        <f t="shared" si="5"/>
        <v>416240</v>
      </c>
      <c r="F53" s="1674">
        <f t="shared" si="5"/>
        <v>45144</v>
      </c>
      <c r="G53" s="1674">
        <f t="shared" si="5"/>
        <v>0</v>
      </c>
      <c r="H53" s="1674">
        <f t="shared" si="5"/>
        <v>10910</v>
      </c>
      <c r="I53" s="1674">
        <f t="shared" si="5"/>
        <v>0</v>
      </c>
      <c r="J53" s="1674">
        <f t="shared" si="5"/>
        <v>24648</v>
      </c>
      <c r="K53" s="1674">
        <f t="shared" si="5"/>
        <v>904921</v>
      </c>
      <c r="L53" s="1674">
        <f t="shared" si="5"/>
        <v>928500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638704</v>
      </c>
      <c r="D55" s="1586">
        <v>267662</v>
      </c>
      <c r="E55" s="1586">
        <v>1102</v>
      </c>
      <c r="F55" s="1586">
        <v>10243</v>
      </c>
      <c r="G55" s="1586"/>
      <c r="H55" s="1586">
        <v>1788</v>
      </c>
      <c r="I55" s="1574"/>
      <c r="J55" s="1574"/>
      <c r="K55" s="1678">
        <f>SUM(C55:J55)</f>
        <v>919499</v>
      </c>
      <c r="L55" s="1586">
        <v>1093040</v>
      </c>
    </row>
    <row r="56" spans="1:14" ht="12.75" customHeight="1" x14ac:dyDescent="0.2">
      <c r="A56" s="1278" t="s">
        <v>373</v>
      </c>
      <c r="B56" s="512">
        <v>2490</v>
      </c>
      <c r="C56" s="1573">
        <v>197612</v>
      </c>
      <c r="D56" s="1573">
        <v>57445</v>
      </c>
      <c r="E56" s="1573">
        <v>3025</v>
      </c>
      <c r="F56" s="1573">
        <v>1842</v>
      </c>
      <c r="G56" s="1573"/>
      <c r="H56" s="1573">
        <v>2606</v>
      </c>
      <c r="I56" s="1574"/>
      <c r="J56" s="1574"/>
      <c r="K56" s="1678">
        <f>SUM(C56:J56)</f>
        <v>262530</v>
      </c>
      <c r="L56" s="1573">
        <v>253660</v>
      </c>
    </row>
    <row r="57" spans="1:14" s="321" customFormat="1" ht="12.75" customHeight="1" thickBot="1" x14ac:dyDescent="0.25">
      <c r="A57" s="1380" t="s">
        <v>261</v>
      </c>
      <c r="B57" s="1382" t="s">
        <v>34</v>
      </c>
      <c r="C57" s="1679">
        <f>SUM(C55:C56)</f>
        <v>836316</v>
      </c>
      <c r="D57" s="1679">
        <f t="shared" ref="D57:K57" si="6">SUM(D55:D56)</f>
        <v>325107</v>
      </c>
      <c r="E57" s="1679">
        <f t="shared" si="6"/>
        <v>4127</v>
      </c>
      <c r="F57" s="1679">
        <f t="shared" si="6"/>
        <v>12085</v>
      </c>
      <c r="G57" s="1679">
        <f t="shared" si="6"/>
        <v>0</v>
      </c>
      <c r="H57" s="1679">
        <f t="shared" si="6"/>
        <v>4394</v>
      </c>
      <c r="I57" s="1679">
        <f t="shared" si="6"/>
        <v>0</v>
      </c>
      <c r="J57" s="1679">
        <f t="shared" si="6"/>
        <v>0</v>
      </c>
      <c r="K57" s="1679">
        <f t="shared" si="6"/>
        <v>1182029</v>
      </c>
      <c r="L57" s="1674">
        <f>SUM(L55:L56)</f>
        <v>1346700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219787</v>
      </c>
      <c r="D59" s="1586">
        <v>56204</v>
      </c>
      <c r="E59" s="1586">
        <v>8727</v>
      </c>
      <c r="F59" s="1586">
        <v>4571</v>
      </c>
      <c r="G59" s="1586"/>
      <c r="H59" s="1586">
        <v>43392</v>
      </c>
      <c r="I59" s="1574"/>
      <c r="J59" s="1574"/>
      <c r="K59" s="1678">
        <f t="shared" ref="K59:K64" si="7">SUM(C59:J59)</f>
        <v>332681</v>
      </c>
      <c r="L59" s="1586">
        <v>472328</v>
      </c>
      <c r="M59" s="501"/>
      <c r="N59" s="501"/>
    </row>
    <row r="60" spans="1:14" s="321" customFormat="1" x14ac:dyDescent="0.2">
      <c r="A60" s="1274" t="s">
        <v>460</v>
      </c>
      <c r="B60" s="503">
        <v>2520</v>
      </c>
      <c r="C60" s="1573"/>
      <c r="D60" s="1573"/>
      <c r="E60" s="1573"/>
      <c r="F60" s="1573"/>
      <c r="G60" s="1573"/>
      <c r="H60" s="1573"/>
      <c r="I60" s="1574"/>
      <c r="J60" s="1574"/>
      <c r="K60" s="1678">
        <f t="shared" si="7"/>
        <v>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100021</v>
      </c>
      <c r="D63" s="1573"/>
      <c r="E63" s="1573"/>
      <c r="F63" s="1573">
        <v>7244</v>
      </c>
      <c r="G63" s="1573"/>
      <c r="H63" s="1573"/>
      <c r="I63" s="1574"/>
      <c r="J63" s="1574"/>
      <c r="K63" s="1678">
        <f t="shared" si="7"/>
        <v>107265</v>
      </c>
      <c r="L63" s="1573">
        <v>142400</v>
      </c>
    </row>
    <row r="64" spans="1:14" s="501" customFormat="1" x14ac:dyDescent="0.2">
      <c r="A64" s="1279" t="s">
        <v>101</v>
      </c>
      <c r="B64" s="513">
        <v>2570</v>
      </c>
      <c r="C64" s="1586">
        <v>63785</v>
      </c>
      <c r="D64" s="1586"/>
      <c r="E64" s="1586"/>
      <c r="F64" s="1586"/>
      <c r="G64" s="1586"/>
      <c r="H64" s="1586"/>
      <c r="I64" s="1574"/>
      <c r="J64" s="1574"/>
      <c r="K64" s="1678">
        <f t="shared" si="7"/>
        <v>63785</v>
      </c>
      <c r="L64" s="1586">
        <v>115000</v>
      </c>
    </row>
    <row r="65" spans="1:14" s="321" customFormat="1" ht="12.75" customHeight="1" thickBot="1" x14ac:dyDescent="0.25">
      <c r="A65" s="1380" t="s">
        <v>714</v>
      </c>
      <c r="B65" s="1381" t="s">
        <v>35</v>
      </c>
      <c r="C65" s="1674">
        <f>SUM(C59:C64)</f>
        <v>383593</v>
      </c>
      <c r="D65" s="1674">
        <f t="shared" ref="D65:L65" si="8">SUM(D59:D64)</f>
        <v>56204</v>
      </c>
      <c r="E65" s="1674">
        <f t="shared" si="8"/>
        <v>8727</v>
      </c>
      <c r="F65" s="1674">
        <f t="shared" si="8"/>
        <v>11815</v>
      </c>
      <c r="G65" s="1674">
        <f t="shared" si="8"/>
        <v>0</v>
      </c>
      <c r="H65" s="1674">
        <f t="shared" si="8"/>
        <v>43392</v>
      </c>
      <c r="I65" s="1674">
        <f t="shared" si="8"/>
        <v>0</v>
      </c>
      <c r="J65" s="1674">
        <f t="shared" si="8"/>
        <v>0</v>
      </c>
      <c r="K65" s="1674">
        <f t="shared" si="8"/>
        <v>503731</v>
      </c>
      <c r="L65" s="1674">
        <f t="shared" si="8"/>
        <v>729728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72100</v>
      </c>
      <c r="D67" s="1573">
        <v>17530</v>
      </c>
      <c r="E67" s="1573">
        <v>2047</v>
      </c>
      <c r="F67" s="1573">
        <v>2337</v>
      </c>
      <c r="G67" s="1573"/>
      <c r="H67" s="1573"/>
      <c r="I67" s="1574"/>
      <c r="J67" s="1574"/>
      <c r="K67" s="1678">
        <f>SUM(C67:J67)</f>
        <v>94014</v>
      </c>
      <c r="L67" s="1586">
        <v>99048</v>
      </c>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v>146859</v>
      </c>
      <c r="D70" s="1573">
        <v>48949</v>
      </c>
      <c r="E70" s="1573"/>
      <c r="F70" s="1573"/>
      <c r="G70" s="1573"/>
      <c r="H70" s="1573"/>
      <c r="I70" s="1574"/>
      <c r="J70" s="1574"/>
      <c r="K70" s="1678">
        <f>SUM(C70:J70)</f>
        <v>195808</v>
      </c>
      <c r="L70" s="1573">
        <v>211880</v>
      </c>
      <c r="M70" s="501"/>
      <c r="N70" s="501"/>
    </row>
    <row r="71" spans="1:14" s="321" customFormat="1" x14ac:dyDescent="0.2">
      <c r="A71" s="1274" t="s">
        <v>401</v>
      </c>
      <c r="B71" s="503">
        <v>2660</v>
      </c>
      <c r="C71" s="1573">
        <v>27711</v>
      </c>
      <c r="D71" s="1573"/>
      <c r="E71" s="1573"/>
      <c r="F71" s="1573"/>
      <c r="G71" s="1573"/>
      <c r="H71" s="1573"/>
      <c r="I71" s="1574"/>
      <c r="J71" s="1574"/>
      <c r="K71" s="1678">
        <f>SUM(C71:J71)</f>
        <v>27711</v>
      </c>
      <c r="L71" s="1573">
        <v>20000</v>
      </c>
      <c r="M71" s="501"/>
      <c r="N71" s="501"/>
    </row>
    <row r="72" spans="1:14" s="321" customFormat="1" ht="12.75" customHeight="1" thickBot="1" x14ac:dyDescent="0.25">
      <c r="A72" s="1380" t="s">
        <v>37</v>
      </c>
      <c r="B72" s="1383" t="s">
        <v>36</v>
      </c>
      <c r="C72" s="1674">
        <f>SUM(C67:C71)</f>
        <v>246670</v>
      </c>
      <c r="D72" s="1674">
        <f t="shared" ref="D72:K72" si="9">SUM(D67:D71)</f>
        <v>66479</v>
      </c>
      <c r="E72" s="1674">
        <f t="shared" si="9"/>
        <v>2047</v>
      </c>
      <c r="F72" s="1674">
        <f t="shared" si="9"/>
        <v>2337</v>
      </c>
      <c r="G72" s="1674">
        <f t="shared" si="9"/>
        <v>0</v>
      </c>
      <c r="H72" s="1674">
        <f t="shared" si="9"/>
        <v>0</v>
      </c>
      <c r="I72" s="1674">
        <f t="shared" si="9"/>
        <v>0</v>
      </c>
      <c r="J72" s="1674">
        <f t="shared" si="9"/>
        <v>0</v>
      </c>
      <c r="K72" s="1674">
        <f t="shared" si="9"/>
        <v>317533</v>
      </c>
      <c r="L72" s="1674">
        <f>SUM(L67:L71)</f>
        <v>330928</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4013056</v>
      </c>
      <c r="D74" s="1681">
        <f t="shared" ref="D74:K74" si="10">SUM(D42,D47,D53,D57,D65,D72,D73)</f>
        <v>1031704</v>
      </c>
      <c r="E74" s="1681">
        <f t="shared" si="10"/>
        <v>1019457</v>
      </c>
      <c r="F74" s="1681">
        <f t="shared" si="10"/>
        <v>538134</v>
      </c>
      <c r="G74" s="1681">
        <f t="shared" si="10"/>
        <v>446134</v>
      </c>
      <c r="H74" s="1681">
        <f t="shared" si="10"/>
        <v>59458</v>
      </c>
      <c r="I74" s="1681">
        <f t="shared" si="10"/>
        <v>0</v>
      </c>
      <c r="J74" s="1681">
        <f t="shared" si="10"/>
        <v>24648</v>
      </c>
      <c r="K74" s="1681">
        <f t="shared" si="10"/>
        <v>7132591</v>
      </c>
      <c r="L74" s="1681">
        <f>SUM(L42,L47,L53,L57,L65,L72,L73)</f>
        <v>6994613</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618702</v>
      </c>
      <c r="I79" s="1582"/>
      <c r="J79" s="1582"/>
      <c r="K79" s="1672">
        <f t="shared" si="11"/>
        <v>618702</v>
      </c>
      <c r="L79" s="1573">
        <v>700000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618702</v>
      </c>
      <c r="I84" s="1582"/>
      <c r="J84" s="1582"/>
      <c r="K84" s="1674">
        <f>SUM(K78:K83)</f>
        <v>618702</v>
      </c>
      <c r="L84" s="1674">
        <f>SUM(L78:L83)</f>
        <v>700000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518454</v>
      </c>
      <c r="I86" s="1582"/>
      <c r="J86" s="1582"/>
      <c r="K86" s="1681">
        <f t="shared" ref="K86:K98" si="12">H86</f>
        <v>518454</v>
      </c>
      <c r="L86" s="1626">
        <v>475000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518454</v>
      </c>
      <c r="I92" s="1582"/>
      <c r="J92" s="1582"/>
      <c r="K92" s="1681">
        <f t="shared" si="12"/>
        <v>518454</v>
      </c>
      <c r="L92" s="1674">
        <f>SUM(L85:L91)</f>
        <v>475000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1137156</v>
      </c>
      <c r="I102" s="1582"/>
      <c r="J102" s="1582"/>
      <c r="K102" s="1681">
        <f>SUM(K84,K92,K100,K101)</f>
        <v>1137156</v>
      </c>
      <c r="L102" s="1681">
        <f>SUM(L84,L92,L100,L101)</f>
        <v>1175000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300000</v>
      </c>
      <c r="M113" s="502"/>
      <c r="N113" s="502"/>
    </row>
    <row r="114" spans="1:14" ht="12.75" customHeight="1" thickTop="1" thickBot="1" x14ac:dyDescent="0.25">
      <c r="A114" s="1380" t="s">
        <v>48</v>
      </c>
      <c r="B114" s="1388"/>
      <c r="C114" s="1674">
        <f>SUM(C33,C74,C75,C102,C112,C113)</f>
        <v>14701269</v>
      </c>
      <c r="D114" s="1674">
        <f t="shared" ref="D114:K114" si="13">SUM(D33,D74,D75,D102,D112,D113)</f>
        <v>4321151</v>
      </c>
      <c r="E114" s="1674">
        <f t="shared" si="13"/>
        <v>1480281</v>
      </c>
      <c r="F114" s="1674">
        <f t="shared" si="13"/>
        <v>813533</v>
      </c>
      <c r="G114" s="1674">
        <f t="shared" si="13"/>
        <v>907546</v>
      </c>
      <c r="H114" s="1674">
        <f>SUM(H33,H74,H75,H102,H112,H113)</f>
        <v>1213932</v>
      </c>
      <c r="I114" s="1674">
        <f t="shared" si="13"/>
        <v>26852</v>
      </c>
      <c r="J114" s="1674">
        <f t="shared" si="13"/>
        <v>24648</v>
      </c>
      <c r="K114" s="1674">
        <f t="shared" si="13"/>
        <v>23489212</v>
      </c>
      <c r="L114" s="1674">
        <f>SUM(L33,L74,L75,L102,L112,L113)</f>
        <v>24141071</v>
      </c>
    </row>
    <row r="115" spans="1:14" ht="13.5" thickTop="1" x14ac:dyDescent="0.2">
      <c r="A115" s="2262" t="s">
        <v>989</v>
      </c>
      <c r="B115" s="2263"/>
      <c r="C115" s="1675"/>
      <c r="D115" s="1675"/>
      <c r="E115" s="1675"/>
      <c r="F115" s="1675"/>
      <c r="G115" s="1675"/>
      <c r="H115" s="1675"/>
      <c r="I115" s="1675"/>
      <c r="J115" s="1675"/>
      <c r="K115" s="1689">
        <f>'Revenues 9-14'!C268-'Expenditures 15-22'!K114</f>
        <v>62616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7" t="s">
        <v>293</v>
      </c>
      <c r="B117" s="2268"/>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340914</v>
      </c>
      <c r="D124" s="1573">
        <v>121335</v>
      </c>
      <c r="E124" s="1573">
        <v>934743</v>
      </c>
      <c r="F124" s="1573">
        <v>502972</v>
      </c>
      <c r="G124" s="1573">
        <v>464203</v>
      </c>
      <c r="H124" s="1573">
        <v>89491</v>
      </c>
      <c r="I124" s="1574"/>
      <c r="J124" s="1574"/>
      <c r="K124" s="1674">
        <f>SUM(C124:J124)</f>
        <v>2453658</v>
      </c>
      <c r="L124" s="1573">
        <v>2643454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340914</v>
      </c>
      <c r="D127" s="1674">
        <f t="shared" ref="D127:L127" si="14">SUM(D122:D126)</f>
        <v>121335</v>
      </c>
      <c r="E127" s="1674">
        <f t="shared" si="14"/>
        <v>934743</v>
      </c>
      <c r="F127" s="1674">
        <f t="shared" si="14"/>
        <v>502972</v>
      </c>
      <c r="G127" s="1674">
        <f t="shared" si="14"/>
        <v>464203</v>
      </c>
      <c r="H127" s="1674">
        <f t="shared" si="14"/>
        <v>89491</v>
      </c>
      <c r="I127" s="1674">
        <f t="shared" si="14"/>
        <v>0</v>
      </c>
      <c r="J127" s="1674">
        <f t="shared" si="14"/>
        <v>0</v>
      </c>
      <c r="K127" s="1674">
        <f t="shared" si="14"/>
        <v>2453658</v>
      </c>
      <c r="L127" s="1674">
        <f t="shared" si="14"/>
        <v>2643454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340914</v>
      </c>
      <c r="D129" s="1681">
        <f t="shared" ref="D129:L129" si="15">SUM(D120,D127,D128)</f>
        <v>121335</v>
      </c>
      <c r="E129" s="1681">
        <f t="shared" si="15"/>
        <v>934743</v>
      </c>
      <c r="F129" s="1681">
        <f t="shared" si="15"/>
        <v>502972</v>
      </c>
      <c r="G129" s="1681">
        <f t="shared" si="15"/>
        <v>464203</v>
      </c>
      <c r="H129" s="1681">
        <f t="shared" si="15"/>
        <v>89491</v>
      </c>
      <c r="I129" s="1681">
        <f t="shared" si="15"/>
        <v>0</v>
      </c>
      <c r="J129" s="1681">
        <f t="shared" si="15"/>
        <v>0</v>
      </c>
      <c r="K129" s="1681">
        <f t="shared" si="15"/>
        <v>2453658</v>
      </c>
      <c r="L129" s="1681">
        <f t="shared" si="15"/>
        <v>2643454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v>47795</v>
      </c>
      <c r="I136" s="1582"/>
      <c r="J136" s="1673"/>
      <c r="K136" s="1678">
        <f>SUM(E136,H136)</f>
        <v>47795</v>
      </c>
      <c r="L136" s="1573"/>
    </row>
    <row r="137" spans="1:14" ht="12.75" customHeight="1" thickBot="1" x14ac:dyDescent="0.25">
      <c r="A137" s="1380" t="s">
        <v>477</v>
      </c>
      <c r="B137" s="1385">
        <v>4100</v>
      </c>
      <c r="C137" s="1673"/>
      <c r="D137" s="1673"/>
      <c r="E137" s="1674">
        <f>SUM(E133:E136)</f>
        <v>0</v>
      </c>
      <c r="F137" s="1673"/>
      <c r="G137" s="1673"/>
      <c r="H137" s="1674">
        <f>SUM(H133:H136)</f>
        <v>47795</v>
      </c>
      <c r="I137" s="1582"/>
      <c r="J137" s="1673"/>
      <c r="K137" s="1674">
        <f>SUM(K133:K136)</f>
        <v>47795</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47795</v>
      </c>
      <c r="I139" s="1582"/>
      <c r="J139" s="1673"/>
      <c r="K139" s="1678">
        <f>SUM(K137,K138)</f>
        <v>47795</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9" t="s">
        <v>616</v>
      </c>
      <c r="B151" s="2259"/>
      <c r="C151" s="1674">
        <f>SUM(C129,C130,C139,C149,C150)</f>
        <v>340914</v>
      </c>
      <c r="D151" s="1674">
        <f t="shared" ref="D151:K151" si="16">SUM(D129,D130,D139,D149,D150)</f>
        <v>121335</v>
      </c>
      <c r="E151" s="1674">
        <f t="shared" si="16"/>
        <v>934743</v>
      </c>
      <c r="F151" s="1674">
        <f t="shared" si="16"/>
        <v>502972</v>
      </c>
      <c r="G151" s="1674">
        <f t="shared" si="16"/>
        <v>464203</v>
      </c>
      <c r="H151" s="1674">
        <f t="shared" si="16"/>
        <v>137286</v>
      </c>
      <c r="I151" s="1674">
        <f t="shared" si="16"/>
        <v>0</v>
      </c>
      <c r="J151" s="1674">
        <f t="shared" si="16"/>
        <v>0</v>
      </c>
      <c r="K151" s="1674">
        <f t="shared" si="16"/>
        <v>2501453</v>
      </c>
      <c r="L151" s="1674">
        <f>SUM(L129,L130,L139,L149,L150)</f>
        <v>2643454</v>
      </c>
    </row>
    <row r="152" spans="1:14" ht="12.75" customHeight="1" thickTop="1" x14ac:dyDescent="0.2">
      <c r="A152" s="2282" t="s">
        <v>1168</v>
      </c>
      <c r="B152" s="2283"/>
      <c r="C152" s="1675"/>
      <c r="D152" s="1675"/>
      <c r="E152" s="1675"/>
      <c r="F152" s="1675"/>
      <c r="G152" s="1675"/>
      <c r="H152" s="1675"/>
      <c r="I152" s="1675"/>
      <c r="J152" s="1673"/>
      <c r="K152" s="1689">
        <f>'Revenues 9-14'!D268-'Expenditures 15-22'!K151</f>
        <v>224161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7" t="s">
        <v>617</v>
      </c>
      <c r="B154" s="2269"/>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436763</v>
      </c>
      <c r="I169" s="1673"/>
      <c r="J169" s="1673"/>
      <c r="K169" s="1672">
        <f>SUM(C169:H169)</f>
        <v>436763</v>
      </c>
      <c r="L169" s="1695">
        <v>3044000</v>
      </c>
    </row>
    <row r="170" spans="1:14" ht="33.75" customHeight="1" x14ac:dyDescent="0.2">
      <c r="A170" s="543" t="s">
        <v>1651</v>
      </c>
      <c r="B170" s="545" t="s">
        <v>31</v>
      </c>
      <c r="C170" s="1673"/>
      <c r="D170" s="1673"/>
      <c r="E170" s="1673"/>
      <c r="F170" s="1673"/>
      <c r="G170" s="1673"/>
      <c r="H170" s="1646">
        <v>2605000</v>
      </c>
      <c r="I170" s="1673"/>
      <c r="J170" s="1673"/>
      <c r="K170" s="1672">
        <f>SUM(C170:J170)</f>
        <v>2605000</v>
      </c>
      <c r="L170" s="1646"/>
    </row>
    <row r="171" spans="1:14" ht="15.75" customHeight="1" x14ac:dyDescent="0.2">
      <c r="A171" s="507" t="s">
        <v>761</v>
      </c>
      <c r="B171" s="546" t="s">
        <v>84</v>
      </c>
      <c r="C171" s="1673"/>
      <c r="D171" s="1673"/>
      <c r="E171" s="1573"/>
      <c r="F171" s="1673"/>
      <c r="G171" s="1673"/>
      <c r="H171" s="1646">
        <v>949</v>
      </c>
      <c r="I171" s="1582"/>
      <c r="J171" s="1673"/>
      <c r="K171" s="1672">
        <f>SUM(C171:J171)</f>
        <v>949</v>
      </c>
      <c r="L171" s="1646">
        <v>5000</v>
      </c>
    </row>
    <row r="172" spans="1:14" ht="12.75" customHeight="1" thickBot="1" x14ac:dyDescent="0.25">
      <c r="A172" s="1380" t="s">
        <v>633</v>
      </c>
      <c r="B172" s="1381" t="s">
        <v>489</v>
      </c>
      <c r="C172" s="1673"/>
      <c r="D172" s="1673"/>
      <c r="E172" s="1681">
        <f>SUM(E168,E169,E170,E171)</f>
        <v>0</v>
      </c>
      <c r="F172" s="1673"/>
      <c r="G172" s="1673"/>
      <c r="H172" s="1681">
        <f>SUM(H168,H169,H170,H171)</f>
        <v>3042712</v>
      </c>
      <c r="I172" s="1684"/>
      <c r="J172" s="1673"/>
      <c r="K172" s="1681">
        <f>SUM(K168,K169,K170,K171)</f>
        <v>3042712</v>
      </c>
      <c r="L172" s="1681">
        <f>SUM(L168,L169,L170,L171)</f>
        <v>3049000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3042712</v>
      </c>
      <c r="I174" s="1684"/>
      <c r="J174" s="1673"/>
      <c r="K174" s="1681">
        <f>SUM(K160,K172,K173)</f>
        <v>3042712</v>
      </c>
      <c r="L174" s="1681">
        <f>SUM(L160,L172,L173)</f>
        <v>3049000</v>
      </c>
    </row>
    <row r="175" spans="1:14" ht="13.5" thickTop="1" x14ac:dyDescent="0.2">
      <c r="A175" s="2262" t="s">
        <v>989</v>
      </c>
      <c r="B175" s="2263"/>
      <c r="C175" s="1673"/>
      <c r="D175" s="1673"/>
      <c r="E175" s="1673"/>
      <c r="F175" s="1673"/>
      <c r="G175" s="1673"/>
      <c r="H175" s="1675"/>
      <c r="I175" s="1673"/>
      <c r="J175" s="1673"/>
      <c r="K175" s="1689">
        <f>'Revenues 9-14'!E268-'Expenditures 15-22'!K174</f>
        <v>1115</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1106260</v>
      </c>
      <c r="D182" s="1573">
        <v>352360</v>
      </c>
      <c r="E182" s="1573">
        <v>249598</v>
      </c>
      <c r="F182" s="1573">
        <v>136129</v>
      </c>
      <c r="G182" s="1573"/>
      <c r="H182" s="1573">
        <v>482</v>
      </c>
      <c r="I182" s="1574"/>
      <c r="J182" s="1574"/>
      <c r="K182" s="1672">
        <f>SUM(C182:J182)</f>
        <v>1844829</v>
      </c>
      <c r="L182" s="1573">
        <v>2256800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1106260</v>
      </c>
      <c r="D184" s="1681">
        <f t="shared" ref="D184:J184" si="17">SUM(D180,D182,D183)</f>
        <v>352360</v>
      </c>
      <c r="E184" s="1681">
        <f t="shared" si="17"/>
        <v>249598</v>
      </c>
      <c r="F184" s="1681">
        <f t="shared" si="17"/>
        <v>136129</v>
      </c>
      <c r="G184" s="1681">
        <f t="shared" si="17"/>
        <v>0</v>
      </c>
      <c r="H184" s="1681">
        <f t="shared" si="17"/>
        <v>482</v>
      </c>
      <c r="I184" s="1681">
        <f t="shared" si="17"/>
        <v>0</v>
      </c>
      <c r="J184" s="1681">
        <f t="shared" si="17"/>
        <v>0</v>
      </c>
      <c r="K184" s="1681">
        <f>SUM(K180,K182,K183)</f>
        <v>1844829</v>
      </c>
      <c r="L184" s="1681">
        <f>SUM(L180, L182:L183)</f>
        <v>2256800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16846</v>
      </c>
      <c r="I205" s="1673"/>
      <c r="J205" s="1673"/>
      <c r="K205" s="1696">
        <f>SUM(H205)</f>
        <v>16846</v>
      </c>
      <c r="L205" s="1630"/>
    </row>
    <row r="206" spans="1:14" ht="30" customHeight="1" x14ac:dyDescent="0.2">
      <c r="A206" s="555" t="s">
        <v>1652</v>
      </c>
      <c r="B206" s="546" t="s">
        <v>31</v>
      </c>
      <c r="C206" s="1673"/>
      <c r="D206" s="1673"/>
      <c r="E206" s="1673"/>
      <c r="F206" s="1673"/>
      <c r="G206" s="1673"/>
      <c r="H206" s="1573">
        <v>211549</v>
      </c>
      <c r="I206" s="1673"/>
      <c r="J206" s="1673"/>
      <c r="K206" s="1672">
        <f>SUM(H206)</f>
        <v>211549</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228395</v>
      </c>
      <c r="I208" s="1673"/>
      <c r="J208" s="1673"/>
      <c r="K208" s="1681">
        <f>SUM(K204,K205,K206,K207)</f>
        <v>228395</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1106260</v>
      </c>
      <c r="D210" s="1674">
        <f>SUM(D184,D185)</f>
        <v>352360</v>
      </c>
      <c r="E210" s="1674">
        <f>SUM(E184,E185,E196)</f>
        <v>249598</v>
      </c>
      <c r="F210" s="1674">
        <f>SUM(F184,F185)</f>
        <v>136129</v>
      </c>
      <c r="G210" s="1674">
        <f>SUM(G184,G185)</f>
        <v>0</v>
      </c>
      <c r="H210" s="1674">
        <f>SUM(H184,H185,H196,H208,H209)</f>
        <v>228877</v>
      </c>
      <c r="I210" s="1674">
        <f>SUM(I184,I185)</f>
        <v>0</v>
      </c>
      <c r="J210" s="1674">
        <f>SUM(J184,J185)</f>
        <v>0</v>
      </c>
      <c r="K210" s="1672">
        <f>SUM(K184,K185,K196,K208,K209)</f>
        <v>2073224</v>
      </c>
      <c r="L210" s="1674">
        <f>SUM(L184,L185,L196,L208,L209)</f>
        <v>2256800</v>
      </c>
    </row>
    <row r="211" spans="1:14" ht="13.5" thickTop="1" x14ac:dyDescent="0.2">
      <c r="A211" s="2262" t="s">
        <v>989</v>
      </c>
      <c r="B211" s="2263"/>
      <c r="C211" s="1675"/>
      <c r="D211" s="1675"/>
      <c r="E211" s="1675"/>
      <c r="F211" s="1675"/>
      <c r="G211" s="1675"/>
      <c r="H211" s="1675"/>
      <c r="I211" s="1673"/>
      <c r="J211" s="1673"/>
      <c r="K211" s="1689">
        <f>'Revenues 9-14'!F268-'Expenditures 15-22'!K210</f>
        <v>223968</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4" t="s">
        <v>959</v>
      </c>
      <c r="B213" s="2285"/>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116709</v>
      </c>
      <c r="E215" s="1673"/>
      <c r="F215" s="1673"/>
      <c r="G215" s="1673"/>
      <c r="H215" s="1673"/>
      <c r="I215" s="1673"/>
      <c r="J215" s="1673"/>
      <c r="K215" s="1672">
        <f>D215</f>
        <v>116709</v>
      </c>
      <c r="L215" s="1573">
        <v>119340</v>
      </c>
    </row>
    <row r="216" spans="1:14" x14ac:dyDescent="0.2">
      <c r="A216" s="1274" t="s">
        <v>162</v>
      </c>
      <c r="B216" s="503" t="s">
        <v>961</v>
      </c>
      <c r="C216" s="1673"/>
      <c r="D216" s="1574">
        <v>691</v>
      </c>
      <c r="E216" s="1673"/>
      <c r="F216" s="1673"/>
      <c r="G216" s="1673"/>
      <c r="H216" s="1673"/>
      <c r="I216" s="1673"/>
      <c r="J216" s="1673"/>
      <c r="K216" s="1672">
        <f t="shared" ref="K216:K228" si="19">D216</f>
        <v>691</v>
      </c>
      <c r="L216" s="1573">
        <v>7650</v>
      </c>
    </row>
    <row r="217" spans="1:14" x14ac:dyDescent="0.2">
      <c r="A217" s="1274" t="s">
        <v>163</v>
      </c>
      <c r="B217" s="503">
        <v>1200</v>
      </c>
      <c r="C217" s="1673"/>
      <c r="D217" s="1573">
        <v>111310</v>
      </c>
      <c r="E217" s="1673"/>
      <c r="F217" s="1673"/>
      <c r="G217" s="1673"/>
      <c r="H217" s="1673"/>
      <c r="I217" s="1673"/>
      <c r="J217" s="1673"/>
      <c r="K217" s="1672">
        <f t="shared" si="19"/>
        <v>111310</v>
      </c>
      <c r="L217" s="1573">
        <v>134130</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3050</v>
      </c>
      <c r="E219" s="1673"/>
      <c r="F219" s="1673"/>
      <c r="G219" s="1673"/>
      <c r="H219" s="1673"/>
      <c r="I219" s="1673"/>
      <c r="J219" s="1673"/>
      <c r="K219" s="1672">
        <f t="shared" si="19"/>
        <v>3050</v>
      </c>
      <c r="L219" s="1573"/>
    </row>
    <row r="220" spans="1:14" x14ac:dyDescent="0.2">
      <c r="A220" s="1274" t="s">
        <v>278</v>
      </c>
      <c r="B220" s="503" t="s">
        <v>160</v>
      </c>
      <c r="C220" s="1673"/>
      <c r="D220" s="1574">
        <v>1841</v>
      </c>
      <c r="E220" s="1673"/>
      <c r="F220" s="1673"/>
      <c r="G220" s="1673"/>
      <c r="H220" s="1673"/>
      <c r="I220" s="1673"/>
      <c r="J220" s="1673"/>
      <c r="K220" s="1672">
        <f t="shared" si="19"/>
        <v>1841</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5083</v>
      </c>
      <c r="E223" s="1673"/>
      <c r="F223" s="1673"/>
      <c r="G223" s="1673"/>
      <c r="H223" s="1673"/>
      <c r="I223" s="1673"/>
      <c r="J223" s="1673"/>
      <c r="K223" s="1672">
        <f t="shared" si="19"/>
        <v>5083</v>
      </c>
      <c r="L223" s="1573">
        <v>4386</v>
      </c>
    </row>
    <row r="224" spans="1:14" x14ac:dyDescent="0.2">
      <c r="A224" s="1274" t="s">
        <v>958</v>
      </c>
      <c r="B224" s="503">
        <v>1600</v>
      </c>
      <c r="C224" s="1673"/>
      <c r="D224" s="1573">
        <v>352</v>
      </c>
      <c r="E224" s="1673"/>
      <c r="F224" s="1673"/>
      <c r="G224" s="1673"/>
      <c r="H224" s="1673"/>
      <c r="I224" s="1673"/>
      <c r="J224" s="1673"/>
      <c r="K224" s="1672">
        <f t="shared" si="19"/>
        <v>352</v>
      </c>
      <c r="L224" s="1573"/>
    </row>
    <row r="225" spans="1:12" x14ac:dyDescent="0.2">
      <c r="A225" s="1274" t="s">
        <v>980</v>
      </c>
      <c r="B225" s="503">
        <v>1650</v>
      </c>
      <c r="C225" s="1673"/>
      <c r="D225" s="1573">
        <v>1140</v>
      </c>
      <c r="E225" s="1673"/>
      <c r="F225" s="1673"/>
      <c r="G225" s="1673"/>
      <c r="H225" s="1673"/>
      <c r="I225" s="1673"/>
      <c r="J225" s="1673"/>
      <c r="K225" s="1672">
        <f t="shared" si="19"/>
        <v>1140</v>
      </c>
      <c r="L225" s="1573">
        <v>4182</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v>8778</v>
      </c>
      <c r="E227" s="1673"/>
      <c r="F227" s="1673"/>
      <c r="G227" s="1673"/>
      <c r="H227" s="1673"/>
      <c r="I227" s="1673"/>
      <c r="J227" s="1673"/>
      <c r="K227" s="1672">
        <f t="shared" si="19"/>
        <v>8778</v>
      </c>
      <c r="L227" s="1573">
        <v>8874</v>
      </c>
    </row>
    <row r="228" spans="1:12" x14ac:dyDescent="0.2">
      <c r="A228" s="1274" t="s">
        <v>1079</v>
      </c>
      <c r="B228" s="503">
        <v>1900</v>
      </c>
      <c r="C228" s="1673"/>
      <c r="D228" s="1573"/>
      <c r="E228" s="1673"/>
      <c r="F228" s="1673"/>
      <c r="G228" s="1673"/>
      <c r="H228" s="1673"/>
      <c r="I228" s="1673"/>
      <c r="J228" s="1673"/>
      <c r="K228" s="1672">
        <f t="shared" si="19"/>
        <v>0</v>
      </c>
      <c r="L228" s="1573">
        <v>1734</v>
      </c>
    </row>
    <row r="229" spans="1:12" ht="12.75" customHeight="1" thickBot="1" x14ac:dyDescent="0.25">
      <c r="A229" s="1380" t="s">
        <v>710</v>
      </c>
      <c r="B229" s="1383" t="s">
        <v>566</v>
      </c>
      <c r="C229" s="1673"/>
      <c r="D229" s="1674">
        <f>SUM(D215:D228)</f>
        <v>248954</v>
      </c>
      <c r="E229" s="1673"/>
      <c r="F229" s="1673"/>
      <c r="G229" s="1673"/>
      <c r="H229" s="1673"/>
      <c r="I229" s="1673"/>
      <c r="J229" s="1673"/>
      <c r="K229" s="1674">
        <f>SUM(K215:K228)</f>
        <v>248954</v>
      </c>
      <c r="L229" s="1674">
        <f>SUM(L215:L228)</f>
        <v>280296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3994</v>
      </c>
      <c r="E233" s="1673"/>
      <c r="F233" s="1673"/>
      <c r="G233" s="1673"/>
      <c r="H233" s="1673"/>
      <c r="I233" s="1673"/>
      <c r="J233" s="1673"/>
      <c r="K233" s="1672">
        <f t="shared" si="20"/>
        <v>3994</v>
      </c>
      <c r="L233" s="1573">
        <v>6120</v>
      </c>
    </row>
    <row r="234" spans="1:12" x14ac:dyDescent="0.2">
      <c r="A234" s="1274" t="s">
        <v>196</v>
      </c>
      <c r="B234" s="503">
        <v>2130</v>
      </c>
      <c r="C234" s="1673"/>
      <c r="D234" s="1573">
        <v>22509</v>
      </c>
      <c r="E234" s="1673"/>
      <c r="F234" s="1673"/>
      <c r="G234" s="1673"/>
      <c r="H234" s="1673"/>
      <c r="I234" s="1673"/>
      <c r="J234" s="1673"/>
      <c r="K234" s="1672">
        <f t="shared" si="20"/>
        <v>22509</v>
      </c>
      <c r="L234" s="1573">
        <v>23460</v>
      </c>
    </row>
    <row r="235" spans="1:12" x14ac:dyDescent="0.2">
      <c r="A235" s="1274" t="s">
        <v>197</v>
      </c>
      <c r="B235" s="503">
        <v>2140</v>
      </c>
      <c r="C235" s="1673"/>
      <c r="D235" s="1573">
        <v>7509</v>
      </c>
      <c r="E235" s="1673"/>
      <c r="F235" s="1673"/>
      <c r="G235" s="1673"/>
      <c r="H235" s="1673"/>
      <c r="I235" s="1673"/>
      <c r="J235" s="1673"/>
      <c r="K235" s="1672">
        <f t="shared" si="20"/>
        <v>7509</v>
      </c>
      <c r="L235" s="1573">
        <v>2550</v>
      </c>
    </row>
    <row r="236" spans="1:12" x14ac:dyDescent="0.2">
      <c r="A236" s="1274" t="s">
        <v>198</v>
      </c>
      <c r="B236" s="503">
        <v>2150</v>
      </c>
      <c r="C236" s="1673"/>
      <c r="D236" s="1573">
        <v>5695</v>
      </c>
      <c r="E236" s="1673"/>
      <c r="F236" s="1673"/>
      <c r="G236" s="1673"/>
      <c r="H236" s="1673"/>
      <c r="I236" s="1673"/>
      <c r="J236" s="1673"/>
      <c r="K236" s="1672">
        <f t="shared" si="20"/>
        <v>5695</v>
      </c>
      <c r="L236" s="1573">
        <v>4386</v>
      </c>
    </row>
    <row r="237" spans="1:12" x14ac:dyDescent="0.2">
      <c r="A237" s="1274" t="s">
        <v>164</v>
      </c>
      <c r="B237" s="503">
        <v>2190</v>
      </c>
      <c r="C237" s="1673"/>
      <c r="D237" s="1573">
        <v>3933</v>
      </c>
      <c r="E237" s="1673"/>
      <c r="F237" s="1673"/>
      <c r="G237" s="1673"/>
      <c r="H237" s="1673"/>
      <c r="I237" s="1673"/>
      <c r="J237" s="1673"/>
      <c r="K237" s="1672">
        <f t="shared" si="20"/>
        <v>3933</v>
      </c>
      <c r="L237" s="1573">
        <v>7140</v>
      </c>
    </row>
    <row r="238" spans="1:12" ht="12.75" customHeight="1" thickBot="1" x14ac:dyDescent="0.25">
      <c r="A238" s="1380" t="s">
        <v>556</v>
      </c>
      <c r="B238" s="1383" t="s">
        <v>711</v>
      </c>
      <c r="C238" s="1673"/>
      <c r="D238" s="1674">
        <f>SUM(D232:D237)</f>
        <v>43640</v>
      </c>
      <c r="E238" s="1673"/>
      <c r="F238" s="1673"/>
      <c r="G238" s="1673"/>
      <c r="H238" s="1673"/>
      <c r="I238" s="1673"/>
      <c r="J238" s="1673"/>
      <c r="K238" s="1674">
        <f>SUM(K232:K237)</f>
        <v>43640</v>
      </c>
      <c r="L238" s="1674">
        <f>SUM(L232:L237)</f>
        <v>43656</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2879</v>
      </c>
      <c r="E240" s="1673"/>
      <c r="F240" s="1673"/>
      <c r="G240" s="1673"/>
      <c r="H240" s="1673"/>
      <c r="I240" s="1673"/>
      <c r="J240" s="1673"/>
      <c r="K240" s="1678">
        <f>D240</f>
        <v>2879</v>
      </c>
      <c r="L240" s="1586">
        <v>3060</v>
      </c>
    </row>
    <row r="241" spans="1:12" x14ac:dyDescent="0.2">
      <c r="A241" s="1274" t="s">
        <v>810</v>
      </c>
      <c r="B241" s="503">
        <v>2220</v>
      </c>
      <c r="C241" s="1673"/>
      <c r="D241" s="1573">
        <v>18403</v>
      </c>
      <c r="E241" s="1673"/>
      <c r="F241" s="1673"/>
      <c r="G241" s="1673"/>
      <c r="H241" s="1673"/>
      <c r="I241" s="1673"/>
      <c r="J241" s="1673"/>
      <c r="K241" s="1678">
        <f>D241</f>
        <v>18403</v>
      </c>
      <c r="L241" s="1573">
        <v>36414</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21282</v>
      </c>
      <c r="E243" s="1673"/>
      <c r="F243" s="1673"/>
      <c r="G243" s="1673"/>
      <c r="H243" s="1673"/>
      <c r="I243" s="1673"/>
      <c r="J243" s="1673"/>
      <c r="K243" s="1674">
        <f>SUM(K240:K242)</f>
        <v>21282</v>
      </c>
      <c r="L243" s="1674">
        <f>SUM(L240:L242)</f>
        <v>39474</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20690</v>
      </c>
      <c r="E246" s="1673"/>
      <c r="F246" s="1673"/>
      <c r="G246" s="1673"/>
      <c r="H246" s="1673"/>
      <c r="I246" s="1673"/>
      <c r="J246" s="1673"/>
      <c r="K246" s="1678">
        <f t="shared" ref="K246:K256" si="21">D246</f>
        <v>20690</v>
      </c>
      <c r="L246" s="1573">
        <v>16830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20690</v>
      </c>
      <c r="E257" s="1673"/>
      <c r="F257" s="1673"/>
      <c r="G257" s="1673"/>
      <c r="H257" s="1673"/>
      <c r="I257" s="1673"/>
      <c r="J257" s="1673"/>
      <c r="K257" s="1674">
        <f>SUM(K245:K256)</f>
        <v>20690</v>
      </c>
      <c r="L257" s="1674">
        <f>SUM(L245:L256)</f>
        <v>16830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44495</v>
      </c>
      <c r="E259" s="1673"/>
      <c r="F259" s="1673"/>
      <c r="G259" s="1673"/>
      <c r="H259" s="1673"/>
      <c r="I259" s="1673"/>
      <c r="J259" s="1673"/>
      <c r="K259" s="1678">
        <f>D259</f>
        <v>44495</v>
      </c>
      <c r="L259" s="1586">
        <v>53550</v>
      </c>
    </row>
    <row r="260" spans="1:14" s="493" customFormat="1" x14ac:dyDescent="0.2">
      <c r="A260" s="1292" t="s">
        <v>1781</v>
      </c>
      <c r="B260" s="512">
        <v>2490</v>
      </c>
      <c r="C260" s="1673"/>
      <c r="D260" s="1573">
        <v>13402</v>
      </c>
      <c r="E260" s="1673"/>
      <c r="F260" s="1673"/>
      <c r="G260" s="1673"/>
      <c r="H260" s="1673"/>
      <c r="I260" s="1673"/>
      <c r="J260" s="1673"/>
      <c r="K260" s="1678">
        <f>D260</f>
        <v>13402</v>
      </c>
      <c r="L260" s="1573">
        <v>13260</v>
      </c>
      <c r="M260" s="205"/>
      <c r="N260" s="205"/>
    </row>
    <row r="261" spans="1:14" ht="12.75" customHeight="1" thickBot="1" x14ac:dyDescent="0.25">
      <c r="A261" s="1394" t="s">
        <v>261</v>
      </c>
      <c r="B261" s="1399" t="s">
        <v>34</v>
      </c>
      <c r="C261" s="1673"/>
      <c r="D261" s="1674">
        <f>SUM(D259:D260)</f>
        <v>57897</v>
      </c>
      <c r="E261" s="1673"/>
      <c r="F261" s="1673"/>
      <c r="G261" s="1673"/>
      <c r="H261" s="1673"/>
      <c r="I261" s="1673"/>
      <c r="J261" s="1673"/>
      <c r="K261" s="1674">
        <f>SUM(K259:K260)</f>
        <v>57897</v>
      </c>
      <c r="L261" s="1674">
        <f>SUM(L259:L260)</f>
        <v>66810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15063</v>
      </c>
      <c r="E263" s="1673"/>
      <c r="F263" s="1673"/>
      <c r="G263" s="1673"/>
      <c r="H263" s="1673"/>
      <c r="I263" s="1673"/>
      <c r="J263" s="1673"/>
      <c r="K263" s="1678">
        <f>D263</f>
        <v>15063</v>
      </c>
      <c r="L263" s="1586">
        <v>33721</v>
      </c>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57017</v>
      </c>
      <c r="E266" s="1673"/>
      <c r="F266" s="1673"/>
      <c r="G266" s="1673"/>
      <c r="H266" s="1673"/>
      <c r="I266" s="1673"/>
      <c r="J266" s="1673"/>
      <c r="K266" s="1678">
        <f t="shared" si="22"/>
        <v>57017</v>
      </c>
      <c r="L266" s="1573">
        <v>56304</v>
      </c>
    </row>
    <row r="267" spans="1:14" x14ac:dyDescent="0.2">
      <c r="A267" s="1274" t="s">
        <v>947</v>
      </c>
      <c r="B267" s="503">
        <v>2550</v>
      </c>
      <c r="C267" s="1673"/>
      <c r="D267" s="1573">
        <v>189434</v>
      </c>
      <c r="E267" s="1673"/>
      <c r="F267" s="1673"/>
      <c r="G267" s="1673"/>
      <c r="H267" s="1673"/>
      <c r="I267" s="1673"/>
      <c r="J267" s="1673"/>
      <c r="K267" s="1678">
        <f t="shared" si="22"/>
        <v>189434</v>
      </c>
      <c r="L267" s="1573">
        <v>196860</v>
      </c>
    </row>
    <row r="268" spans="1:14" x14ac:dyDescent="0.2">
      <c r="A268" s="1274" t="s">
        <v>100</v>
      </c>
      <c r="B268" s="503">
        <v>2560</v>
      </c>
      <c r="C268" s="1673"/>
      <c r="D268" s="1573">
        <v>8051</v>
      </c>
      <c r="E268" s="1673"/>
      <c r="F268" s="1673"/>
      <c r="G268" s="1673"/>
      <c r="H268" s="1673"/>
      <c r="I268" s="1673"/>
      <c r="J268" s="1673"/>
      <c r="K268" s="1678">
        <f t="shared" si="22"/>
        <v>8051</v>
      </c>
      <c r="L268" s="1573">
        <v>6120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269565</v>
      </c>
      <c r="E270" s="1673"/>
      <c r="F270" s="1673"/>
      <c r="G270" s="1673"/>
      <c r="H270" s="1673"/>
      <c r="I270" s="1673"/>
      <c r="J270" s="1673"/>
      <c r="K270" s="1674">
        <f>SUM(K263:K269)</f>
        <v>269565</v>
      </c>
      <c r="L270" s="1674">
        <f>SUM(L263:L269)</f>
        <v>293005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v>12559</v>
      </c>
      <c r="E274" s="1673"/>
      <c r="F274" s="1673"/>
      <c r="G274" s="1673"/>
      <c r="H274" s="1673"/>
      <c r="I274" s="1673"/>
      <c r="J274" s="1673"/>
      <c r="K274" s="1678">
        <f>D274</f>
        <v>12559</v>
      </c>
      <c r="L274" s="1573">
        <v>11526</v>
      </c>
    </row>
    <row r="275" spans="1:12" x14ac:dyDescent="0.2">
      <c r="A275" s="1274" t="s">
        <v>400</v>
      </c>
      <c r="B275" s="503">
        <v>2640</v>
      </c>
      <c r="C275" s="1673"/>
      <c r="D275" s="1573">
        <v>2341</v>
      </c>
      <c r="E275" s="1673"/>
      <c r="F275" s="1673"/>
      <c r="G275" s="1673"/>
      <c r="H275" s="1673"/>
      <c r="I275" s="1673"/>
      <c r="J275" s="1673"/>
      <c r="K275" s="1678">
        <f>D275</f>
        <v>2341</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14900</v>
      </c>
      <c r="E277" s="1673"/>
      <c r="F277" s="1673"/>
      <c r="G277" s="1673"/>
      <c r="H277" s="1673"/>
      <c r="I277" s="1673"/>
      <c r="J277" s="1673"/>
      <c r="K277" s="1674">
        <f>SUM(K272:K276)</f>
        <v>14900</v>
      </c>
      <c r="L277" s="1674">
        <f>SUM(L272:L276)</f>
        <v>11526</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427974</v>
      </c>
      <c r="E279" s="1673"/>
      <c r="F279" s="1673"/>
      <c r="G279" s="1673"/>
      <c r="H279" s="1673"/>
      <c r="I279" s="1673"/>
      <c r="J279" s="1673"/>
      <c r="K279" s="1681">
        <f>SUM(K238,K243,K257,K261,K270,K277,K278)</f>
        <v>427974</v>
      </c>
      <c r="L279" s="1681">
        <f>SUM(L238,L243,L257,L261,L270,L277,L278)</f>
        <v>471301</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v>53358</v>
      </c>
      <c r="E284" s="1673"/>
      <c r="F284" s="1673"/>
      <c r="G284" s="1673"/>
      <c r="H284" s="1673"/>
      <c r="I284" s="1673"/>
      <c r="J284" s="1673"/>
      <c r="K284" s="1672">
        <f>D284</f>
        <v>53358</v>
      </c>
      <c r="L284" s="1573">
        <v>63240</v>
      </c>
    </row>
    <row r="285" spans="1:12" ht="12.75" customHeight="1" thickBot="1" x14ac:dyDescent="0.25">
      <c r="A285" s="1380" t="s">
        <v>1470</v>
      </c>
      <c r="B285" s="1381" t="s">
        <v>855</v>
      </c>
      <c r="C285" s="1673"/>
      <c r="D285" s="1674">
        <f>SUM(D282:D284)</f>
        <v>53358</v>
      </c>
      <c r="E285" s="1673"/>
      <c r="F285" s="1673"/>
      <c r="G285" s="1673"/>
      <c r="H285" s="1673"/>
      <c r="I285" s="1673"/>
      <c r="J285" s="1673"/>
      <c r="K285" s="1674">
        <f>SUM(K282:K284)</f>
        <v>53358</v>
      </c>
      <c r="L285" s="1674">
        <f>SUM(L282:L284)</f>
        <v>63240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0" t="s">
        <v>502</v>
      </c>
      <c r="B295" s="2281"/>
      <c r="C295" s="1673"/>
      <c r="D295" s="1674">
        <f>SUM(D229,D279,D280,D285)</f>
        <v>730286</v>
      </c>
      <c r="E295" s="1673"/>
      <c r="F295" s="1673"/>
      <c r="G295" s="1673"/>
      <c r="H295" s="1674">
        <f>H293</f>
        <v>0</v>
      </c>
      <c r="I295" s="1673"/>
      <c r="J295" s="1673"/>
      <c r="K295" s="1674">
        <f>SUM(K229,K279,K280,K285,K293,K294)</f>
        <v>730286</v>
      </c>
      <c r="L295" s="1674">
        <f>SUM(L229,L279,L280,L285,L293,L294)</f>
        <v>814837</v>
      </c>
    </row>
    <row r="296" spans="1:14" ht="13.5" thickTop="1" x14ac:dyDescent="0.2">
      <c r="A296" s="2262" t="s">
        <v>989</v>
      </c>
      <c r="B296" s="2263"/>
      <c r="C296" s="1673"/>
      <c r="D296" s="1675"/>
      <c r="E296" s="1673"/>
      <c r="F296" s="1673"/>
      <c r="G296" s="1673"/>
      <c r="H296" s="1707"/>
      <c r="I296" s="1673"/>
      <c r="J296" s="1673"/>
      <c r="K296" s="1689">
        <f>'Revenues 9-14'!G268-'Expenditures 15-22'!K295</f>
        <v>62409</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2" t="s">
        <v>142</v>
      </c>
      <c r="B298" s="2266"/>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188250</v>
      </c>
      <c r="F301" s="1573"/>
      <c r="G301" s="1573">
        <v>1922527</v>
      </c>
      <c r="H301" s="1573"/>
      <c r="I301" s="1574"/>
      <c r="J301" s="1574"/>
      <c r="K301" s="1672">
        <f>SUM(C301:J301)</f>
        <v>2110777</v>
      </c>
      <c r="L301" s="1574">
        <v>1750000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188250</v>
      </c>
      <c r="F303" s="1681">
        <f t="shared" si="23"/>
        <v>0</v>
      </c>
      <c r="G303" s="1681">
        <f t="shared" si="23"/>
        <v>1922527</v>
      </c>
      <c r="H303" s="1681">
        <f t="shared" si="23"/>
        <v>0</v>
      </c>
      <c r="I303" s="1681">
        <f t="shared" si="23"/>
        <v>0</v>
      </c>
      <c r="J303" s="1681">
        <f t="shared" si="23"/>
        <v>0</v>
      </c>
      <c r="K303" s="1681">
        <f t="shared" si="23"/>
        <v>2110777</v>
      </c>
      <c r="L303" s="1681">
        <f t="shared" si="23"/>
        <v>1750000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7" t="s">
        <v>275</v>
      </c>
      <c r="B312" s="2278"/>
      <c r="C312" s="1674">
        <f>SUM(C303)</f>
        <v>0</v>
      </c>
      <c r="D312" s="1674">
        <f>SUM(D303)</f>
        <v>0</v>
      </c>
      <c r="E312" s="1674">
        <f>SUM(E303,E310)</f>
        <v>188250</v>
      </c>
      <c r="F312" s="1674">
        <f>SUM(F303)</f>
        <v>0</v>
      </c>
      <c r="G312" s="1674">
        <f>SUM(G303)</f>
        <v>1922527</v>
      </c>
      <c r="H312" s="1674">
        <f>SUM(H303,H310)</f>
        <v>0</v>
      </c>
      <c r="I312" s="1674">
        <f>SUM(I303)</f>
        <v>0</v>
      </c>
      <c r="J312" s="1674">
        <f>SUM(J303)</f>
        <v>0</v>
      </c>
      <c r="K312" s="1674">
        <f>SUM(K303,K310,K311)</f>
        <v>2110777</v>
      </c>
      <c r="L312" s="1674">
        <f>SUM(L303,L310,L311)</f>
        <v>1750000</v>
      </c>
      <c r="M312" s="539"/>
      <c r="N312" s="539"/>
    </row>
    <row r="313" spans="1:14" ht="13.5" thickTop="1" x14ac:dyDescent="0.2">
      <c r="A313" s="2273" t="s">
        <v>989</v>
      </c>
      <c r="B313" s="2274"/>
      <c r="C313" s="1677"/>
      <c r="D313" s="1677"/>
      <c r="E313" s="1677"/>
      <c r="F313" s="1677"/>
      <c r="G313" s="1677"/>
      <c r="H313" s="1677"/>
      <c r="I313" s="1677"/>
      <c r="J313" s="1677"/>
      <c r="K313" s="1696">
        <f>'Revenues 9-14'!H268-'Expenditures 15-22'!K312</f>
        <v>-1942779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6" t="s">
        <v>148</v>
      </c>
      <c r="B315" s="2287"/>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8" t="s">
        <v>892</v>
      </c>
      <c r="B317" s="2287"/>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5" t="s">
        <v>989</v>
      </c>
      <c r="B343" s="2276"/>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5" t="s">
        <v>960</v>
      </c>
      <c r="B345" s="2266"/>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2" t="s">
        <v>989</v>
      </c>
      <c r="B368" s="2263"/>
      <c r="C368" s="1694"/>
      <c r="D368" s="1694"/>
      <c r="E368" s="1677"/>
      <c r="F368" s="1677"/>
      <c r="G368" s="1677"/>
      <c r="H368" s="1677"/>
      <c r="I368" s="1677"/>
      <c r="J368" s="1676"/>
      <c r="K368" s="1672">
        <f>'Revenues 9-14'!K268-'Expenditures 15-22'!K367</f>
        <v>331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d21dc803-237d-4c68-8692-8d731fd29118"/>
    <ds:schemaRef ds:uri="http://schemas.openxmlformats.org/package/2006/metadata/core-properties"/>
    <ds:schemaRef ds:uri="http://schemas.microsoft.com/office/2006/documentManagement/types"/>
    <ds:schemaRef ds:uri="http://purl.org/dc/elements/1.1/"/>
    <ds:schemaRef ds:uri="http://www.w3.org/XML/1998/namespace"/>
    <ds:schemaRef ds:uri="http://schemas.microsoft.com/office/infopath/2007/PartnerControls"/>
    <ds:schemaRef ds:uri="4d435f69-8686-490b-bd6d-b153bf22ab50"/>
    <ds:schemaRef ds:uri="6ce3111e-7420-4802-b50a-75d4e9a0b980"/>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2020-10-15T20:46:23Z</cp:lastPrinted>
  <dcterms:created xsi:type="dcterms:W3CDTF">2003-10-29T19:06:34Z</dcterms:created>
  <dcterms:modified xsi:type="dcterms:W3CDTF">2020-11-10T02:50:19Z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Other deliverables</vt:lpwstr>
  </property>
  <property fmtid="{D5CDD505-2E9C-101B-9397-08002B2CF9AE}" pid="6" name="tabIndex">
    <vt:lpwstr>140</vt:lpwstr>
  </property>
  <property fmtid="{D5CDD505-2E9C-101B-9397-08002B2CF9AE}" pid="7" name="workpaperIndex">
    <vt:lpwstr/>
  </property>
</Properties>
</file>