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F3ACDE1-6A95-4D84-AE4E-089C44B9097B}"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2" i="11" l="1"/>
  <c r="D12" i="11"/>
  <c r="H170" i="29"/>
  <c r="H169" i="29"/>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5" i="127"/>
  <c r="B66"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H342" i="29" l="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D31" i="108"/>
  <c r="E16" i="184"/>
  <c r="H16"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G33" i="108"/>
  <c r="E17" i="184"/>
  <c r="H17" i="184" s="1"/>
  <c r="G30" i="108"/>
  <c r="H12" i="184"/>
  <c r="H19" i="184" s="1"/>
  <c r="L20" i="184" s="1"/>
  <c r="E19"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E367" i="29"/>
  <c r="B3635" i="106"/>
  <c r="L16" i="11"/>
  <c r="B2061" i="106" s="1"/>
  <c r="D2061" i="106" s="1"/>
  <c r="N57" i="184"/>
  <c r="N68" i="184" s="1"/>
  <c r="E68" i="184"/>
  <c r="B2031" i="106"/>
  <c r="D2031" i="106" s="1"/>
  <c r="D44" i="36"/>
  <c r="B5527" i="106"/>
  <c r="D5527" i="106" s="1"/>
  <c r="F41" i="108"/>
  <c r="G43" i="108" s="1"/>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F77" i="34" l="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<sst xmlns="http://schemas.openxmlformats.org/spreadsheetml/2006/main" count="5179" uniqueCount="2105">
  <si>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</si>
  <si>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</si>
  <si>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</si>
  <si>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</si>
  <si>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</si>
  <si>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</si>
  <si>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</si>
  <si>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</si>
  <si>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</si>
  <si>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</si>
  <si>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</si>
  <si>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</si>
  <si>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</si>
  <si>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</si>
  <si>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</si>
  <si>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</si>
  <si>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</si>
  <si>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</si>
  <si>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</si>
  <si>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</si>
  <si>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</si>
  <si>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</si>
  <si>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</si>
  <si>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</si>
  <si>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</si>
  <si>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</si>
  <si>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</si>
  <si>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</si>
  <si>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</si>
  <si>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</si>
  <si>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</si>
  <si>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</si>
  <si>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</si>
  <si>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</si>
  <si>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</si>
  <si>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</si>
  <si>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</si>
  <si>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</si>
  <si>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</si>
  <si>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</si>
  <si>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</si>
  <si>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</si>
  <si>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</si>
  <si>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</si>
  <si>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</si>
  <si>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</si>
  <si>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</si>
  <si>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</si>
  <si>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</si>
  <si>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</si>
  <si>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</si>
  <si>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</si>
  <si>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</si>
  <si>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</si>
  <si>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</si>
  <si>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</si>
  <si>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</si>
  <si>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</si>
  <si>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</si>
  <si>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</si>
  <si>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</si>
  <si>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</si>
  <si>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</si>
  <si>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</si>
  <si>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</si>
  <si>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</si>
  <si>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</si>
  <si>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</si>
  <si>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</si>
  <si>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</si>
  <si>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</si>
  <si>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</si>
  <si>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</si>
  <si>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</si>
  <si>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</si>
  <si>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</si>
  <si>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</si>
  <si>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</si>
  <si>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</si>
  <si>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</si>
  <si>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</si>
  <si>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</si>
  <si>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</si>
  <si>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</si>
  <si>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</si>
  <si>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</si>
  <si>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</si>
  <si>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</si>
  <si>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</si>
  <si>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</si>
  <si>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</si>
  <si>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</si>
  <si>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</si>
  <si>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</si>
  <si>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</si>
  <si>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</si>
  <si>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</si>
  <si>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</si>
  <si>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</si>
  <si>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</si>
  <si>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</si>
  <si>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</si>
  <si>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</si>
  <si>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</si>
  <si>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</si>
  <si>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</si>
  <si>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</si>
  <si>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</si>
  <si>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</si>
  <si>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</si>
  <si>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</si>
  <si>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</si>
  <si>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</si>
  <si>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</si>
  <si>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</si>
  <si>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</si>
  <si>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</si>
  <si>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</si>
  <si>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</si>
  <si>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</si>
  <si>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</si>
  <si>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</si>
  <si>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</si>
  <si>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</si>
  <si>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</si>
  <si>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</si>
  <si>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</si>
  <si>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</si>
  <si>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</si>
  <si>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</si>
  <si>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</si>
  <si>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</si>
  <si>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</si>
  <si>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</si>
  <si>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</si>
  <si>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</si>
  <si>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</si>
  <si>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</si>
  <si>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</si>
  <si>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</si>
  <si>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</si>
  <si>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</si>
  <si>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</si>
  <si>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</si>
  <si>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</si>
  <si>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</si>
  <si>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</si>
  <si>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</si>
  <si>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</si>
  <si>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</si>
  <si>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</si>
  <si>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</si>
  <si>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</si>
  <si>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</si>
  <si>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</si>
  <si>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</si>
  <si>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</si>
  <si>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</si>
  <si>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</si>
  <si>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</si>
  <si>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</si>
  <si>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</si>
  <si>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</si>
  <si>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</si>
  <si>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</si>
  <si>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</si>
  <si>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</si>
  <si>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</si>
  <si>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</si>
  <si>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</si>
  <si>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</si>
  <si>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</si>
  <si>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</si>
  <si>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</si>
  <si>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</si>
  <si>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</si>
  <si>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</si>
  <si>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</si>
  <si>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</si>
  <si>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</si>
  <si>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</si>
  <si>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</si>
  <si>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</si>
  <si>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</si>
  <si>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</si>
  <si>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</si>
  <si>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</si>
  <si>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</si>
  <si>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</si>
  <si>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</si>
  <si>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</si>
  <si>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</si>
  <si>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</si>
  <si>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</si>
  <si>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</si>
  <si>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</si>
  <si>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</si>
  <si>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</si>
  <si>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</si>
  <si>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</si>
  <si>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</si>
  <si>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</si>
  <si>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</si>
  <si>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</si>
  <si>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</si>
  <si>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</si>
  <si>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</si>
  <si>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</si>
  <si>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</si>
  <si>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</si>
  <si>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</si>
  <si>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</si>
  <si>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</si>
  <si>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</si>
  <si>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</si>
  <si>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</si>
  <si>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</si>
  <si>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</si>
  <si>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</si>
  <si>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</si>
  <si>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</si>
  <si>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</si>
  <si>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</si>
  <si>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</si>
  <si>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</si>
  <si>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</si>
  <si>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</si>
  <si>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</si>
  <si>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</si>
  <si>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</si>
  <si>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</si>
  <si>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</si>
  <si>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</si>
  <si>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</si>
  <si>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</si>
  <si>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</si>
  <si>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</si>
  <si>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</si>
  <si>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</si>
  <si>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</si>
  <si>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</si>
  <si>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</si>
  <si>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</si>
  <si>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</si>
  <si>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</si>
  <si>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</si>
  <si>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</si>
  <si>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</si>
  <si>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</si>
  <si>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</si>
  <si>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</si>
  <si>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</si>
  <si>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</si>
  <si>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</si>
  <si>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</si>
  <si>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</si>
  <si>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</si>
  <si>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</si>
  <si>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</si>
  <si>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</si>
  <si>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</si>
  <si>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</si>
  <si>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</si>
  <si>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</si>
  <si>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</si>
  <si>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</si>
  <si>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</si>
  <si>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</si>
  <si>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</si>
  <si>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</si>
  <si>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</si>
  <si>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</si>
  <si>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</si>
  <si>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</si>
  <si>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</si>
  <si>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</si>
  <si>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</si>
  <si>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</si>
  <si>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</si>
  <si>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</si>
  <si>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</si>
  <si>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</si>
  <si>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</si>
  <si>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</si>
  <si>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</si>
  <si>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</si>
  <si>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</si>
  <si>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</si>
  <si>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</si>
  <si>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</si>
  <si>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</si>
  <si>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</si>
  <si>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</si>
  <si>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</si>
  <si>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</si>
  <si>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</si>
  <si>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</si>
  <si>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</si>
  <si>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</si>
  <si>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</si>
  <si>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</si>
  <si>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</si>
  <si>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</si>
  <si>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</si>
  <si>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</si>
  <si>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</si>
  <si>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</si>
  <si>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</si>
  <si>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</si>
  <si>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</si>
  <si>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</si>
  <si>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</si>
  <si>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</si>
  <si>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</si>
  <si>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</si>
  <si>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</si>
  <si>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</si>
  <si>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</si>
  <si>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</si>
  <si>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</si>
  <si>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</si>
  <si>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</si>
  <si>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</si>
  <si>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</si>
  <si>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</si>
  <si>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</si>
  <si>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</si>
  <si>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</si>
  <si>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</si>
  <si>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</si>
  <si>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</si>
  <si>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</si>
  <si>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</si>
  <si>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</si>
  <si>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</si>
  <si>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</si>
  <si>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</si>
  <si>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</si>
  <si>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</si>
  <si>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</si>
  <si>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</si>
  <si>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</si>
  <si>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</si>
  <si>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</si>
  <si>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</si>
  <si>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</si>
  <si>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</si>
  <si>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</si>
  <si>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</si>
  <si>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</si>
  <si>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</si>
  <si>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</si>
  <si>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</si>
  <si>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</si>
  <si>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</si>
  <si>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</si>
  <si>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</si>
  <si>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</si>
  <si>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</si>
  <si>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</si>
  <si>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</si>
  <si>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</si>
  <si>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</si>
  <si>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</si>
  <si>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</si>
  <si>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</si>
  <si>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</si>
  <si>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</si>
  <si>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</si>
  <si>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</si>
  <si>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</si>
  <si>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</si>
  <si>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</si>
  <si>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</si>
  <si>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</si>
  <si>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</si>
  <si>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</si>
  <si>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</si>
  <si>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</si>
  <si>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</si>
  <si>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</si>
  <si>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</si>
  <si>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</si>
  <si>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</si>
  <si>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</si>
  <si>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</si>
  <si>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</si>
  <si>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</si>
  <si>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</si>
  <si>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</si>
  <si>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</si>
  <si>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</si>
  <si>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</si>
  <si>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</si>
  <si>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</si>
  <si>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</si>
  <si>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</si>
  <si>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</si>
  <si>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</si>
  <si>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</si>
  <si>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</si>
  <si>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</si>
  <si>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</si>
  <si>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</si>
  <si>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</si>
  <si>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</si>
  <si>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</si>
  <si>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</si>
  <si>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</si>
  <si>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</si>
  <si>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</si>
  <si>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</si>
  <si>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</si>
  <si>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</si>
  <si>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</si>
  <si>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</si>
  <si>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</si>
  <si>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</si>
  <si>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</si>
  <si>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</si>
  <si>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</si>
  <si>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</si>
  <si>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</si>
  <si>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</si>
  <si>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</si>
  <si>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</si>
  <si>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</si>
  <si>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</si>
  <si>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</si>
  <si>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</si>
  <si>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</si>
  <si>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</si>
  <si>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</si>
  <si>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</si>
  <si>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</si>
  <si>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</si>
  <si>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</si>
  <si>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</si>
  <si>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</si>
  <si>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</si>
  <si>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</si>
  <si>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</si>
  <si>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</si>
  <si>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</si>
  <si>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</si>
  <si>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</si>
  <si>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</si>
  <si>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</si>
  <si>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</si>
  <si>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</si>
  <si>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</si>
  <si>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</si>
  <si>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</si>
  <si>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</si>
  <si>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</si>
  <si>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</si>
  <si>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</si>
  <si>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</si>
  <si>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</si>
  <si>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</si>
  <si>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</si>
  <si>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</si>
  <si>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</si>
  <si>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</si>
  <si>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</si>
  <si>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</si>
  <si>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</si>
  <si>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</si>
  <si>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</si>
  <si>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</si>
  <si>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</si>
  <si>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</si>
  <si>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</si>
  <si>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</si>
  <si>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</si>
  <si>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</si>
  <si>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</si>
  <si>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</si>
  <si>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</si>
  <si>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</si>
  <si>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</si>
  <si>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</si>
  <si>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</si>
  <si>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</si>
  <si>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</si>
  <si>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</si>
  <si>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</si>
  <si>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</si>
  <si>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</si>
  <si>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</si>
  <si>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</si>
  <si>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</si>
  <si>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</si>
  <si>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</si>
  <si>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</si>
  <si>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</si>
  <si>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</si>
  <si>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</si>
  <si>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</si>
  <si>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</si>
  <si>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</si>
  <si>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</si>
  <si>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</si>
  <si>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</si>
  <si>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</si>
  <si>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</si>
  <si>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</si>
  <si>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</si>
  <si>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</si>
  <si>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</si>
  <si>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</si>
  <si>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</si>
  <si>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</si>
  <si>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</si>
  <si>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</si>
  <si>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</si>
  <si>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</si>
  <si>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</si>
  <si>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</si>
  <si>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</si>
  <si>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</si>
  <si>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</si>
  <si>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</si>
  <si>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</si>
  <si>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</si>
  <si>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</si>
  <si>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</si>
  <si>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</si>
  <si>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</si>
  <si>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</si>
  <si>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</si>
  <si>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</si>
  <si>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</si>
  <si>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</si>
  <si>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</si>
  <si>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</si>
  <si>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</si>
  <si>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</si>
  <si>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</si>
  <si>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</si>
  <si>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</si>
  <si>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</si>
  <si>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</si>
  <si>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</si>
  <si>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</si>
  <si>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</si>
  <si>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</si>
  <si>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</si>
  <si>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</si>
  <si>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</si>
  <si>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</si>
  <si>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</si>
  <si>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</si>
  <si>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</si>
  <si>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</si>
  <si>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</si>
  <si>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</si>
  <si>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</si>
  <si>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</si>
  <si>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</si>
  <si>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</si>
  <si>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</si>
  <si>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</si>
  <si>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</si>
  <si>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</si>
  <si>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</si>
  <si>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</si>
  <si>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</si>
  <si>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</si>
  <si>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</si>
  <si>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</si>
  <si>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</si>
  <si>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</si>
  <si>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</si>
  <si>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</si>
  <si>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</si>
  <si>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</si>
  <si>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</si>
  <si>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</si>
  <si>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</si>
  <si>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</si>
  <si>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</si>
  <si>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</si>
  <si>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</si>
  <si>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</si>
  <si>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</si>
  <si>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</si>
  <si>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</si>
  <si>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</si>
  <si>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</si>
  <si>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</si>
  <si>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</si>
  <si>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</si>
  <si>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</si>
  <si>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</si>
  <si>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</si>
  <si>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</si>
  <si>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</si>
  <si>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</si>
  <si>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</si>
  <si>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</si>
  <si>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</si>
  <si>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</si>
  <si>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</si>
  <si>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</si>
  <si>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</si>
  <si>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</si>
  <si>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</si>
  <si>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</si>
  <si>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</si>
  <si>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</si>
  <si>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</si>
  <si>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</si>
  <si>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</si>
  <si>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</si>
  <si>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</si>
  <si>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</si>
  <si>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</si>
  <si>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</si>
  <si>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</si>
  <si>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</si>
  <si>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</si>
  <si>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</si>
  <si>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</si>
  <si>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</si>
  <si>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</si>
  <si>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</si>
  <si>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</si>
  <si>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</si>
  <si>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</si>
  <si>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</si>
  <si>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</si>
  <si>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</si>
  <si>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</si>
  <si>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</si>
  <si>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</si>
  <si>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</si>
  <si>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</si>
  <si>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</si>
  <si>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</si>
  <si>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</si>
  <si>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</si>
  <si>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</si>
  <si>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</si>
  <si>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</si>
  <si>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</si>
  <si>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</si>
  <si>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</si>
  <si>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</si>
  <si>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</si>
  <si>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</si>
  <si>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</si>
  <si>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</si>
  <si>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</si>
  <si>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</si>
  <si>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</si>
  <si>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</si>
  <si>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</si>
  <si>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</si>
  <si>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</si>
  <si>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</si>
  <si>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</si>
  <si>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</si>
  <si>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</si>
  <si>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</si>
  <si>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</si>
  <si>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</si>
  <si>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</si>
  <si>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</si>
  <si>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</si>
  <si>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</si>
  <si>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</si>
  <si>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</si>
  <si>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</si>
  <si>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</si>
  <si>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</si>
  <si>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</si>
  <si>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</si>
  <si>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</si>
  <si>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</si>
  <si>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</si>
  <si>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</si>
  <si>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</si>
  <si>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</si>
  <si>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</si>
  <si>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</si>
  <si>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</si>
  <si>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</si>
  <si>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</si>
  <si>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</si>
  <si>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</si>
  <si>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</si>
  <si>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</si>
  <si>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</si>
  <si>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</si>
  <si>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</si>
  <si>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</si>
  <si>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</si>
  <si>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</si>
  <si>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</si>
  <si>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</si>
  <si>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</si>
  <si>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</si>
  <si>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</si>
  <si>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</si>
  <si>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</si>
  <si>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</si>
  <si>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</si>
  <si>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</si>
  <si>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</si>
  <si>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</si>
  <si>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</si>
  <si>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</si>
  <si>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</si>
  <si>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</si>
  <si>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</si>
  <si>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</si>
  <si>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</si>
  <si>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</si>
  <si>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</si>
  <si>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</si>
  <si>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</si>
  <si>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</si>
  <si>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</si>
  <si>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</si>
  <si>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</si>
  <si>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</si>
  <si>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</si>
  <si>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</si>
  <si>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</si>
  <si>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</si>
  <si>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</si>
  <si>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</si>
  <si>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</si>
  <si>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</si>
  <si>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</si>
  <si>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</si>
  <si>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</si>
  <si>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</si>
  <si>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</si>
  <si>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</si>
  <si>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</si>
  <si>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</si>
  <si>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</si>
  <si>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</si>
  <si>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</si>
  <si>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</si>
  <si>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</si>
  <si>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</si>
  <si>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</si>
  <si>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</si>
  <si>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</si>
  <si>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</si>
  <si>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</si>
  <si>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</si>
  <si>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</si>
  <si>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</si>
  <si>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</si>
  <si>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</si>
  <si>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</si>
  <si>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</si>
  <si>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</si>
  <si>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</si>
  <si>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</si>
  <si>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</si>
  <si>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</si>
  <si>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</si>
  <si>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</si>
  <si>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</si>
  <si>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</si>
  <si>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</si>
  <si>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</si>
  <si>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</si>
  <si>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</si>
  <si>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</si>
  <si>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</si>
  <si>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</si>
  <si>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</si>
  <si>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</si>
  <si>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</si>
  <si>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</si>
  <si>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</si>
  <si>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</si>
  <si>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</si>
  <si>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</si>
  <si>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</si>
  <si>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</si>
  <si>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</si>
  <si>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</si>
  <si>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</si>
  <si>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</si>
  <si>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</si>
  <si>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</si>
  <si>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</si>
  <si>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</si>
  <si>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</si>
  <si>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</si>
  <si>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</si>
  <si>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</si>
  <si>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</si>
  <si>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</si>
  <si>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</si>
  <si>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</si>
  <si>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</si>
  <si>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</si>
  <si>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</si>
  <si>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</si>
  <si>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</si>
  <si>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</si>
  <si>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</si>
  <si>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</si>
  <si>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</si>
  <si>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</si>
  <si>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</si>
  <si>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</si>
  <si>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</si>
  <si>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</si>
  <si>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</si>
  <si>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</si>
  <si>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</si>
  <si>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</si>
  <si>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</si>
  <si>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</si>
  <si>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</si>
  <si>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</si>
  <si>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</si>
  <si>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</si>
  <si>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</si>
  <si>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</si>
  <si>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</si>
  <si>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</si>
  <si>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</si>
  <si>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</si>
  <si>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</si>
  <si>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</si>
  <si>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</si>
  <si>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</si>
  <si>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</si>
  <si>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</si>
  <si>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</si>
  <si>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</si>
  <si>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</si>
  <si>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</si>
  <si>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</si>
  <si>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</si>
  <si>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</si>
  <si>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</si>
  <si>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</si>
  <si>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</si>
  <si>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</si>
  <si>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</si>
  <si>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</si>
  <si>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</si>
  <si>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</si>
  <si>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</si>
  <si>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</si>
  <si>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</si>
  <si>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</si>
  <si>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</si>
  <si>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</si>
  <si>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</si>
  <si>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</si>
  <si>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</si>
  <si>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</si>
  <si>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</si>
  <si>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</si>
  <si>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</si>
  <si>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</si>
  <si>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</si>
  <si>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</si>
  <si>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</si>
  <si>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</si>
  <si>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</si>
  <si>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</si>
  <si>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</si>
  <si>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</si>
  <si>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</si>
  <si>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</si>
  <si>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</si>
  <si>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</si>
  <si>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</si>
  <si>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</si>
  <si>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</si>
  <si>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</si>
  <si>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</si>
  <si>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</si>
  <si>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</si>
  <si>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</si>
  <si>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</si>
  <si>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</si>
  <si>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</si>
  <si>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</si>
  <si>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</si>
  <si>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</si>
  <si>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</si>
  <si>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</si>
  <si>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</si>
  <si>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</si>
  <si>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</si>
  <si>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</si>
  <si>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</si>
  <si>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</si>
  <si>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</si>
  <si>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</si>
  <si>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</si>
  <si>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</si>
  <si>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</si>
  <si>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</si>
  <si>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</si>
  <si>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</si>
  <si>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</si>
  <si>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</si>
  <si>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</si>
  <si>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</si>
  <si>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</si>
  <si>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</si>
  <si>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</si>
  <si>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</si>
  <si>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</si>
  <si>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</si>
  <si>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</si>
  <si>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</si>
  <si>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</si>
  <si>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</si>
  <si>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</si>
  <si>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</si>
  <si>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</si>
  <si>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</si>
  <si>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</si>
  <si>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</si>
  <si>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</si>
  <si>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</si>
  <si>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</si>
  <si>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</si>
  <si>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</si>
  <si>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</si>
  <si>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</si>
  <si>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</si>
  <si>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</si>
  <si>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</si>
  <si>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</si>
  <si>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</si>
  <si>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</si>
  <si>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</si>
  <si>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</si>
  <si>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</si>
  <si>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</si>
  <si>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</si>
  <si>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</si>
  <si>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</si>
  <si>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</si>
  <si>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</si>
  <si>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</si>
  <si>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</si>
  <si>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</si>
  <si>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</si>
  <si>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</si>
  <si>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</si>
  <si>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</si>
  <si>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</si>
  <si>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</si>
  <si>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</si>
  <si>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</si>
  <si>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</si>
  <si>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</si>
  <si>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</si>
  <si>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</si>
  <si>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</si>
  <si>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</si>
  <si>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</si>
  <si>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</si>
  <si>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</si>
  <si>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</si>
  <si>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</si>
  <si>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</si>
  <si>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</si>
  <si>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</si>
  <si>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</si>
  <si>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</si>
  <si>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</si>
  <si>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</si>
  <si>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</si>
  <si>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</si>
  <si>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</si>
  <si>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</si>
  <si>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</si>
  <si>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</si>
  <si>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</si>
  <si>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</si>
  <si>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</si>
  <si>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</si>
  <si>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</si>
  <si>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</si>
  <si>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</si>
  <si>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</si>
  <si>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</si>
  <si>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</si>
  <si>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</si>
  <si>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</si>
  <si>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</si>
  <si>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</si>
  <si>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</si>
  <si>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</si>
  <si>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</si>
  <si>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</si>
  <si>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</si>
  <si>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</si>
  <si>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</si>
  <si>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</si>
  <si>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</si>
  <si>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</si>
  <si>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</si>
  <si>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</si>
  <si>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</si>
  <si>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</si>
  <si>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</si>
  <si>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</si>
  <si>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</si>
  <si>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</si>
  <si>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</si>
  <si>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</si>
  <si>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</si>
  <si>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</si>
  <si>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</si>
  <si>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</si>
  <si>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</si>
  <si>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</si>
  <si>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</si>
  <si>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</si>
  <si>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</si>
  <si>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</si>
  <si>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</si>
  <si>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</si>
  <si>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</si>
  <si>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</si>
  <si>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</si>
  <si>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</si>
  <si>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</si>
  <si>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</si>
  <si>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</si>
  <si>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</si>
  <si>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</si>
  <si>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</si>
  <si>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</si>
  <si>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</si>
  <si>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</si>
  <si>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</si>
  <si>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</si>
  <si>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</si>
  <si>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</si>
  <si>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</si>
  <si>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</si>
  <si>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</si>
  <si>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</si>
  <si>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</si>
  <si>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</si>
  <si>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</si>
  <si>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</si>
  <si>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</si>
  <si>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</si>
  <si>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</si>
  <si>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</si>
  <si>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</si>
  <si>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</si>
  <si>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</si>
  <si>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</si>
  <si>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</si>
  <si>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</si>
  <si>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</si>
  <si>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</si>
  <si>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</si>
  <si>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</si>
  <si>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</si>
  <si>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</si>
  <si>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</si>
  <si>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</si>
  <si>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</si>
  <si>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</si>
  <si>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</si>
  <si>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</si>
  <si>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</si>
  <si>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</si>
  <si>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</si>
  <si>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</si>
  <si>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</si>
  <si>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</si>
  <si>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</si>
  <si>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</si>
  <si>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</si>
  <si>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</si>
  <si>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</si>
  <si>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</si>
  <si>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</si>
  <si>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</si>
  <si>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</si>
  <si>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</si>
  <si>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</si>
  <si>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</si>
  <si>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</si>
  <si>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</si>
  <si>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</si>
  <si>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</si>
  <si>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</si>
  <si>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</si>
  <si>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</si>
  <si>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</si>
  <si>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</si>
  <si>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</si>
  <si>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</si>
  <si>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</si>
  <si>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</si>
  <si>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</si>
  <si>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</si>
  <si>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</si>
  <si>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</si>
  <si>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</si>
  <si>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</si>
  <si>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</si>
  <si>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</si>
  <si>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</si>
  <si>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</si>
  <si>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</si>
  <si>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</si>
  <si>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</si>
  <si>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</si>
  <si>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</si>
  <si>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</si>
  <si>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</si>
  <si>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</si>
  <si>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</si>
  <si>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</si>
  <si>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</si>
  <si>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</si>
  <si>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</si>
  <si>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</si>
  <si>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</si>
  <si>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</si>
  <si>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</si>
  <si>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</si>
  <si>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</si>
  <si>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</si>
  <si>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</si>
  <si>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</si>
  <si>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</si>
  <si>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</si>
  <si>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</si>
  <si>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</si>
  <si>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</si>
  <si>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</si>
  <si>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</si>
  <si>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</si>
  <si>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</si>
  <si>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</si>
  <si>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</si>
  <si>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</si>
  <si>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</si>
  <si>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</si>
  <si>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</si>
  <si>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</si>
  <si>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</si>
  <si>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</si>
  <si>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</si>
  <si>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</si>
  <si>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</si>
  <si>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</si>
  <si>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</si>
  <si>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</si>
  <si>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</si>
  <si>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</si>
  <si>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</si>
  <si>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</si>
  <si>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</si>
  <si>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</si>
  <si>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</si>
  <si>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</si>
  <si>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</si>
  <si>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</si>
  <si>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</si>
  <si>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</si>
  <si>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</si>
  <si>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</si>
  <si>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</si>
  <si>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</si>
  <si>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</si>
  <si>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</si>
  <si>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</si>
  <si>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</si>
  <si>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</si>
  <si>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</si>
  <si>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</si>
  <si>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</si>
  <si>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</si>
  <si>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</si>
  <si>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</si>
  <si>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</si>
  <si>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</si>
  <si>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</si>
  <si>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</si>
  <si>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</si>
  <si>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</si>
  <si>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</si>
  <si>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</si>
  <si>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</si>
  <si>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</si>
  <si>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</si>
  <si>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</si>
  <si>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</si>
  <si>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</si>
  <si>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</si>
  <si>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</si>
  <si>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</si>
  <si>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</si>
  <si>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</si>
  <si>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</si>
  <si>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</si>
  <si>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</si>
  <si>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</si>
  <si>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</si>
  <si>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</si>
  <si>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</si>
  <si>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</si>
  <si>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</si>
  <si>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</si>
  <si>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</si>
  <si>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</si>
  <si>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</si>
  <si>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</si>
  <si>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</si>
  <si>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</si>
  <si>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</si>
  <si>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</si>
  <si>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</si>
  <si>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</si>
  <si>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</si>
  <si>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</si>
  <si>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</si>
  <si>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</si>
  <si>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</si>
  <si>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</si>
  <si>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</si>
  <si>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</si>
  <si>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</si>
  <si>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</si>
  <si>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</si>
  <si>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</si>
  <si>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</si>
  <si>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</si>
  <si>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</si>
  <si>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</si>
  <si>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</si>
  <si>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</si>
  <si>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</si>
  <si>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</si>
  <si>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</si>
  <si>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</si>
  <si>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</si>
  <si>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</si>
  <si>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</si>
  <si>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</si>
  <si>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</si>
  <si>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</si>
  <si>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</si>
  <si>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</si>
  <si>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</si>
  <si>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</si>
  <si>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</si>
  <si>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</si>
  <si>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</si>
  <si>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</si>
  <si>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</si>
  <si>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</si>
  <si>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</si>
  <si>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</si>
  <si>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</si>
  <si>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</si>
  <si>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</si>
  <si>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</si>
  <si>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</si>
  <si>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</si>
  <si>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</si>
  <si>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</si>
  <si>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</si>
  <si>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</si>
  <si>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</si>
  <si>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</si>
  <si>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</si>
  <si>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</si>
  <si>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</si>
  <si>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</si>
  <si>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</si>
  <si>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</si>
  <si>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</si>
  <si>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</si>
  <si>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</si>
  <si>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</si>
  <si>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</si>
  <si>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</si>
  <si>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</si>
  <si>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</si>
  <si>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</si>
  <si>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</si>
  <si>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</si>
  <si>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</si>
  <si>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</si>
  <si>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</si>
  <si>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</si>
  <si>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</si>
  <si>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</si>
  <si>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</si>
  <si>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</si>
  <si>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</si>
  <si>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</si>
  <si>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</si>
  <si>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</si>
  <si>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</si>
  <si>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</si>
  <si>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</si>
  <si>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</si>
  <si>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</si>
  <si>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</si>
  <si>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</si>
  <si>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</si>
  <si>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</si>
  <si>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</si>
  <si>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</si>
  <si>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</si>
  <si>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</si>
  <si>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</si>
  <si>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</si>
  <si>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</si>
  <si>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</si>
  <si>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</si>
  <si>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</si>
  <si>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</si>
  <si>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</si>
  <si>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</si>
  <si>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</si>
  <si>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</si>
  <si>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</si>
  <si>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</si>
  <si>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</si>
  <si>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</si>
  <si>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</si>
  <si>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</si>
  <si>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</si>
  <si>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</si>
  <si>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</si>
  <si>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</si>
  <si>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</si>
  <si>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</si>
  <si>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</si>
  <si>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</si>
  <si>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</si>
  <si>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</si>
  <si>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</si>
  <si>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</si>
  <si>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</si>
  <si>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</si>
  <si>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</si>
  <si>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</si>
  <si>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</si>
  <si>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</si>
  <si>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</si>
  <si>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</si>
  <si>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</si>
  <si>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</si>
  <si>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</si>
  <si>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</si>
  <si>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</si>
  <si>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</si>
  <si>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</si>
  <si>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</si>
  <si>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</si>
  <si>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</si>
  <si>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</si>
  <si>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</si>
  <si>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</si>
  <si>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</si>
  <si>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</si>
  <si>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</si>
  <si>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</si>
  <si>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</si>
  <si>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</si>
  <si>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</si>
  <si>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</si>
  <si>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</si>
  <si>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</si>
  <si>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</si>
  <si>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</si>
  <si>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</si>
  <si>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</si>
  <si>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</si>
  <si>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</si>
  <si>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</si>
  <si>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</si>
  <si>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</si>
  <si>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</si>
  <si>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</si>
  <si>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</si>
  <si>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</si>
  <si>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</si>
  <si>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</si>
  <si>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</si>
  <si>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</si>
  <si>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</si>
  <si>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</si>
  <si>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</si>
  <si>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</si>
  <si>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</si>
  <si>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</si>
  <si>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</si>
  <si>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</si>
  <si>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</si>
  <si>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</si>
  <si>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</si>
  <si>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</si>
  <si>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</si>
  <si>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</si>
  <si>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</si>
  <si>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</si>
  <si>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</si>
  <si>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</si>
  <si>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</si>
  <si>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</si>
  <si>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</si>
  <si>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</si>
  <si>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</si>
  <si>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</si>
  <si>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</si>
  <si>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</si>
  <si>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</si>
  <si>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</si>
  <si>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</si>
  <si>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</si>
  <si>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</si>
  <si>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</si>
  <si>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</si>
  <si>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</si>
  <si>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</si>
  <si>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</si>
  <si>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</si>
  <si>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</si>
  <si>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</si>
  <si>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</si>
  <si>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</si>
  <si>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</si>
  <si>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</si>
  <si>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</si>
  <si>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</si>
  <si>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</si>
  <si>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</si>
  <si>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</si>
  <si>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</si>
  <si>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</si>
  <si>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</si>
  <si>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</si>
  <si>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</si>
  <si>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</si>
  <si>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</si>
  <si>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</si>
  <si>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</si>
  <si>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</si>
  <si>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</si>
  <si>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</si>
  <si>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</si>
  <si>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</si>
  <si>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</si>
  <si>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</si>
  <si>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</si>
  <si>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</si>
  <si>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</si>
  <si>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</si>
  <si>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</si>
  <si>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</si>
  <si>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</si>
  <si>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</si>
  <si>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</si>
  <si>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</si>
  <si>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</si>
  <si>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</si>
  <si>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</si>
  <si>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</si>
  <si>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</si>
  <si>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</si>
  <si>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</si>
  <si>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</si>
  <si>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</si>
  <si>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</si>
  <si>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</si>
  <si>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</si>
  <si>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</si>
  <si>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</si>
  <si>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</si>
  <si>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</si>
  <si>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</si>
  <si>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</si>
  <si>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</si>
  <si>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</si>
  <si>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</si>
  <si>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</si>
  <si>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</si>
  <si>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</si>
  <si>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</si>
  <si>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</si>
  <si>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</si>
  <si>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</si>
  <si>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</si>
  <si>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</si>
  <si>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</si>
  <si>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</si>
  <si>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</si>
  <si>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</si>
  <si>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</si>
  <si>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</si>
  <si>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</si>
  <si>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</si>
  <si>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</si>
  <si>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</si>
  <si>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</si>
  <si>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</si>
  <si>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</si>
  <si>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</si>
  <si>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</si>
  <si>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</si>
  <si>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</si>
  <si>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</si>
  <si>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</si>
  <si>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</si>
  <si>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</si>
  <si>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</si>
  <si>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</si>
  <si>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</si>
  <si>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</si>
  <si>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</si>
  <si>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</si>
  <si>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</si>
  <si>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</si>
  <si>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</si>
  <si>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</si>
  <si>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</si>
  <si>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</si>
  <si>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</si>
  <si>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</si>
  <si>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</si>
  <si>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</si>
  <si>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</si>
  <si>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</si>
  <si>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</si>
  <si>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</si>
  <si>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</si>
  <si>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</si>
  <si>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</si>
  <si>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</si>
  <si>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</si>
  <si>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</si>
  <si>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</si>
  <si>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</si>
  <si>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</si>
  <si>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</si>
  <si>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</si>
  <si>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</si>
  <si>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</si>
  <si>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</si>
  <si>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</si>
  <si>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</si>
  <si>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</si>
  <si>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</si>
  <si>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</si>
  <si>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</si>
  <si>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</si>
  <si>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</si>
  <si>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</si>
  <si>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</si>
  <si>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</si>
  <si>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</si>
  <si>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</si>
  <si>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</si>
  <si>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</si>
  <si>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</si>
  <si>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</si>
  <si>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</si>
  <si>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</si>
  <si>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</si>
  <si>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</si>
  <si>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</si>
  <si>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</si>
  <si>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</si>
  <si>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</si>
  <si>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</si>
  <si>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</si>
  <si>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</si>
  <si>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</si>
  <si>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</si>
  <si>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</si>
  <si>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</si>
  <si>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</si>
  <si>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</si>
  <si>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</si>
  <si>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</si>
  <si>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</si>
  <si>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</si>
  <si>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</si>
  <si>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</si>
  <si>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</si>
  <si>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</si>
  <si>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</si>
  <si>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</si>
  <si>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</si>
  <si>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</si>
  <si>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</si>
  <si>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</si>
  <si>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</si>
  <si>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</si>
  <si>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</si>
  <si>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</si>
  <si>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</si>
  <si>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</si>
  <si>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</si>
  <si>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</si>
  <si>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</si>
  <si>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</si>
  <si>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</si>
  <si>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</si>
  <si>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</si>
  <si>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</si>
  <si>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</si>
  <si>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</si>
  <si>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</si>
  <si>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</si>
  <si>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</si>
  <si>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</si>
  <si>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</si>
  <si>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</si>
  <si>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</si>
  <si>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</si>
  <si>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</si>
  <si>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</si>
  <si>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</si>
  <si>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</si>
  <si>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</si>
  <si>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</si>
  <si>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</si>
  <si>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</si>
  <si>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</si>
  <si>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</si>
  <si>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</si>
  <si>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</si>
  <si>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</si>
  <si>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</si>
  <si>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</si>
  <si>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</si>
  <si>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</si>
  <si>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</si>
  <si>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</si>
  <si>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</si>
  <si>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</si>
  <si>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</si>
  <si>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</si>
  <si>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</si>
  <si>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</si>
  <si>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</si>
  <si>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</si>
  <si>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</si>
  <si>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</si>
  <si>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</si>
  <si>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</si>
  <si>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</si>
  <si>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</si>
  <si>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</si>
  <si>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</si>
  <si>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</si>
  <si>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</si>
  <si>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</si>
  <si>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</si>
  <si>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</si>
  <si>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</si>
  <si>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</si>
  <si>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</si>
  <si>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</si>
  <si>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</si>
  <si>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</si>
  <si>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</si>
  <si>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</si>
  <si>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</si>
  <si>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</si>
  <si>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</si>
  <si>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</si>
  <si>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</si>
  <si>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</si>
  <si>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</si>
  <si>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</si>
  <si>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</si>
  <si>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</si>
  <si>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</si>
  <si>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</si>
  <si>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</si>
  <si>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</si>
  <si>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</si>
  <si>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</si>
  <si>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</si>
  <si>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</si>
  <si>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</si>
  <si>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</si>
  <si>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</si>
  <si>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</si>
  <si>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</si>
  <si>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</si>
  <si>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</si>
  <si>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</si>
  <si>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</si>
  <si>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</si>
  <si>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</si>
  <si>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</si>
  <si>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</si>
  <si>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</si>
  <si>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</si>
  <si>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</si>
  <si>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</si>
  <si>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</si>
  <si>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</si>
  <si>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</si>
  <si>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</si>
  <si>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</si>
  <si>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</si>
  <si>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</si>
  <si>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</si>
  <si>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</si>
  <si>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</si>
  <si>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</si>
  <si>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</si>
  <si>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</si>
  <si>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</si>
  <si>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</si>
  <si>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</si>
  <si>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</si>
  <si>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</si>
  <si>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</si>
  <si>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</si>
  <si>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</si>
  <si>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</si>
  <si>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</si>
  <si>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</si>
  <si>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</si>
  <si>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</si>
  <si>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</si>
  <si>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</si>
  <si>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</si>
  <si>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</si>
  <si>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</si>
  <si>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</si>
  <si>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</si>
  <si>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</si>
  <si>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</si>
  <si>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</si>
  <si>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</si>
  <si>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</si>
  <si>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</si>
  <si>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</si>
  <si>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</si>
  <si>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</si>
  <si>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</si>
  <si>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</si>
  <si>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</si>
  <si>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</si>
  <si>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</si>
  <si>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</si>
  <si>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</si>
  <si>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</si>
  <si>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</si>
  <si>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</si>
  <si>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</si>
  <si>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</si>
  <si>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</si>
  <si>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</si>
  <si>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</si>
  <si>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</si>
  <si>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</si>
  <si>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</si>
  <si>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</si>
  <si>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</si>
  <si>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</si>
  <si>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</si>
  <si>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</si>
  <si>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</si>
  <si>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</si>
  <si>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</si>
  <si>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</si>
  <si>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</si>
  <si>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</si>
  <si>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</si>
  <si>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</si>
  <si>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</si>
  <si>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</si>
  <si>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</si>
  <si>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</si>
  <si>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</si>
  <si>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</si>
  <si>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</si>
  <si>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</si>
  <si>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</si>
  <si>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</si>
  <si>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</si>
  <si>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</si>
  <si>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</si>
  <si>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</si>
  <si>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</si>
  <si>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</si>
  <si>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</si>
  <si>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</si>
  <si>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</si>
  <si>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</si>
  <si>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</si>
  <si>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</si>
  <si>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</si>
  <si>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</si>
  <si>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</si>
  <si>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</si>
  <si>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</si>
  <si>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</si>
  <si>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</si>
  <si>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</si>
  <si>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</si>
  <si>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</si>
  <si>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</si>
  <si>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</si>
  <si>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</si>
  <si>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</si>
  <si>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</si>
  <si>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</si>
  <si>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</si>
  <si>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</si>
  <si>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</si>
  <si>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</si>
  <si>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</si>
  <si>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</si>
  <si>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</si>
  <si>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</si>
  <si>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</si>
  <si>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</si>
  <si>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</si>
  <si>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</si>
  <si>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</si>
  <si>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</si>
  <si>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</si>
  <si>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</si>
  <si>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</si>
  <si>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</si>
  <si>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</si>
  <si>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</si>
  <si>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</si>
  <si>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</si>
  <si>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</si>
  <si>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</si>
  <si>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</si>
  <si>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</si>
  <si>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</si>
  <si>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</si>
  <si>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</si>
  <si>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</si>
  <si>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</si>
  <si>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</si>
  <si>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</si>
  <si>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</si>
  <si>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</si>
  <si>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</si>
  <si>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</si>
  <si>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</si>
  <si>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</si>
  <si>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</si>
  <si>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</si>
  <si>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</si>
  <si>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</si>
  <si>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</si>
  <si>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</si>
  <si>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</si>
  <si>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</si>
  <si>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</si>
  <si>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</si>
  <si>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</si>
  <si>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</si>
  <si>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</si>
  <si>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</si>
  <si>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</si>
  <si>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</si>
  <si>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</si>
  <si>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</si>
  <si>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</si>
  <si>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</si>
  <si>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</si>
  <si>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</si>
  <si>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</si>
  <si>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</si>
  <si>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</si>
  <si>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</si>
  <si>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</si>
  <si>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</si>
  <si>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</si>
  <si>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</si>
  <si>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</si>
  <si>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</si>
  <si>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</si>
  <si>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</si>
  <si>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</si>
  <si>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</si>
  <si>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</si>
  <si>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</si>
  <si>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</si>
  <si>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</si>
  <si>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</si>
  <si>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</si>
  <si>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</si>
  <si>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</si>
  <si>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</si>
  <si>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</si>
  <si>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</si>
  <si>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</si>
  <si>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</si>
  <si>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</si>
  <si>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</si>
  <si>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</si>
  <si>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</si>
  <si>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</si>
  <si>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</si>
  <si>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</si>
  <si>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</si>
  <si>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</si>
  <si>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</si>
  <si>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</si>
  <si>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</si>
  <si>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</si>
  <si>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</si>
  <si>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</si>
  <si>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</si>
  <si>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</si>
  <si>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</si>
  <si>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</si>
  <si>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</si>
  <si>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</si>
  <si>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</si>
  <si>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</si>
  <si>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</si>
  <si>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</si>
  <si>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</si>
  <si>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</si>
  <si>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</si>
  <si>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</si>
  <si>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</si>
  <si>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</si>
  <si>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</si>
  <si>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</si>
  <si>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</si>
  <si>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</si>
  <si>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</si>
  <si>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</si>
  <si>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</si>
  <si>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</si>
  <si>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</si>
  <si>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</si>
  <si>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</si>
  <si>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</si>
  <si>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</si>
  <si>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</si>
  <si>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</si>
  <si>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</si>
  <si>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</si>
  <si>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</si>
  <si>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</si>
  <si>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</si>
  <si>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</si>
  <si>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</si>
  <si>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</si>
  <si>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</si>
  <si>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</si>
  <si>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</si>
  <si>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</si>
  <si>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</si>
  <si>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</si>
  <si>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</si>
  <si>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</si>
  <si>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</si>
  <si>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</si>
  <si>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</si>
  <si>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</si>
  <si>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</si>
  <si>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</si>
  <si>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</si>
  <si>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</si>
  <si>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</si>
  <si>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</si>
  <si>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</si>
  <si>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</si>
  <si>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</si>
  <si>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</si>
  <si>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</si>
  <si>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</si>
  <si>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</si>
  <si>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</si>
  <si>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</si>
  <si>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</si>
  <si>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</si>
  <si>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</si>
  <si>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</si>
  <si>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</si>
  <si>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</si>
  <si>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</si>
  <si>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</si>
  <si>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</si>
  <si>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</si>
  <si>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</si>
  <si>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</si>
  <si>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</si>
  <si>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</si>
  <si>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</si>
  <si>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</si>
  <si>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</si>
  <si>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</si>
  <si>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</si>
  <si>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</si>
  <si>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</si>
  <si>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</si>
  <si>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</si>
  <si>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</si>
  <si>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</si>
  <si>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</si>
  <si>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</si>
  <si>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</si>
  <si>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</si>
  <si>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</si>
  <si>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</si>
  <si>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</si>
  <si>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</si>
  <si>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</si>
  <si>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</si>
  <si>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</si>
  <si>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</si>
  <si>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</si>
  <si>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</si>
  <si>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</si>
  <si>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</si>
  <si>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</si>
  <si>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</si>
  <si>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</si>
  <si>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</si>
  <si>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</si>
  <si>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</si>
  <si>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</si>
  <si>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</si>
  <si>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</si>
  <si>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</si>
  <si>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</si>
  <si>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</si>
  <si>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</si>
  <si>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34-049-0700-02</t>
  </si>
  <si>
    <t>LAKE</t>
  </si>
  <si>
    <t>LIBERTYVILLE SCHOOL DISTRICT NO. 70</t>
  </si>
  <si>
    <t xml:space="preserve">LIBERTYVILLE  </t>
  </si>
  <si>
    <t>Dr. Matt Barbini</t>
  </si>
  <si>
    <t>1381 WEST LAKE STREET</t>
  </si>
  <si>
    <t>847-362-9030</t>
  </si>
  <si>
    <t>847-362-3003</t>
  </si>
  <si>
    <t>EVOY, KAMSCHULTE, JACOBS &amp; CO. LLP</t>
  </si>
  <si>
    <t>John D. Aceto, Jr., CPA</t>
  </si>
  <si>
    <t>2122 Yeoman Street</t>
  </si>
  <si>
    <t>Waukegan</t>
  </si>
  <si>
    <t>IL</t>
  </si>
  <si>
    <t>847-662-8300</t>
  </si>
  <si>
    <t>847-662-8305</t>
  </si>
  <si>
    <t>jaceto@ekjllp.com</t>
  </si>
  <si>
    <t>Evoy, Kamschulte, Jacobs &amp; Co. LLP</t>
  </si>
  <si>
    <t>Capital Leases</t>
  </si>
  <si>
    <t>2011 General Obligation Debt Certificates</t>
  </si>
  <si>
    <t>2017 General Obligation Refunding Bonds</t>
  </si>
  <si>
    <t>2019 General Obligation Tax Debt Certficates</t>
  </si>
  <si>
    <t>2016 General Obligation Limited Tax School Bonds</t>
  </si>
  <si>
    <t>2009 General Obligation Debt Certificates</t>
  </si>
  <si>
    <t>Northern Illinois Health Insurance Pool</t>
  </si>
  <si>
    <t>Collective Liability Insurance Pool</t>
  </si>
  <si>
    <t>ISDLAF</t>
  </si>
  <si>
    <t>Hearing Itinerant Teacher, School Business Offcial</t>
  </si>
  <si>
    <t>Special Education District of Lake County</t>
  </si>
  <si>
    <t>Education Fund</t>
  </si>
  <si>
    <t>Page 11, Line 107, Other Local Revenue, Employee Lap top purchase $29,000; Teacher salary from Gavin Dist $70,131; TRS refund $12,853</t>
  </si>
  <si>
    <t xml:space="preserve">    EBC Refund $7,994; Business Partners conto $1,100; Unclaimed property refund $477</t>
  </si>
  <si>
    <t>Operations Fund</t>
  </si>
  <si>
    <t>Page 11, Line 107 Other Local Revenue, Gas Rebate $8,170, Broken Item reimbursement $3,894</t>
  </si>
  <si>
    <t>Page 168, Other Restricted from State Sources, Maintenance Grant $50,000</t>
  </si>
  <si>
    <t>Bond &amp; Interest Fund</t>
  </si>
  <si>
    <t>Page 18, Line 171, Debt Other, Service Fees $1,900</t>
  </si>
  <si>
    <t>ED-Food Service</t>
  </si>
  <si>
    <t>Chartwells</t>
  </si>
  <si>
    <t>ED-Board of Ed Service</t>
  </si>
  <si>
    <t>CLIC</t>
  </si>
  <si>
    <t>ED-Fiscal Services</t>
  </si>
  <si>
    <t>Flex Print</t>
  </si>
  <si>
    <t>Frontline Technologies</t>
  </si>
  <si>
    <t>Ed-Staff Services</t>
  </si>
  <si>
    <t>OM-Operations Professional Services</t>
  </si>
  <si>
    <t>Access One Inc</t>
  </si>
  <si>
    <t>Graves Design Group</t>
  </si>
  <si>
    <t>TR-Trans Other</t>
  </si>
  <si>
    <t>American Funding Solutions</t>
  </si>
  <si>
    <t>Automated Building Controls</t>
  </si>
  <si>
    <t>Citicare Transportation</t>
  </si>
  <si>
    <t>Lakeside Transportation</t>
  </si>
  <si>
    <t>066-003289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</si>
</sst>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75" fillId="0" borderId="0" xfId="0"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730827</xdr:colOff>
          <xdr:row>3</xdr:row>
          <xdr:rowOff>45893</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F13" sqref="AF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8">
        <f>+'AFR20'!E4</f>
        <v>44119</v>
      </c>
      <c r="C1" s="2038"/>
      <c r="D1" s="2039"/>
      <c r="I1" s="2117" t="s">
        <v>402</v>
      </c>
      <c r="J1" s="2118"/>
      <c r="K1" s="2118"/>
      <c r="L1" s="2118"/>
      <c r="M1" s="2118"/>
      <c r="N1" s="2118"/>
      <c r="O1" s="2118"/>
      <c r="P1" s="2118"/>
      <c r="Q1" s="2118"/>
      <c r="R1" s="2118"/>
      <c r="S1" s="2118"/>
    </row>
    <row r="2" spans="1:32" ht="12" customHeight="1" x14ac:dyDescent="0.2">
      <c r="A2" s="1831" t="str">
        <f>"Due to ISBE on "</f>
        <v xml:space="preserve">Due to ISBE on </v>
      </c>
      <c r="B2" s="2040">
        <f>+'AFR20'!F4</f>
        <v>44151</v>
      </c>
      <c r="C2" s="2040"/>
      <c r="D2" s="2041"/>
      <c r="I2" s="2119" t="s">
        <v>2003</v>
      </c>
      <c r="J2" s="2118"/>
      <c r="K2" s="2118"/>
      <c r="L2" s="2118"/>
      <c r="M2" s="2118"/>
      <c r="N2" s="2118"/>
      <c r="O2" s="2118"/>
      <c r="P2" s="2118"/>
      <c r="Q2" s="2118"/>
      <c r="R2" s="2118"/>
      <c r="S2" s="2118"/>
    </row>
    <row r="3" spans="1:32" ht="12" customHeight="1" x14ac:dyDescent="0.2">
      <c r="A3" s="1834" t="str">
        <f>"SD/JA"&amp;MID('AFR20'!E2,3,2)</f>
        <v>SD/JA20</v>
      </c>
      <c r="B3" s="151"/>
      <c r="C3" s="151"/>
      <c r="D3" s="152"/>
      <c r="I3" s="2119" t="s">
        <v>52</v>
      </c>
      <c r="J3" s="2118"/>
      <c r="K3" s="2118"/>
      <c r="L3" s="2118"/>
      <c r="M3" s="2118"/>
      <c r="N3" s="2118"/>
      <c r="O3" s="2118"/>
      <c r="P3" s="2118"/>
      <c r="Q3" s="2118"/>
      <c r="R3" s="2118"/>
      <c r="S3" s="2118"/>
    </row>
    <row r="4" spans="1:32" ht="12" customHeight="1" x14ac:dyDescent="0.2">
      <c r="A4" s="37"/>
      <c r="I4" s="2119" t="s">
        <v>521</v>
      </c>
      <c r="J4" s="2118"/>
      <c r="K4" s="2118"/>
      <c r="L4" s="2118"/>
      <c r="M4" s="2118"/>
      <c r="N4" s="2118"/>
      <c r="O4" s="2118"/>
      <c r="P4" s="2118"/>
      <c r="Q4" s="2118"/>
      <c r="R4" s="2118"/>
      <c r="S4" s="2118"/>
    </row>
    <row r="5" spans="1:32" ht="14.1" customHeight="1" x14ac:dyDescent="0.2">
      <c r="B5" s="101" t="s">
        <v>2051</v>
      </c>
      <c r="C5" s="26" t="s">
        <v>904</v>
      </c>
      <c r="D5" s="81"/>
      <c r="E5" s="81"/>
      <c r="H5" s="38"/>
      <c r="I5" s="2126" t="s">
        <v>675</v>
      </c>
      <c r="J5" s="2071"/>
      <c r="K5" s="2071"/>
      <c r="L5" s="2071"/>
      <c r="M5" s="2071"/>
      <c r="N5" s="2071"/>
      <c r="O5" s="2071"/>
      <c r="P5" s="2071"/>
      <c r="Q5" s="2071"/>
      <c r="R5" s="2071"/>
      <c r="S5" s="2071"/>
      <c r="AF5" s="1827"/>
    </row>
    <row r="6" spans="1:32" ht="14.1" customHeight="1" x14ac:dyDescent="0.2">
      <c r="B6" s="101"/>
      <c r="C6" s="26" t="s">
        <v>905</v>
      </c>
      <c r="D6" s="81"/>
      <c r="E6" s="81"/>
      <c r="I6" s="2125" t="s">
        <v>877</v>
      </c>
      <c r="J6" s="2071"/>
      <c r="K6" s="2071"/>
      <c r="L6" s="2071"/>
      <c r="M6" s="2071"/>
      <c r="N6" s="2071"/>
      <c r="O6" s="2071"/>
      <c r="P6" s="2071"/>
      <c r="Q6" s="2071"/>
      <c r="R6" s="2071"/>
      <c r="S6" s="2071"/>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669</v>
      </c>
      <c r="J9" s="2123"/>
      <c r="K9" s="2123"/>
      <c r="L9" s="2123"/>
      <c r="M9" s="2123"/>
      <c r="N9" s="2123"/>
      <c r="O9" s="2123"/>
      <c r="P9" s="2123"/>
      <c r="Q9" s="2123"/>
      <c r="R9" s="2123"/>
      <c r="S9" s="2124"/>
      <c r="T9" s="2067" t="s">
        <v>530</v>
      </c>
      <c r="U9" s="2068"/>
      <c r="V9" s="2068"/>
      <c r="W9" s="2068"/>
      <c r="X9" s="2068"/>
      <c r="Y9" s="2068"/>
      <c r="Z9" s="2068"/>
      <c r="AA9" s="2069"/>
    </row>
    <row r="10" spans="1:32" ht="13.5" customHeight="1" x14ac:dyDescent="0.2">
      <c r="A10" s="2076" t="s">
        <v>670</v>
      </c>
      <c r="B10" s="2077"/>
      <c r="C10" s="2077"/>
      <c r="D10" s="2077"/>
      <c r="E10" s="2077"/>
      <c r="F10" s="2077"/>
      <c r="G10" s="2077"/>
      <c r="H10" s="2078"/>
      <c r="I10" s="29"/>
      <c r="J10" s="30"/>
      <c r="K10" s="28"/>
      <c r="R10" s="30"/>
      <c r="S10" s="30"/>
      <c r="T10" s="2070"/>
      <c r="U10" s="2071"/>
      <c r="V10" s="2071"/>
      <c r="W10" s="2071"/>
      <c r="X10" s="2071"/>
      <c r="Y10" s="2071"/>
      <c r="Z10" s="2071"/>
      <c r="AA10" s="2072"/>
    </row>
    <row r="11" spans="1:32" ht="14.25" customHeight="1" x14ac:dyDescent="0.2">
      <c r="A11" s="2079" t="s">
        <v>949</v>
      </c>
      <c r="B11" s="2080"/>
      <c r="C11" s="2080"/>
      <c r="D11" s="2080"/>
      <c r="E11" s="2080"/>
      <c r="F11" s="2080"/>
      <c r="G11" s="2080"/>
      <c r="H11" s="2081"/>
      <c r="I11" s="27"/>
      <c r="J11" s="71"/>
      <c r="K11" s="27"/>
      <c r="O11" s="144" t="s">
        <v>2051</v>
      </c>
      <c r="P11" s="97" t="s">
        <v>199</v>
      </c>
      <c r="Q11" s="30"/>
      <c r="R11" s="28"/>
      <c r="S11" s="27"/>
      <c r="T11" s="2073"/>
      <c r="U11" s="2074"/>
      <c r="V11" s="2074"/>
      <c r="W11" s="2074"/>
      <c r="X11" s="2074"/>
      <c r="Y11" s="2074"/>
      <c r="Z11" s="2074"/>
      <c r="AA11" s="207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7" t="s">
        <v>2052</v>
      </c>
      <c r="B13" s="2088"/>
      <c r="C13" s="2088"/>
      <c r="D13" s="2088"/>
      <c r="E13" s="2088"/>
      <c r="F13" s="2088"/>
      <c r="G13" s="2088"/>
      <c r="H13" s="2089"/>
      <c r="I13" s="31"/>
      <c r="J13" s="30"/>
      <c r="K13" s="28"/>
      <c r="L13" s="30"/>
      <c r="M13" s="30"/>
      <c r="N13" s="30"/>
      <c r="O13" s="30"/>
      <c r="P13" s="30"/>
      <c r="Q13" s="30"/>
      <c r="R13" s="30"/>
      <c r="S13" s="30"/>
      <c r="T13" s="2092" t="s">
        <v>2060</v>
      </c>
      <c r="U13" s="2093"/>
      <c r="V13" s="2093"/>
      <c r="W13" s="2093"/>
      <c r="X13" s="2093"/>
      <c r="Y13" s="2094"/>
      <c r="Z13" s="2094"/>
      <c r="AA13" s="209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5" t="s">
        <v>2053</v>
      </c>
      <c r="B15" s="2090"/>
      <c r="C15" s="2090"/>
      <c r="D15" s="2090"/>
      <c r="E15" s="2090"/>
      <c r="F15" s="2090"/>
      <c r="G15" s="2090"/>
      <c r="H15" s="2091"/>
      <c r="T15" s="2053" t="s">
        <v>2061</v>
      </c>
      <c r="U15" s="2054"/>
      <c r="V15" s="2054"/>
      <c r="W15" s="2054"/>
      <c r="X15" s="2054"/>
      <c r="Y15" s="2096"/>
      <c r="Z15" s="2096"/>
      <c r="AA15" s="209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5" t="s">
        <v>2054</v>
      </c>
      <c r="B17" s="2115"/>
      <c r="C17" s="2115"/>
      <c r="D17" s="2115"/>
      <c r="E17" s="2115"/>
      <c r="F17" s="2115"/>
      <c r="G17" s="2115"/>
      <c r="H17" s="2116"/>
      <c r="T17" s="2102" t="s">
        <v>2062</v>
      </c>
      <c r="U17" s="2103"/>
      <c r="V17" s="2103"/>
      <c r="W17" s="2103"/>
      <c r="X17" s="2103"/>
      <c r="Y17" s="2103"/>
      <c r="Z17" s="2103"/>
      <c r="AA17" s="2104"/>
    </row>
    <row r="18" spans="1:27" ht="13.5" customHeight="1" x14ac:dyDescent="0.2">
      <c r="A18" s="82" t="s">
        <v>527</v>
      </c>
      <c r="B18" s="73"/>
      <c r="C18" s="69"/>
      <c r="D18" s="73"/>
      <c r="E18" s="73"/>
      <c r="F18" s="73"/>
      <c r="G18" s="73"/>
      <c r="H18" s="53"/>
      <c r="I18" s="2112" t="s">
        <v>671</v>
      </c>
      <c r="J18" s="2113"/>
      <c r="K18" s="2113"/>
      <c r="L18" s="2113"/>
      <c r="M18" s="2113"/>
      <c r="N18" s="2113"/>
      <c r="O18" s="2113"/>
      <c r="P18" s="2113"/>
      <c r="Q18" s="2113"/>
      <c r="R18" s="2113"/>
      <c r="S18" s="2114"/>
      <c r="T18" s="82" t="s">
        <v>706</v>
      </c>
      <c r="U18" s="48"/>
      <c r="V18" s="69"/>
      <c r="W18" s="47"/>
      <c r="X18" s="82" t="s">
        <v>264</v>
      </c>
      <c r="Y18" s="78"/>
      <c r="Z18" s="154" t="s">
        <v>672</v>
      </c>
      <c r="AA18" s="44"/>
    </row>
    <row r="19" spans="1:27" ht="13.5" customHeight="1" x14ac:dyDescent="0.2">
      <c r="A19" s="2085" t="s">
        <v>2057</v>
      </c>
      <c r="B19" s="2086"/>
      <c r="C19" s="2086"/>
      <c r="D19" s="2086"/>
      <c r="E19" s="2086"/>
      <c r="F19" s="2086"/>
      <c r="G19" s="2086"/>
      <c r="H19" s="2084"/>
      <c r="I19" s="30"/>
      <c r="J19" s="96"/>
      <c r="K19" s="40"/>
      <c r="L19" s="38"/>
      <c r="M19" s="109" t="s">
        <v>312</v>
      </c>
      <c r="P19" s="27"/>
      <c r="Q19" s="27"/>
      <c r="R19" s="27"/>
      <c r="S19" s="31"/>
      <c r="T19" s="2085" t="s">
        <v>2063</v>
      </c>
      <c r="U19" s="2083"/>
      <c r="V19" s="2083"/>
      <c r="W19" s="2084"/>
      <c r="X19" s="2100" t="s">
        <v>2064</v>
      </c>
      <c r="Y19" s="2101"/>
      <c r="Z19" s="2098">
        <v>60087</v>
      </c>
      <c r="AA19" s="209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2" t="s">
        <v>2055</v>
      </c>
      <c r="B21" s="2083"/>
      <c r="C21" s="2083"/>
      <c r="D21" s="2083"/>
      <c r="E21" s="2083"/>
      <c r="F21" s="2083"/>
      <c r="G21" s="2083"/>
      <c r="H21" s="2084"/>
      <c r="I21" s="2108" t="s">
        <v>673</v>
      </c>
      <c r="J21" s="2071"/>
      <c r="K21" s="2071"/>
      <c r="L21" s="2071"/>
      <c r="M21" s="2071"/>
      <c r="N21" s="2071"/>
      <c r="O21" s="2071"/>
      <c r="P21" s="2071"/>
      <c r="Q21" s="2071"/>
      <c r="R21" s="2071"/>
      <c r="S21" s="2072"/>
      <c r="T21" s="2050" t="s">
        <v>2065</v>
      </c>
      <c r="U21" s="2051"/>
      <c r="V21" s="2051"/>
      <c r="W21" s="2051"/>
      <c r="X21" s="2064" t="s">
        <v>2066</v>
      </c>
      <c r="Y21" s="2065"/>
      <c r="Z21" s="2065"/>
      <c r="AA21" s="2066"/>
    </row>
    <row r="22" spans="1:27" ht="13.5" customHeight="1" x14ac:dyDescent="0.2">
      <c r="A22" s="84" t="s">
        <v>528</v>
      </c>
      <c r="B22" s="56"/>
      <c r="C22" s="56"/>
      <c r="D22" s="56"/>
      <c r="E22" s="56"/>
      <c r="F22" s="56"/>
      <c r="G22" s="56"/>
      <c r="H22" s="57"/>
      <c r="I22" s="2109" t="s">
        <v>1412</v>
      </c>
      <c r="J22" s="2110"/>
      <c r="K22" s="2110"/>
      <c r="L22" s="2110"/>
      <c r="M22" s="2110"/>
      <c r="N22" s="2110"/>
      <c r="O22" s="2110"/>
      <c r="P22" s="2110"/>
      <c r="Q22" s="2110"/>
      <c r="R22" s="2110"/>
      <c r="S22" s="2111"/>
      <c r="T22" s="82" t="s">
        <v>1499</v>
      </c>
      <c r="U22" s="48"/>
      <c r="V22" s="69"/>
      <c r="W22" s="48"/>
      <c r="X22" s="155" t="s">
        <v>1307</v>
      </c>
      <c r="Z22" s="43"/>
      <c r="AA22" s="44"/>
    </row>
    <row r="23" spans="1:27" ht="13.5" customHeight="1" x14ac:dyDescent="0.2">
      <c r="A23" s="2105"/>
      <c r="B23" s="2106"/>
      <c r="C23" s="2106"/>
      <c r="D23" s="2106"/>
      <c r="E23" s="2106"/>
      <c r="F23" s="2106"/>
      <c r="G23" s="2106"/>
      <c r="H23" s="2107"/>
      <c r="T23" s="2045" t="s">
        <v>2104</v>
      </c>
      <c r="U23" s="2046"/>
      <c r="V23" s="2046"/>
      <c r="W23" s="2046"/>
      <c r="X23" s="2061">
        <v>44530</v>
      </c>
      <c r="Y23" s="2062"/>
      <c r="Z23" s="2062"/>
      <c r="AA23" s="2063"/>
    </row>
    <row r="24" spans="1:27" ht="14.1" customHeight="1" x14ac:dyDescent="0.2">
      <c r="A24" s="85" t="s">
        <v>672</v>
      </c>
      <c r="B24" s="46"/>
      <c r="C24" s="46"/>
      <c r="D24" s="46"/>
      <c r="E24" s="46"/>
      <c r="F24" s="46"/>
      <c r="G24" s="46"/>
      <c r="H24" s="58"/>
      <c r="J24" s="2147">
        <f>IF(B5="x",IF(AUDITCHECK!D29="AFR form Incomplete.","",IF(AUDITCHECK!D29="Deficit reduction plan is required.","School District must complete a deficit reduction plan in the 2020-2021 Budget",)),"")</f>
        <v>0</v>
      </c>
      <c r="K24" s="2147"/>
      <c r="L24" s="2147"/>
      <c r="M24" s="2147"/>
      <c r="N24" s="2147"/>
      <c r="O24" s="2147"/>
      <c r="P24" s="2147"/>
      <c r="Q24" s="2147"/>
      <c r="R24" s="2147"/>
      <c r="S24" s="2148"/>
      <c r="T24" s="102" t="s">
        <v>528</v>
      </c>
      <c r="U24" s="103"/>
      <c r="V24" s="103"/>
      <c r="W24" s="103"/>
      <c r="X24" s="104"/>
      <c r="Y24" s="104"/>
      <c r="Z24" s="104"/>
      <c r="AA24" s="105"/>
    </row>
    <row r="25" spans="1:27" ht="14.1" customHeight="1" x14ac:dyDescent="0.2">
      <c r="A25" s="2082">
        <v>60048</v>
      </c>
      <c r="B25" s="2083"/>
      <c r="C25" s="2083"/>
      <c r="D25" s="2083"/>
      <c r="E25" s="2083"/>
      <c r="F25" s="2083"/>
      <c r="G25" s="2083"/>
      <c r="H25" s="2084"/>
      <c r="I25" s="110"/>
      <c r="J25" s="2149"/>
      <c r="K25" s="2149"/>
      <c r="L25" s="2149"/>
      <c r="M25" s="2149"/>
      <c r="N25" s="2149"/>
      <c r="O25" s="2149"/>
      <c r="P25" s="2149"/>
      <c r="Q25" s="2149"/>
      <c r="R25" s="2149"/>
      <c r="S25" s="2150"/>
      <c r="T25" s="2042" t="s">
        <v>2067</v>
      </c>
      <c r="U25" s="2043"/>
      <c r="V25" s="2043"/>
      <c r="W25" s="2043"/>
      <c r="X25" s="2043"/>
      <c r="Y25" s="2043"/>
      <c r="Z25" s="2043"/>
      <c r="AA25" s="204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0" t="s">
        <v>1494</v>
      </c>
      <c r="J27" s="2113"/>
      <c r="K27" s="2113"/>
      <c r="L27" s="2113"/>
      <c r="M27" s="2113"/>
      <c r="N27" s="2113"/>
      <c r="O27" s="2113"/>
      <c r="P27" s="2113"/>
      <c r="Q27" s="2113"/>
      <c r="R27" s="2113"/>
      <c r="S27" s="211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6"/>
      <c r="Q35" s="2083"/>
      <c r="R35" s="208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5" t="s">
        <v>2056</v>
      </c>
      <c r="B38" s="2115"/>
      <c r="C38" s="2115"/>
      <c r="D38" s="2115"/>
      <c r="E38" s="2115"/>
      <c r="F38" s="2083"/>
      <c r="G38" s="2083"/>
      <c r="H38" s="2084"/>
      <c r="I38" s="2134"/>
      <c r="J38" s="2054"/>
      <c r="K38" s="2054"/>
      <c r="L38" s="2054"/>
      <c r="M38" s="2054"/>
      <c r="N38" s="2054"/>
      <c r="O38" s="2054"/>
      <c r="P38" s="2055"/>
      <c r="Q38" s="2055"/>
      <c r="R38" s="2055"/>
      <c r="S38" s="2056"/>
      <c r="T38" s="2053"/>
      <c r="U38" s="2054"/>
      <c r="V38" s="2054"/>
      <c r="W38" s="2054"/>
      <c r="X38" s="2055"/>
      <c r="Y38" s="2055"/>
      <c r="Z38" s="2055"/>
      <c r="AA38" s="2056"/>
    </row>
    <row r="39" spans="1:27" ht="12" customHeight="1" x14ac:dyDescent="0.2">
      <c r="A39" s="2138" t="s">
        <v>528</v>
      </c>
      <c r="B39" s="2139"/>
      <c r="C39" s="69"/>
      <c r="D39" s="66"/>
      <c r="E39" s="66"/>
      <c r="F39" s="76"/>
      <c r="G39" s="66"/>
      <c r="H39" s="53"/>
      <c r="I39" s="2138" t="s">
        <v>528</v>
      </c>
      <c r="J39" s="2139"/>
      <c r="K39" s="2139"/>
      <c r="L39" s="2139"/>
      <c r="M39" s="2139"/>
      <c r="N39" s="64"/>
      <c r="O39" s="69"/>
      <c r="P39" s="69"/>
      <c r="Q39" s="75"/>
      <c r="R39" s="69"/>
      <c r="S39" s="53"/>
      <c r="T39" s="69" t="s">
        <v>528</v>
      </c>
      <c r="U39" s="48"/>
      <c r="V39" s="69"/>
      <c r="W39" s="47"/>
      <c r="X39" s="75"/>
      <c r="Y39" s="43"/>
      <c r="Z39" s="43"/>
      <c r="AA39" s="44"/>
    </row>
    <row r="40" spans="1:27" ht="13.5" customHeight="1" x14ac:dyDescent="0.2">
      <c r="A40" s="2141"/>
      <c r="B40" s="2142"/>
      <c r="C40" s="2143"/>
      <c r="D40" s="2143"/>
      <c r="E40" s="2143"/>
      <c r="F40" s="2144"/>
      <c r="G40" s="2144"/>
      <c r="H40" s="2145"/>
      <c r="I40" s="2057"/>
      <c r="J40" s="2059"/>
      <c r="K40" s="2059"/>
      <c r="L40" s="2059"/>
      <c r="M40" s="2059"/>
      <c r="N40" s="2059"/>
      <c r="O40" s="2059"/>
      <c r="P40" s="2059"/>
      <c r="Q40" s="2059"/>
      <c r="R40" s="2059"/>
      <c r="S40" s="2060"/>
      <c r="T40" s="2057"/>
      <c r="U40" s="2058"/>
      <c r="V40" s="2059"/>
      <c r="W40" s="2059"/>
      <c r="X40" s="2059"/>
      <c r="Y40" s="2059"/>
      <c r="Z40" s="2059"/>
      <c r="AA40" s="206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1" t="s">
        <v>2058</v>
      </c>
      <c r="B42" s="2132"/>
      <c r="C42" s="2133"/>
      <c r="D42" s="2146" t="s">
        <v>2059</v>
      </c>
      <c r="E42" s="2132"/>
      <c r="F42" s="2132"/>
      <c r="G42" s="2132"/>
      <c r="H42" s="2133"/>
      <c r="I42" s="2052"/>
      <c r="J42" s="2048"/>
      <c r="K42" s="2048"/>
      <c r="L42" s="2048"/>
      <c r="M42" s="2048"/>
      <c r="N42" s="2048"/>
      <c r="O42" s="2049"/>
      <c r="P42" s="2047"/>
      <c r="Q42" s="2048"/>
      <c r="R42" s="2048"/>
      <c r="S42" s="2049"/>
      <c r="T42" s="2052"/>
      <c r="U42" s="2048"/>
      <c r="V42" s="2048"/>
      <c r="W42" s="2049"/>
      <c r="X42" s="2047"/>
      <c r="Y42" s="2048"/>
      <c r="Z42" s="2048"/>
      <c r="AA42" s="204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5"/>
      <c r="B44" s="2136"/>
      <c r="C44" s="2136"/>
      <c r="D44" s="2136"/>
      <c r="E44" s="2136"/>
      <c r="F44" s="2136"/>
      <c r="G44" s="2136"/>
      <c r="H44" s="2137"/>
      <c r="I44" s="2127"/>
      <c r="J44" s="2129"/>
      <c r="K44" s="2129"/>
      <c r="L44" s="2129"/>
      <c r="M44" s="2129"/>
      <c r="N44" s="2129"/>
      <c r="O44" s="2129"/>
      <c r="P44" s="2129"/>
      <c r="Q44" s="2129"/>
      <c r="R44" s="2129"/>
      <c r="S44" s="2130"/>
      <c r="T44" s="2127"/>
      <c r="U44" s="2128"/>
      <c r="V44" s="2128"/>
      <c r="W44" s="2128"/>
      <c r="X44" s="2128"/>
      <c r="Y44" s="2128"/>
      <c r="Z44" s="2129"/>
      <c r="AA44" s="213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5" sqref="E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23196864</v>
      </c>
      <c r="C4" s="1722">
        <v>10672190</v>
      </c>
      <c r="D4" s="1723">
        <f>B4-C4</f>
        <v>12524674</v>
      </c>
      <c r="E4" s="1722">
        <v>25618215</v>
      </c>
      <c r="F4" s="1723">
        <f>E4-C4</f>
        <v>14946025</v>
      </c>
    </row>
    <row r="5" spans="1:8" ht="13.7" customHeight="1" x14ac:dyDescent="0.2">
      <c r="A5" s="579" t="s">
        <v>865</v>
      </c>
      <c r="B5" s="1724">
        <f>'Revenues 9-14'!D5</f>
        <v>3356810</v>
      </c>
      <c r="C5" s="1664">
        <v>1559781</v>
      </c>
      <c r="D5" s="1725">
        <f t="shared" ref="D5:D18" si="0">B5-C5</f>
        <v>1797029</v>
      </c>
      <c r="E5" s="1664">
        <v>3744200</v>
      </c>
      <c r="F5" s="1725">
        <f>E5-C5</f>
        <v>2184419</v>
      </c>
    </row>
    <row r="6" spans="1:8" ht="13.7" customHeight="1" x14ac:dyDescent="0.2">
      <c r="A6" s="579" t="s">
        <v>408</v>
      </c>
      <c r="B6" s="1724">
        <f>'Revenues 9-14'!E5</f>
        <v>803713</v>
      </c>
      <c r="C6" s="1664">
        <v>366584</v>
      </c>
      <c r="D6" s="1725">
        <f t="shared" si="0"/>
        <v>437129</v>
      </c>
      <c r="E6" s="1664">
        <v>879971</v>
      </c>
      <c r="F6" s="1725">
        <f t="shared" ref="F6:F18" si="1">E6-C6</f>
        <v>513387</v>
      </c>
    </row>
    <row r="7" spans="1:8" ht="13.7" customHeight="1" x14ac:dyDescent="0.2">
      <c r="A7" s="579" t="s">
        <v>154</v>
      </c>
      <c r="B7" s="1724">
        <f>'Revenues 9-14'!F5</f>
        <v>1094871</v>
      </c>
      <c r="C7" s="1664">
        <v>492563</v>
      </c>
      <c r="D7" s="1725">
        <f t="shared" si="0"/>
        <v>602308</v>
      </c>
      <c r="E7" s="1664">
        <v>1182381</v>
      </c>
      <c r="F7" s="1725">
        <f t="shared" si="1"/>
        <v>689818</v>
      </c>
    </row>
    <row r="8" spans="1:8" ht="13.7" customHeight="1" x14ac:dyDescent="0.2">
      <c r="A8" s="579" t="s">
        <v>1169</v>
      </c>
      <c r="B8" s="1724">
        <f>'Revenues 9-14'!G5</f>
        <v>251661</v>
      </c>
      <c r="C8" s="1664">
        <v>123144</v>
      </c>
      <c r="D8" s="1725">
        <f t="shared" si="0"/>
        <v>128517</v>
      </c>
      <c r="E8" s="1664">
        <v>295604</v>
      </c>
      <c r="F8" s="1725">
        <f t="shared" si="1"/>
        <v>172460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94003</v>
      </c>
      <c r="C10" s="1664">
        <v>41053</v>
      </c>
      <c r="D10" s="1725">
        <f t="shared" si="0"/>
        <v>52950</v>
      </c>
      <c r="E10" s="1664">
        <v>98546</v>
      </c>
      <c r="F10" s="1725">
        <f t="shared" si="1"/>
        <v>57493</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60613</v>
      </c>
      <c r="C14" s="1664">
        <v>26167</v>
      </c>
      <c r="D14" s="1725">
        <f t="shared" si="0"/>
        <v>34446</v>
      </c>
      <c r="E14" s="1664">
        <v>62812</v>
      </c>
      <c r="F14" s="1725">
        <f t="shared" si="1"/>
        <v>36645</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251848</v>
      </c>
      <c r="C16" s="1664">
        <v>123144</v>
      </c>
      <c r="D16" s="1725">
        <f t="shared" si="0"/>
        <v>128704</v>
      </c>
      <c r="E16" s="1664">
        <v>295604</v>
      </c>
      <c r="F16" s="1725">
        <f t="shared" si="1"/>
        <v>172460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29110383</v>
      </c>
      <c r="C19" s="1726">
        <f>SUM(C4:C18)</f>
        <v>13404626</v>
      </c>
      <c r="D19" s="1726">
        <f>SUM(D4:D18)</f>
        <v>15705757</v>
      </c>
      <c r="E19" s="1726">
        <f>SUM(E4:E18)</f>
        <v>32177333</v>
      </c>
      <c r="F19" s="1726">
        <f>SUM(F4:F18)</f>
        <v>18772707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A32" sqref="A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625</v>
      </c>
      <c r="B1" s="2296"/>
      <c r="C1" s="585"/>
    </row>
    <row r="2" spans="1:7" ht="33.75" x14ac:dyDescent="0.2">
      <c r="A2" s="2304" t="s">
        <v>1779</v>
      </c>
      <c r="B2" s="230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8" t="s">
        <v>1104</v>
      </c>
      <c r="B3" s="2309"/>
      <c r="C3" s="2297"/>
      <c r="D3" s="2298"/>
      <c r="E3" s="2298"/>
      <c r="F3" s="2299"/>
    </row>
    <row r="4" spans="1:7" ht="12.75" customHeight="1" thickBot="1" x14ac:dyDescent="0.25">
      <c r="A4" s="2306" t="s">
        <v>626</v>
      </c>
      <c r="B4" s="2307"/>
      <c r="C4" s="1656"/>
      <c r="D4" s="1656"/>
      <c r="E4" s="1656"/>
      <c r="F4" s="1732">
        <f>SUM(C4+D4)-E4</f>
        <v>0</v>
      </c>
    </row>
    <row r="5" spans="1:7" ht="15.75" customHeight="1" thickTop="1" x14ac:dyDescent="0.2">
      <c r="A5" s="2291" t="s">
        <v>1101</v>
      </c>
      <c r="B5" s="2292"/>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3" t="s">
        <v>627</v>
      </c>
      <c r="B15" s="2294"/>
      <c r="C15" s="1732">
        <f>SUM(C6:C14)</f>
        <v>0</v>
      </c>
      <c r="D15" s="1732">
        <f>SUM(D6:D14)</f>
        <v>0</v>
      </c>
      <c r="E15" s="1732">
        <f>SUM(E6:E14)</f>
        <v>0</v>
      </c>
      <c r="F15" s="1732">
        <f>SUM(F6:F14)</f>
        <v>0</v>
      </c>
      <c r="G15" s="473"/>
    </row>
    <row r="16" spans="1:7" s="197" customFormat="1" ht="15.75" customHeight="1" thickTop="1" x14ac:dyDescent="0.2">
      <c r="A16" s="2303" t="s">
        <v>1102</v>
      </c>
      <c r="B16" s="2292"/>
      <c r="C16" s="2300"/>
      <c r="D16" s="2301"/>
      <c r="E16" s="2301"/>
      <c r="F16" s="2302"/>
    </row>
    <row r="17" spans="1:11" ht="12.75" customHeight="1" thickBot="1" x14ac:dyDescent="0.25">
      <c r="A17" s="2316" t="s">
        <v>64</v>
      </c>
      <c r="B17" s="2317"/>
      <c r="C17" s="1733"/>
      <c r="D17" s="1664"/>
      <c r="E17" s="1733"/>
      <c r="F17" s="1732">
        <f>SUM(C17+D17)-E17</f>
        <v>0</v>
      </c>
    </row>
    <row r="18" spans="1:11" ht="12.75" customHeight="1" thickTop="1" thickBot="1" x14ac:dyDescent="0.25">
      <c r="A18" s="2316" t="s">
        <v>6</v>
      </c>
      <c r="B18" s="2317"/>
      <c r="C18" s="1733"/>
      <c r="D18" s="1664"/>
      <c r="E18" s="1733"/>
      <c r="F18" s="1732">
        <f>SUM(C18+D18)-E18</f>
        <v>0</v>
      </c>
    </row>
    <row r="19" spans="1:11" ht="12.75" customHeight="1" thickTop="1" thickBot="1" x14ac:dyDescent="0.25">
      <c r="A19" s="2316" t="s">
        <v>385</v>
      </c>
      <c r="B19" s="2317"/>
      <c r="C19" s="1733"/>
      <c r="D19" s="1664"/>
      <c r="E19" s="1733"/>
      <c r="F19" s="1732">
        <f>SUM(C19+D19)-E19</f>
        <v>0</v>
      </c>
    </row>
    <row r="20" spans="1:11" ht="12.75" customHeight="1" thickTop="1" thickBot="1" x14ac:dyDescent="0.25">
      <c r="A20" s="2316" t="s">
        <v>445</v>
      </c>
      <c r="B20" s="2317"/>
      <c r="C20" s="1733"/>
      <c r="D20" s="1664"/>
      <c r="E20" s="1733"/>
      <c r="F20" s="1732">
        <f>SUM(C20+D20)-E20</f>
        <v>0</v>
      </c>
    </row>
    <row r="21" spans="1:11" ht="14.25" thickTop="1" thickBot="1" x14ac:dyDescent="0.25">
      <c r="A21" s="2293" t="s">
        <v>628</v>
      </c>
      <c r="B21" s="2294"/>
      <c r="C21" s="1732">
        <f>SUM(C17:C20)</f>
        <v>0</v>
      </c>
      <c r="D21" s="1732">
        <f>SUM(D17:D20)</f>
        <v>0</v>
      </c>
      <c r="E21" s="1732">
        <f>SUM(E17:E20)</f>
        <v>0</v>
      </c>
      <c r="F21" s="1732">
        <f>SUM(F17:F20)</f>
        <v>0</v>
      </c>
      <c r="G21" s="473"/>
    </row>
    <row r="22" spans="1:11" ht="15.75" customHeight="1" thickTop="1" x14ac:dyDescent="0.2">
      <c r="A22" s="2318" t="s">
        <v>1103</v>
      </c>
      <c r="B22" s="2292"/>
      <c r="C22" s="2300"/>
      <c r="D22" s="2301"/>
      <c r="E22" s="2301"/>
      <c r="F22" s="2302"/>
    </row>
    <row r="23" spans="1:11" ht="13.5" thickBot="1" x14ac:dyDescent="0.25">
      <c r="A23" s="2306" t="s">
        <v>629</v>
      </c>
      <c r="B23" s="2307"/>
      <c r="C23" s="1656"/>
      <c r="D23" s="1656"/>
      <c r="E23" s="1656"/>
      <c r="F23" s="1732">
        <f>SUM(C23+D23)-E23</f>
        <v>0</v>
      </c>
      <c r="G23" s="473"/>
    </row>
    <row r="24" spans="1:11" ht="15.75" customHeight="1" thickTop="1" x14ac:dyDescent="0.2">
      <c r="A24" s="2318" t="s">
        <v>2006</v>
      </c>
      <c r="B24" s="2292"/>
      <c r="C24" s="2300"/>
      <c r="D24" s="2301"/>
      <c r="E24" s="2301"/>
      <c r="F24" s="2302"/>
    </row>
    <row r="25" spans="1:11" ht="13.5" thickBot="1" x14ac:dyDescent="0.25">
      <c r="A25" s="2306" t="s">
        <v>2007</v>
      </c>
      <c r="B25" s="2307"/>
      <c r="C25" s="1656"/>
      <c r="D25" s="1656"/>
      <c r="E25" s="1656"/>
      <c r="F25" s="1732">
        <f>SUM(C25+D25)-E25</f>
        <v>0</v>
      </c>
      <c r="G25" s="473"/>
    </row>
    <row r="26" spans="1:11" ht="15.75" customHeight="1" thickTop="1" x14ac:dyDescent="0.2">
      <c r="A26" s="2291" t="s">
        <v>652</v>
      </c>
      <c r="B26" s="2292"/>
      <c r="C26" s="589"/>
      <c r="D26" s="589"/>
      <c r="E26" s="589"/>
      <c r="F26" s="590"/>
    </row>
    <row r="27" spans="1:11" ht="13.5" thickBot="1" x14ac:dyDescent="0.25">
      <c r="A27" s="2293" t="s">
        <v>1061</v>
      </c>
      <c r="B27" s="2294"/>
      <c r="C27" s="1664"/>
      <c r="D27" s="1664"/>
      <c r="E27" s="1664"/>
      <c r="F27" s="1732">
        <f>SUM(C27+D27)-E27</f>
        <v>0</v>
      </c>
      <c r="G27" s="473"/>
    </row>
    <row r="28" spans="1:11" ht="7.5" customHeight="1" thickTop="1" x14ac:dyDescent="0.2">
      <c r="A28" s="489"/>
    </row>
    <row r="29" spans="1:11" ht="23.25" customHeight="1" x14ac:dyDescent="0.2">
      <c r="A29" s="2319" t="s">
        <v>578</v>
      </c>
      <c r="B29" s="229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2074</v>
      </c>
      <c r="B31" s="595">
        <v>39934</v>
      </c>
      <c r="C31" s="1734">
        <v>5310000</v>
      </c>
      <c r="D31" s="1735">
        <v>6</v>
      </c>
      <c r="E31" s="1734">
        <v>660000</v>
      </c>
      <c r="F31" s="1734"/>
      <c r="G31" s="1734"/>
      <c r="H31" s="1734">
        <v>660000</v>
      </c>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t="s">
        <v>2070</v>
      </c>
      <c r="B33" s="595">
        <v>40764</v>
      </c>
      <c r="C33" s="1734">
        <v>4270000</v>
      </c>
      <c r="D33" s="1735">
        <v>2</v>
      </c>
      <c r="E33" s="1734">
        <v>980000</v>
      </c>
      <c r="F33" s="1734"/>
      <c r="G33" s="1734"/>
      <c r="H33" s="1734">
        <v>480000</v>
      </c>
      <c r="I33" s="1736">
        <f t="shared" ref="I33:I48" si="1">((E33+F33)-H33)+G33</f>
        <v>500000</v>
      </c>
      <c r="J33" s="1734">
        <v>598262</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t="s">
        <v>2073</v>
      </c>
      <c r="B35" s="595">
        <v>42535</v>
      </c>
      <c r="C35" s="1737">
        <v>6000000</v>
      </c>
      <c r="D35" s="1735">
        <v>1</v>
      </c>
      <c r="E35" s="1737">
        <v>5975000</v>
      </c>
      <c r="F35" s="1737"/>
      <c r="G35" s="1737"/>
      <c r="H35" s="1737"/>
      <c r="I35" s="1736">
        <f t="shared" si="1"/>
        <v>5975000</v>
      </c>
      <c r="J35" s="1737">
        <v>6075992</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t="s">
        <v>2071</v>
      </c>
      <c r="B37" s="595">
        <v>42775</v>
      </c>
      <c r="C37" s="1574">
        <v>5495000</v>
      </c>
      <c r="D37" s="1738">
        <v>3</v>
      </c>
      <c r="E37" s="1574">
        <v>4455000</v>
      </c>
      <c r="F37" s="1574"/>
      <c r="G37" s="1574"/>
      <c r="H37" s="1574">
        <v>505000</v>
      </c>
      <c r="I37" s="1736">
        <f t="shared" si="1"/>
        <v>3950000</v>
      </c>
      <c r="J37" s="1574">
        <v>3724832</v>
      </c>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t="s">
        <v>2072</v>
      </c>
      <c r="B39" s="595">
        <v>43264</v>
      </c>
      <c r="C39" s="1734">
        <v>5460000</v>
      </c>
      <c r="D39" s="1739">
        <v>7</v>
      </c>
      <c r="E39" s="1740">
        <v>5460000</v>
      </c>
      <c r="F39" s="1740"/>
      <c r="G39" s="1740"/>
      <c r="H39" s="1740"/>
      <c r="I39" s="1736">
        <f t="shared" si="1"/>
        <v>5460000</v>
      </c>
      <c r="J39" s="1741">
        <v>5460000</v>
      </c>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t="s">
        <v>2069</v>
      </c>
      <c r="B41" s="595"/>
      <c r="C41" s="1734"/>
      <c r="D41" s="1739">
        <v>7</v>
      </c>
      <c r="E41" s="1740">
        <v>253029</v>
      </c>
      <c r="F41" s="1740"/>
      <c r="G41" s="1740">
        <v>230065</v>
      </c>
      <c r="H41" s="1740">
        <v>211493</v>
      </c>
      <c r="I41" s="1736">
        <f t="shared" si="1"/>
        <v>271601</v>
      </c>
      <c r="J41" s="1741">
        <v>271601</v>
      </c>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26535000</v>
      </c>
      <c r="D49" s="1742"/>
      <c r="E49" s="1736">
        <f t="shared" ref="E49:J49" si="2">SUM(E31:E48)</f>
        <v>17783029</v>
      </c>
      <c r="F49" s="1736">
        <f t="shared" si="2"/>
        <v>0</v>
      </c>
      <c r="G49" s="1736">
        <f t="shared" si="2"/>
        <v>230065</v>
      </c>
      <c r="H49" s="1736">
        <f t="shared" si="2"/>
        <v>1856493</v>
      </c>
      <c r="I49" s="1736">
        <f t="shared" si="2"/>
        <v>16156601</v>
      </c>
      <c r="J49" s="1736">
        <f t="shared" si="2"/>
        <v>16130687</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0" t="s">
        <v>580</v>
      </c>
      <c r="C52" s="2311"/>
      <c r="D52" s="2311"/>
      <c r="E52" s="603" t="s">
        <v>840</v>
      </c>
      <c r="F52" s="2312" t="s">
        <v>2069</v>
      </c>
      <c r="G52" s="2313"/>
      <c r="H52" s="596"/>
      <c r="I52" s="596"/>
      <c r="J52" s="600"/>
    </row>
    <row r="53" spans="1:11" ht="11.25" customHeight="1" x14ac:dyDescent="0.2">
      <c r="A53" s="604" t="s">
        <v>907</v>
      </c>
      <c r="B53" s="605" t="s">
        <v>945</v>
      </c>
      <c r="C53" s="600"/>
      <c r="D53" s="597"/>
      <c r="E53" s="603" t="s">
        <v>494</v>
      </c>
      <c r="F53" s="2314"/>
      <c r="G53" s="2315"/>
      <c r="H53" s="596"/>
      <c r="I53" s="596"/>
      <c r="J53" s="600"/>
    </row>
    <row r="54" spans="1:11" ht="11.25" customHeight="1" x14ac:dyDescent="0.2">
      <c r="A54" s="606" t="s">
        <v>908</v>
      </c>
      <c r="B54" s="601" t="s">
        <v>946</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39" sqref="G3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851</v>
      </c>
      <c r="B1" s="2347"/>
      <c r="C1" s="2347"/>
      <c r="D1" s="2347"/>
      <c r="E1" s="2347"/>
      <c r="F1" s="2347"/>
      <c r="G1" s="2348"/>
      <c r="H1" s="1298"/>
      <c r="I1" s="614"/>
      <c r="J1" s="400"/>
    </row>
    <row r="2" spans="1:11" ht="26.25" x14ac:dyDescent="0.2">
      <c r="A2" s="2323" t="s">
        <v>1658</v>
      </c>
      <c r="B2" s="2324"/>
      <c r="C2" s="2324"/>
      <c r="D2" s="2324"/>
      <c r="E2" s="2325"/>
      <c r="F2" s="615" t="s">
        <v>898</v>
      </c>
      <c r="G2" s="616" t="s">
        <v>1655</v>
      </c>
      <c r="H2" s="616" t="s">
        <v>407</v>
      </c>
      <c r="I2" s="616" t="s">
        <v>1148</v>
      </c>
      <c r="J2" s="616" t="s">
        <v>1789</v>
      </c>
      <c r="K2" s="616" t="s">
        <v>137</v>
      </c>
    </row>
    <row r="3" spans="1:11" x14ac:dyDescent="0.2">
      <c r="A3" s="2326" t="str">
        <f>"Cash Basis Fund Balance as of July 1, "&amp;'AFR20'!E2-1</f>
        <v>Cash Basis Fund Balance as of July 1, 2019</v>
      </c>
      <c r="B3" s="2327"/>
      <c r="C3" s="2327"/>
      <c r="D3" s="2327"/>
      <c r="E3" s="2328"/>
      <c r="F3" s="617"/>
      <c r="G3" s="1744"/>
      <c r="H3" s="1744"/>
      <c r="I3" s="1744"/>
      <c r="J3" s="1745"/>
      <c r="K3" s="1745"/>
    </row>
    <row r="4" spans="1:11" x14ac:dyDescent="0.2">
      <c r="A4" s="2329" t="s">
        <v>366</v>
      </c>
      <c r="B4" s="2330"/>
      <c r="C4" s="2330"/>
      <c r="D4" s="2330"/>
      <c r="E4" s="2311"/>
      <c r="F4" s="620"/>
      <c r="G4" s="1746"/>
      <c r="H4" s="1747"/>
      <c r="I4" s="1746"/>
      <c r="J4" s="1748"/>
      <c r="K4" s="1748"/>
    </row>
    <row r="5" spans="1:11" x14ac:dyDescent="0.2">
      <c r="A5" s="2349" t="s">
        <v>1060</v>
      </c>
      <c r="B5" s="2320"/>
      <c r="C5" s="2320"/>
      <c r="D5" s="2320"/>
      <c r="E5" s="2350"/>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9" t="s">
        <v>1790</v>
      </c>
      <c r="B10" s="2320"/>
      <c r="C10" s="2320"/>
      <c r="D10" s="2320"/>
      <c r="E10" s="2351"/>
      <c r="F10" s="633" t="s">
        <v>857</v>
      </c>
      <c r="G10" s="1753"/>
      <c r="H10" s="1754"/>
      <c r="I10" s="1744"/>
      <c r="J10" s="1745"/>
      <c r="K10" s="1745"/>
    </row>
    <row r="11" spans="1:11" x14ac:dyDescent="0.2">
      <c r="A11" s="2349" t="s">
        <v>159</v>
      </c>
      <c r="B11" s="2320"/>
      <c r="C11" s="2320"/>
      <c r="D11" s="2320"/>
      <c r="E11" s="2350"/>
      <c r="F11" s="622" t="s">
        <v>847</v>
      </c>
      <c r="G11" s="1749"/>
      <c r="H11" s="1744"/>
      <c r="I11" s="1744"/>
      <c r="J11" s="1745"/>
      <c r="K11" s="1751"/>
    </row>
    <row r="12" spans="1:11" ht="13.5" thickBot="1" x14ac:dyDescent="0.25">
      <c r="A12" s="2337" t="s">
        <v>899</v>
      </c>
      <c r="B12" s="2338"/>
      <c r="C12" s="2338"/>
      <c r="D12" s="2338"/>
      <c r="E12" s="2339"/>
      <c r="F12" s="1433"/>
      <c r="G12" s="1755">
        <f>SUM(G5:G11)</f>
        <v>0</v>
      </c>
      <c r="H12" s="1755">
        <f>SUM(H5:H11)</f>
        <v>0</v>
      </c>
      <c r="I12" s="1755">
        <f>SUM(I5:I11)</f>
        <v>0</v>
      </c>
      <c r="J12" s="1755">
        <f>SUM(J5:J11)</f>
        <v>0</v>
      </c>
      <c r="K12" s="1755">
        <f>SUM(K5:K11)</f>
        <v>0</v>
      </c>
    </row>
    <row r="13" spans="1:11" ht="13.5" thickTop="1" x14ac:dyDescent="0.2">
      <c r="A13" s="2331" t="s">
        <v>367</v>
      </c>
      <c r="B13" s="2332"/>
      <c r="C13" s="2332"/>
      <c r="D13" s="2332"/>
      <c r="E13" s="2333"/>
      <c r="F13" s="634"/>
      <c r="G13" s="1756"/>
      <c r="H13" s="1757"/>
      <c r="I13" s="1758"/>
      <c r="J13" s="1758"/>
      <c r="K13" s="1758"/>
    </row>
    <row r="14" spans="1:11" x14ac:dyDescent="0.2">
      <c r="A14" s="2355" t="s">
        <v>453</v>
      </c>
      <c r="B14" s="2355"/>
      <c r="C14" s="2355"/>
      <c r="D14" s="2355"/>
      <c r="E14" s="2356"/>
      <c r="F14" s="635" t="s">
        <v>849</v>
      </c>
      <c r="G14" s="1753"/>
      <c r="H14" s="1744"/>
      <c r="I14" s="1749"/>
      <c r="J14" s="1751"/>
      <c r="K14" s="1745"/>
    </row>
    <row r="15" spans="1:11" x14ac:dyDescent="0.2">
      <c r="A15" s="2320" t="s">
        <v>4</v>
      </c>
      <c r="B15" s="2320"/>
      <c r="C15" s="2320"/>
      <c r="D15" s="2320"/>
      <c r="E15" s="2350"/>
      <c r="F15" s="635" t="s">
        <v>850</v>
      </c>
      <c r="G15" s="1749"/>
      <c r="H15" s="1744"/>
      <c r="I15" s="1744"/>
      <c r="J15" s="1745"/>
      <c r="K15" s="1745"/>
    </row>
    <row r="16" spans="1:11" x14ac:dyDescent="0.2">
      <c r="A16" s="2320" t="s">
        <v>295</v>
      </c>
      <c r="B16" s="2320"/>
      <c r="C16" s="2320"/>
      <c r="D16" s="2320"/>
      <c r="E16" s="2350"/>
      <c r="F16" s="635" t="s">
        <v>917</v>
      </c>
      <c r="G16" s="1750"/>
      <c r="H16" s="1746"/>
      <c r="I16" s="1746"/>
      <c r="J16" s="1748"/>
      <c r="K16" s="1748"/>
    </row>
    <row r="17" spans="1:15" x14ac:dyDescent="0.2">
      <c r="A17" s="2344" t="s">
        <v>929</v>
      </c>
      <c r="B17" s="2344"/>
      <c r="C17" s="2344"/>
      <c r="D17" s="2344"/>
      <c r="E17" s="2345"/>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57" t="s">
        <v>1786</v>
      </c>
      <c r="B19" s="2357"/>
      <c r="C19" s="2357"/>
      <c r="D19" s="2357"/>
      <c r="E19" s="2358"/>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40" t="s">
        <v>633</v>
      </c>
      <c r="B21" s="2340"/>
      <c r="C21" s="2340"/>
      <c r="D21" s="2340"/>
      <c r="E21" s="2340"/>
      <c r="F21" s="1434"/>
      <c r="G21" s="1760"/>
      <c r="H21" s="1764"/>
      <c r="I21" s="1764"/>
      <c r="J21" s="1765">
        <f>SUM(J18:J20)</f>
        <v>0</v>
      </c>
      <c r="K21" s="1761"/>
    </row>
    <row r="22" spans="1:15" ht="13.5" thickTop="1" x14ac:dyDescent="0.2">
      <c r="A22" s="2320" t="s">
        <v>1792</v>
      </c>
      <c r="B22" s="2320"/>
      <c r="C22" s="2320"/>
      <c r="D22" s="2320"/>
      <c r="E22" s="2350"/>
      <c r="F22" s="635" t="s">
        <v>857</v>
      </c>
      <c r="G22" s="1753"/>
      <c r="H22" s="1744"/>
      <c r="I22" s="1744"/>
      <c r="J22" s="1766"/>
      <c r="K22" s="1745"/>
    </row>
    <row r="23" spans="1:15" ht="13.5" thickBot="1" x14ac:dyDescent="0.25">
      <c r="A23" s="2341" t="s">
        <v>900</v>
      </c>
      <c r="B23" s="2340"/>
      <c r="C23" s="2340"/>
      <c r="D23" s="2340"/>
      <c r="E23" s="2340"/>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42" t="str">
        <f>"Ending Cash Basis Fund Balance as of June 30, "&amp;'AFR20'!E2</f>
        <v>Ending Cash Basis Fund Balance as of June 30, 2020</v>
      </c>
      <c r="B24" s="2343"/>
      <c r="C24" s="2343"/>
      <c r="D24" s="2343"/>
      <c r="E24" s="2343"/>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52"/>
      <c r="I31" s="2353"/>
      <c r="J31" s="2353"/>
      <c r="K31" s="2353"/>
    </row>
    <row r="32" spans="1:15" x14ac:dyDescent="0.2">
      <c r="A32" s="649"/>
      <c r="B32" s="232"/>
      <c r="C32" s="232"/>
      <c r="D32" s="232"/>
      <c r="E32" s="645"/>
      <c r="F32" s="651" t="s">
        <v>537</v>
      </c>
      <c r="G32" s="618"/>
      <c r="H32" s="2354"/>
      <c r="I32" s="2353"/>
      <c r="J32" s="2353"/>
      <c r="K32" s="2353"/>
    </row>
    <row r="33" spans="1:11" ht="1.5" customHeight="1" x14ac:dyDescent="0.2">
      <c r="A33" s="652" t="s">
        <v>1159</v>
      </c>
      <c r="B33" s="341"/>
      <c r="C33" s="341"/>
      <c r="D33" s="341"/>
      <c r="E33" s="341"/>
      <c r="F33" s="341"/>
      <c r="G33" s="653"/>
      <c r="H33" s="2354"/>
      <c r="I33" s="2353"/>
      <c r="J33" s="2353"/>
      <c r="K33" s="235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v>77662</v>
      </c>
    </row>
    <row r="37" spans="1:11" x14ac:dyDescent="0.2">
      <c r="A37" s="660" t="s">
        <v>890</v>
      </c>
      <c r="B37" s="658"/>
      <c r="C37" s="658"/>
      <c r="D37" s="658"/>
      <c r="E37" s="658"/>
      <c r="F37" s="659"/>
      <c r="G37" s="619"/>
    </row>
    <row r="38" spans="1:11" x14ac:dyDescent="0.2">
      <c r="A38" s="660" t="s">
        <v>986</v>
      </c>
      <c r="B38" s="658"/>
      <c r="C38" s="658"/>
      <c r="D38" s="658"/>
      <c r="E38" s="658"/>
      <c r="F38" s="659"/>
      <c r="G38" s="619">
        <v>86802</v>
      </c>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0" t="s">
        <v>538</v>
      </c>
      <c r="B41" s="2321"/>
      <c r="C41" s="2321"/>
      <c r="D41" s="2321"/>
      <c r="E41" s="2321"/>
      <c r="F41" s="232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313824</v>
      </c>
      <c r="D5" s="1770"/>
      <c r="E5" s="1770"/>
      <c r="F5" s="1765">
        <f>(C5+D5)-E5</f>
        <v>313824</v>
      </c>
      <c r="G5" s="676"/>
      <c r="H5" s="680"/>
      <c r="I5" s="680"/>
      <c r="J5" s="680"/>
      <c r="K5" s="637"/>
      <c r="L5" s="1442">
        <f>F5-K5</f>
        <v>313824</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63346577</v>
      </c>
      <c r="D8" s="1771">
        <v>6195084</v>
      </c>
      <c r="E8" s="1771"/>
      <c r="F8" s="1765">
        <f>(C8+D8)-E8</f>
        <v>69541661</v>
      </c>
      <c r="G8" s="681">
        <v>50</v>
      </c>
      <c r="H8" s="619">
        <v>16874316</v>
      </c>
      <c r="I8" s="619">
        <v>1328883</v>
      </c>
      <c r="J8" s="619"/>
      <c r="K8" s="1442">
        <f>(H8+I8)-J8</f>
        <v>18203199</v>
      </c>
      <c r="L8" s="1442">
        <f>F8-K8</f>
        <v>51338462</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1781874</v>
      </c>
      <c r="D10" s="1772">
        <v>20628</v>
      </c>
      <c r="E10" s="1772"/>
      <c r="F10" s="1773">
        <f>(C10+D10)-E10</f>
        <v>1802502</v>
      </c>
      <c r="G10" s="681">
        <v>20</v>
      </c>
      <c r="H10" s="683">
        <v>948747</v>
      </c>
      <c r="I10" s="683">
        <v>61862</v>
      </c>
      <c r="J10" s="683"/>
      <c r="K10" s="1442">
        <f>(H10+I10)-J10</f>
        <v>1010609</v>
      </c>
      <c r="L10" s="1442">
        <f>F10-K10</f>
        <v>791893</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13963730</v>
      </c>
      <c r="D12" s="1771">
        <f>322290+230065</f>
        <v>552355</v>
      </c>
      <c r="E12" s="1771"/>
      <c r="F12" s="1765">
        <f>(C12+D12)-E12</f>
        <v>14516085</v>
      </c>
      <c r="G12" s="681">
        <v>10</v>
      </c>
      <c r="H12" s="619">
        <v>11215083</v>
      </c>
      <c r="I12" s="619">
        <f>378214+4655+254882</f>
        <v>637751</v>
      </c>
      <c r="J12" s="619"/>
      <c r="K12" s="1442">
        <f>(H12+I12)-J12</f>
        <v>11852834</v>
      </c>
      <c r="L12" s="1442">
        <f>F12-K12</f>
        <v>2663251</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79406005</v>
      </c>
      <c r="D16" s="1765">
        <f>SUM(D3,D5:D6,D8:D10,D12:D15)</f>
        <v>6768067</v>
      </c>
      <c r="E16" s="1765">
        <f>SUM(E3,E5:E6,E8:E10,E12:E15)</f>
        <v>0</v>
      </c>
      <c r="F16" s="1765">
        <f>SUM(F3,F5:F6,F8:F10,F12:F15)</f>
        <v>86174072</v>
      </c>
      <c r="G16" s="681"/>
      <c r="H16" s="1435">
        <f>SUM(H3,H6,H8:H10,H12:H14,)</f>
        <v>29038146</v>
      </c>
      <c r="I16" s="1435">
        <f>SUM(I3,I6,I8:I10,I12:I14,)</f>
        <v>2028496</v>
      </c>
      <c r="J16" s="1435">
        <f>SUM(J3,J6,J8:J10,J12:J14,)</f>
        <v>0</v>
      </c>
      <c r="K16" s="1435">
        <f>(H16+I16)-J16</f>
        <v>31066642</v>
      </c>
      <c r="L16" s="1435">
        <f>F16-K16</f>
        <v>55107430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2028496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0"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29540949</v>
      </c>
      <c r="G8" s="701"/>
    </row>
    <row r="9" spans="1:9" x14ac:dyDescent="0.2">
      <c r="A9" s="705" t="s">
        <v>457</v>
      </c>
      <c r="B9" s="706" t="s">
        <v>1848</v>
      </c>
      <c r="C9" s="707"/>
      <c r="D9" s="705" t="s">
        <v>498</v>
      </c>
      <c r="E9" s="704"/>
      <c r="F9" s="1775">
        <f>'Expenditures 15-22'!K151</f>
        <v>2929232</v>
      </c>
      <c r="G9" s="708"/>
    </row>
    <row r="10" spans="1:9" x14ac:dyDescent="0.2">
      <c r="A10" s="705" t="s">
        <v>496</v>
      </c>
      <c r="B10" s="706" t="s">
        <v>1849</v>
      </c>
      <c r="C10" s="707"/>
      <c r="D10" s="705" t="s">
        <v>498</v>
      </c>
      <c r="E10" s="704"/>
      <c r="F10" s="1775">
        <f>'Expenditures 15-22'!K174</f>
        <v>2504668</v>
      </c>
      <c r="G10" s="708"/>
    </row>
    <row r="11" spans="1:9" x14ac:dyDescent="0.2">
      <c r="A11" s="705" t="s">
        <v>458</v>
      </c>
      <c r="B11" s="706" t="s">
        <v>1850</v>
      </c>
      <c r="C11" s="707"/>
      <c r="D11" s="705" t="s">
        <v>498</v>
      </c>
      <c r="E11" s="704"/>
      <c r="F11" s="1775">
        <f>'Expenditures 15-22'!K210</f>
        <v>2204111</v>
      </c>
      <c r="G11" s="708"/>
    </row>
    <row r="12" spans="1:9" x14ac:dyDescent="0.2">
      <c r="A12" s="705" t="s">
        <v>459</v>
      </c>
      <c r="B12" s="706" t="s">
        <v>1851</v>
      </c>
      <c r="C12" s="707"/>
      <c r="D12" s="705" t="s">
        <v>498</v>
      </c>
      <c r="E12" s="704"/>
      <c r="F12" s="1775">
        <f>'Expenditures 15-22'!K295</f>
        <v>984398</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38163358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461423</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142376</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168045</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279041</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66273</v>
      </c>
      <c r="G52" s="701"/>
    </row>
    <row r="53" spans="1:7" x14ac:dyDescent="0.2">
      <c r="A53" s="705" t="s">
        <v>456</v>
      </c>
      <c r="B53" s="705" t="s">
        <v>1458</v>
      </c>
      <c r="C53" s="724">
        <f>'Expenditures 15-22'!B102</f>
        <v>4000</v>
      </c>
      <c r="D53" s="723" t="str">
        <f>'Expenditures 15-22'!A102</f>
        <v>Total Payments to Other Govt Units</v>
      </c>
      <c r="E53" s="704"/>
      <c r="F53" s="1782">
        <f>'Expenditures 15-22'!K102</f>
        <v>454886</v>
      </c>
      <c r="G53" s="701"/>
    </row>
    <row r="54" spans="1:7" x14ac:dyDescent="0.2">
      <c r="A54" s="705" t="s">
        <v>456</v>
      </c>
      <c r="B54" s="705" t="s">
        <v>1459</v>
      </c>
      <c r="C54" s="724" t="s">
        <v>975</v>
      </c>
      <c r="D54" s="720" t="s">
        <v>1086</v>
      </c>
      <c r="E54" s="704"/>
      <c r="F54" s="1782">
        <f>'Expenditures 15-22'!G114</f>
        <v>360341</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104716</v>
      </c>
      <c r="G57" s="701"/>
    </row>
    <row r="58" spans="1:7" x14ac:dyDescent="0.2">
      <c r="A58" s="705" t="s">
        <v>457</v>
      </c>
      <c r="B58" s="705" t="s">
        <v>1854</v>
      </c>
      <c r="C58" s="721" t="s">
        <v>975</v>
      </c>
      <c r="D58" s="720" t="s">
        <v>1086</v>
      </c>
      <c r="E58" s="704"/>
      <c r="F58" s="1784">
        <f>'Expenditures 15-22'!G151</f>
        <v>314061</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1856493</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1615</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5736</v>
      </c>
      <c r="G71" s="701"/>
    </row>
    <row r="72" spans="1:9" x14ac:dyDescent="0.2">
      <c r="A72" s="705" t="s">
        <v>459</v>
      </c>
      <c r="B72" s="705" t="s">
        <v>1867</v>
      </c>
      <c r="C72" s="721">
        <f>'Expenditures 15-22'!B280</f>
        <v>3000</v>
      </c>
      <c r="D72" s="712" t="s">
        <v>446</v>
      </c>
      <c r="E72" s="704"/>
      <c r="F72" s="1782">
        <f>'Expenditures 15-22'!K280</f>
        <v>287</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67935</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4283228</v>
      </c>
      <c r="G77" s="701"/>
    </row>
    <row r="78" spans="1:9" s="728" customFormat="1" ht="12" customHeight="1" thickTop="1" thickBot="1" x14ac:dyDescent="0.25">
      <c r="A78" s="1450"/>
      <c r="B78" s="1448"/>
      <c r="C78" s="1445"/>
      <c r="D78" s="1449" t="s">
        <v>2012</v>
      </c>
      <c r="E78" s="1447"/>
      <c r="F78" s="1788">
        <f>(F14-F77)</f>
        <v>33880130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2262.1999999999998</v>
      </c>
      <c r="G79" s="733"/>
      <c r="H79" s="705"/>
      <c r="I79" s="705"/>
    </row>
    <row r="80" spans="1:9" s="728" customFormat="1" ht="12" customHeight="1" thickBot="1" x14ac:dyDescent="0.25">
      <c r="A80" s="1452"/>
      <c r="B80" s="1448"/>
      <c r="C80" s="1445"/>
      <c r="D80" s="1449" t="s">
        <v>2013</v>
      </c>
      <c r="E80" s="1447" t="s">
        <v>952</v>
      </c>
      <c r="F80" s="1790">
        <f>IF(F79&gt;0,F78/F79," Complete Line 79")</f>
        <v>14976.628945274513</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2550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289548</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255636</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55623</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120910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720278</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50000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78460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9246</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10388</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9016</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29036</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63245</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764110.4</v>
      </c>
      <c r="G172" s="760"/>
    </row>
    <row r="173" spans="1:7" x14ac:dyDescent="0.2">
      <c r="A173" s="1529" t="s">
        <v>659</v>
      </c>
      <c r="B173" s="1530" t="s">
        <v>1885</v>
      </c>
      <c r="C173" s="1531">
        <v>3300</v>
      </c>
      <c r="D173" s="1532" t="s">
        <v>1888</v>
      </c>
      <c r="E173" s="739"/>
      <c r="F173" s="1794">
        <v>61.33</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2458107.73</v>
      </c>
    </row>
    <row r="176" spans="1:7" ht="12" customHeight="1" x14ac:dyDescent="0.2">
      <c r="A176" s="1443"/>
      <c r="B176" s="1453"/>
      <c r="C176" s="1454"/>
      <c r="D176" s="1455" t="s">
        <v>2014</v>
      </c>
      <c r="E176" s="1456"/>
      <c r="F176" s="1793">
        <f>'PCTC-OEPP 27-28'!F78-F175</f>
        <v>31422022.27</v>
      </c>
    </row>
    <row r="177" spans="1:9" ht="12" customHeight="1" x14ac:dyDescent="0.2">
      <c r="A177" s="1443"/>
      <c r="B177" s="1453"/>
      <c r="C177" s="1454"/>
      <c r="D177" s="1455" t="s">
        <v>1794</v>
      </c>
      <c r="E177" s="1456"/>
      <c r="F177" s="1793">
        <f>'Cap Outlay Deprec 26'!I18</f>
        <v>2028496</v>
      </c>
    </row>
    <row r="178" spans="1:9" ht="12" customHeight="1" x14ac:dyDescent="0.2">
      <c r="A178" s="1443"/>
      <c r="B178" s="1453"/>
      <c r="C178" s="1454"/>
      <c r="D178" s="1455" t="s">
        <v>2015</v>
      </c>
      <c r="E178" s="1456"/>
      <c r="F178" s="1793">
        <f>F176+F177</f>
        <v>33450518.27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2262.1999999999998</v>
      </c>
      <c r="G179" s="763"/>
      <c r="I179" s="701"/>
    </row>
    <row r="180" spans="1:9" ht="12" customHeight="1" thickBot="1" x14ac:dyDescent="0.25">
      <c r="A180" s="1443"/>
      <c r="B180" s="1457"/>
      <c r="C180" s="1454"/>
      <c r="D180" s="1455" t="s">
        <v>2017</v>
      </c>
      <c r="E180" s="1456" t="s">
        <v>1528</v>
      </c>
      <c r="F180" s="1798">
        <f>F178/F179</f>
        <v>14786.720126425604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D28" sqref="D28"/>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2088</v>
      </c>
      <c r="B18" s="1908">
        <v>102560300</v>
      </c>
      <c r="C18" s="2037" t="s">
        <v>2089</v>
      </c>
      <c r="D18" s="1886">
        <v>371294</v>
      </c>
      <c r="E18" s="1906" t="str">
        <f t="shared" ref="E18:E81" si="0">IF(D18&lt;25000,D18,"25,000")</f>
        <v>25,000</v>
      </c>
      <c r="F18" s="1906">
        <f t="shared" ref="F18:F81" si="1">IF(D18&gt;=25000,(D18-E18),"0")</f>
        <v>346294</v>
      </c>
      <c r="G18" s="1887"/>
    </row>
    <row r="19" spans="1:7" x14ac:dyDescent="0.25">
      <c r="A19" s="2036" t="s">
        <v>2090</v>
      </c>
      <c r="B19" s="1908">
        <v>102300300</v>
      </c>
      <c r="C19" s="2037" t="s">
        <v>2091</v>
      </c>
      <c r="D19" s="1886">
        <v>164464</v>
      </c>
      <c r="E19" s="1906" t="str">
        <f t="shared" si="0"/>
        <v>25,000</v>
      </c>
      <c r="F19" s="1906">
        <f t="shared" si="1"/>
        <v>139464</v>
      </c>
    </row>
    <row r="20" spans="1:7" x14ac:dyDescent="0.25">
      <c r="A20" s="2036" t="s">
        <v>2092</v>
      </c>
      <c r="B20" s="1908">
        <v>102520300</v>
      </c>
      <c r="C20" s="2037" t="s">
        <v>2093</v>
      </c>
      <c r="D20" s="1886">
        <v>123950</v>
      </c>
      <c r="E20" s="1906" t="str">
        <f t="shared" si="0"/>
        <v>25,000</v>
      </c>
      <c r="F20" s="1906">
        <f t="shared" si="1"/>
        <v>98950</v>
      </c>
    </row>
    <row r="21" spans="1:7" x14ac:dyDescent="0.25">
      <c r="A21" s="2036" t="s">
        <v>2095</v>
      </c>
      <c r="B21" s="1908">
        <v>102640300</v>
      </c>
      <c r="C21" s="2037" t="s">
        <v>2094</v>
      </c>
      <c r="D21" s="1886">
        <v>31246</v>
      </c>
      <c r="E21" s="1906" t="str">
        <f t="shared" si="0"/>
        <v>25,000</v>
      </c>
      <c r="F21" s="1906">
        <f t="shared" si="1"/>
        <v>6246</v>
      </c>
    </row>
    <row r="22" spans="1:7" x14ac:dyDescent="0.25">
      <c r="A22" s="2036" t="s">
        <v>2096</v>
      </c>
      <c r="B22" s="1908">
        <v>202540300</v>
      </c>
      <c r="C22" s="2037" t="s">
        <v>2097</v>
      </c>
      <c r="D22" s="1886">
        <v>63363</v>
      </c>
      <c r="E22" s="1906" t="str">
        <f t="shared" si="0"/>
        <v>25,000</v>
      </c>
      <c r="F22" s="1906">
        <f t="shared" si="1"/>
        <v>38363</v>
      </c>
    </row>
    <row r="23" spans="1:7" x14ac:dyDescent="0.25">
      <c r="A23" s="2036" t="s">
        <v>2096</v>
      </c>
      <c r="B23" s="1908">
        <v>202540300</v>
      </c>
      <c r="C23" s="2037" t="s">
        <v>2098</v>
      </c>
      <c r="D23" s="1886">
        <v>169659</v>
      </c>
      <c r="E23" s="1906" t="str">
        <f t="shared" si="0"/>
        <v>25,000</v>
      </c>
      <c r="F23" s="1906">
        <f t="shared" si="1"/>
        <v>144659</v>
      </c>
    </row>
    <row r="24" spans="1:7" x14ac:dyDescent="0.25">
      <c r="A24" s="2036" t="s">
        <v>2099</v>
      </c>
      <c r="B24" s="1908">
        <v>402550300</v>
      </c>
      <c r="C24" s="2037" t="s">
        <v>2100</v>
      </c>
      <c r="D24" s="1886">
        <v>90740</v>
      </c>
      <c r="E24" s="1906" t="str">
        <f t="shared" si="0"/>
        <v>25,000</v>
      </c>
      <c r="F24" s="1906">
        <f t="shared" si="1"/>
        <v>65740</v>
      </c>
    </row>
    <row r="25" spans="1:7" x14ac:dyDescent="0.25">
      <c r="A25" s="2036" t="s">
        <v>2096</v>
      </c>
      <c r="B25" s="1908">
        <v>202540300</v>
      </c>
      <c r="C25" s="2037" t="s">
        <v>2101</v>
      </c>
      <c r="D25" s="1886">
        <v>70811</v>
      </c>
      <c r="E25" s="1906" t="str">
        <f t="shared" si="0"/>
        <v>25,000</v>
      </c>
      <c r="F25" s="1906">
        <f t="shared" si="1"/>
        <v>45811</v>
      </c>
    </row>
    <row r="26" spans="1:7" x14ac:dyDescent="0.25">
      <c r="A26" s="2036" t="s">
        <v>2099</v>
      </c>
      <c r="B26" s="1908">
        <v>402550300</v>
      </c>
      <c r="C26" s="2037" t="s">
        <v>2102</v>
      </c>
      <c r="D26" s="1886">
        <v>81259</v>
      </c>
      <c r="E26" s="1906" t="str">
        <f t="shared" si="0"/>
        <v>25,000</v>
      </c>
      <c r="F26" s="1906">
        <f t="shared" si="1"/>
        <v>56259</v>
      </c>
    </row>
    <row r="27" spans="1:7" x14ac:dyDescent="0.25">
      <c r="A27" s="2036" t="s">
        <v>2099</v>
      </c>
      <c r="B27" s="1908">
        <v>402550300</v>
      </c>
      <c r="C27" s="2037" t="s">
        <v>2103</v>
      </c>
      <c r="D27" s="1886">
        <v>1497790</v>
      </c>
      <c r="E27" s="1906" t="str">
        <f t="shared" si="0"/>
        <v>25,000</v>
      </c>
      <c r="F27" s="1906">
        <f t="shared" si="1"/>
        <v>1472790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2664576</v>
      </c>
      <c r="E142" s="1893">
        <f>SUM(E18:E141)</f>
        <v>0</v>
      </c>
      <c r="F142" s="1894">
        <f>SUM(F18:F141)</f>
        <v>2414576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380966</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19588094</v>
      </c>
      <c r="F19" s="1802"/>
      <c r="G19" s="1804">
        <f>'Expenditures 15-22'!K33-SUM('Expenditures 15-22'!G33,'Expenditures 15-22'!I33)+'Expenditures 15-22'!D229</f>
        <v>19588094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2733792</v>
      </c>
      <c r="F21" s="1805"/>
      <c r="G21" s="1808">
        <f>'Expenditures 15-22'!K42-SUM('Expenditures 15-22'!G42,'Expenditures 15-22'!I42)+'Expenditures 15-22'!K120-SUM('Expenditures 15-22'!G120,'Expenditures 15-22'!I120)+'Expenditures 15-22'!K180-SUM('Expenditures 15-22'!G180,'Expenditures 15-22'!I180)+'Expenditures 15-22'!D238</f>
        <v>2733792</v>
      </c>
      <c r="H21" s="817"/>
      <c r="I21" s="157"/>
    </row>
    <row r="22" spans="1:9" s="542" customFormat="1" ht="12" customHeight="1" x14ac:dyDescent="0.2">
      <c r="A22" s="824" t="s">
        <v>560</v>
      </c>
      <c r="B22" s="825"/>
      <c r="C22" s="823">
        <v>2200</v>
      </c>
      <c r="D22" s="1805"/>
      <c r="E22" s="1807">
        <f>'Expenditures 15-22'!K47-SUM('Expenditures 15-22'!G47,'Expenditures 15-22'!I47)+'Expenditures 15-22'!D243</f>
        <v>1552371</v>
      </c>
      <c r="F22" s="1805"/>
      <c r="G22" s="1808">
        <f>'Expenditures 15-22'!K47-SUM('Expenditures 15-22'!G47,'Expenditures 15-22'!I47)+'Expenditures 15-22'!D243</f>
        <v>1552371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888294</v>
      </c>
      <c r="F23" s="1805"/>
      <c r="G23" s="1807">
        <f>'Expenditures 15-22'!K53-SUM('Expenditures 15-22'!G53,'Expenditures 15-22'!I53)+'Expenditures 15-22'!D257+'Expenditures 15-22'!K330-SUM('Expenditures 15-22'!G330,'Expenditures 15-22'!I330)</f>
        <v>888294</v>
      </c>
      <c r="H23" s="817"/>
      <c r="I23" s="157"/>
    </row>
    <row r="24" spans="1:9" s="542" customFormat="1" ht="12" customHeight="1" x14ac:dyDescent="0.2">
      <c r="A24" s="824" t="s">
        <v>562</v>
      </c>
      <c r="B24" s="825"/>
      <c r="C24" s="823">
        <v>2400</v>
      </c>
      <c r="D24" s="1805"/>
      <c r="E24" s="1807">
        <f>'Expenditures 15-22'!K57-SUM('Expenditures 15-22'!G57,'Expenditures 15-22'!I57)+'Expenditures 15-22'!D261</f>
        <v>1499243</v>
      </c>
      <c r="F24" s="1805"/>
      <c r="G24" s="1808">
        <f>'Expenditures 15-22'!K57-SUM('Expenditures 15-22'!G57,'Expenditures 15-22'!I57)+'Expenditures 15-22'!D261</f>
        <v>1499243</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409355</v>
      </c>
      <c r="E26" s="1807">
        <f>'Expenditures 15-22'!K122-SUM('Expenditures 15-22'!G122,'Expenditures 15-22'!I122)+E7</f>
        <v>0</v>
      </c>
      <c r="F26" s="1807">
        <f>'Expenditures 15-22'!K59-SUM('Expenditures 15-22'!G59,'Expenditures 15-22'!I59)+'Expenditures 15-22'!D263-E7</f>
        <v>409355</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427249</v>
      </c>
      <c r="E27" s="1807">
        <f>E8</f>
        <v>0</v>
      </c>
      <c r="F27" s="1807">
        <f>'Expenditures 15-22'!K60-SUM('Expenditures 15-22'!G60,'Expenditures 15-22'!I60)+'Expenditures 15-22'!D264-E8</f>
        <v>427249</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2708410</v>
      </c>
      <c r="F28" s="1809">
        <f>'Expenditures 15-22'!K61-SUM('Expenditures 15-22'!G61,'Expenditures 15-22'!I61)+'Expenditures 15-22'!K124-SUM('Expenditures 15-22'!G124,'Expenditures 15-22'!I124)+'Expenditures 15-22'!D266-E9</f>
        <v>2708410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2204111</v>
      </c>
      <c r="F29" s="1805"/>
      <c r="G29" s="1808">
        <f>'Expenditures 15-22'!K62-SUM('Expenditures 15-22'!G62,'Expenditures 15-22'!I62)+'Expenditures 15-22'!K125-SUM('Expenditures 15-22'!G125,'Expenditures 15-22'!I125)+'Expenditures 15-22'!K182-SUM('Expenditures 15-22'!G182,'Expenditures 15-22'!I182)+'Expenditures 15-22'!D267</f>
        <v>2204111</v>
      </c>
      <c r="H29" s="815"/>
    </row>
    <row r="30" spans="1:9" ht="12" customHeight="1" x14ac:dyDescent="0.2">
      <c r="A30" s="824" t="s">
        <v>100</v>
      </c>
      <c r="B30" s="827"/>
      <c r="C30" s="823">
        <v>2560</v>
      </c>
      <c r="D30" s="1805"/>
      <c r="E30" s="1807">
        <f>'Expenditures 15-22'!K63-SUM('Expenditures 15-22'!G63,'Expenditures 15-22'!I63)+'Expenditures 15-22'!D268-E10</f>
        <v>149798</v>
      </c>
      <c r="F30" s="1805"/>
      <c r="G30" s="1807">
        <f>'Expenditures 15-22'!K63-SUM('Expenditures 15-22'!G63,'Expenditures 15-22'!I63)+'Expenditures 15-22'!D268-E10</f>
        <v>149798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127070</v>
      </c>
      <c r="F35" s="1805"/>
      <c r="G35" s="1807">
        <f>'Expenditures 15-22'!K69-SUM('Expenditures 15-22'!G69,'Expenditures 15-22'!I69)+'Expenditures 15-22'!D274</f>
        <v>127070</v>
      </c>
    </row>
    <row r="36" spans="1:7" ht="12" customHeight="1" x14ac:dyDescent="0.2">
      <c r="A36" s="824" t="s">
        <v>400</v>
      </c>
      <c r="B36" s="827"/>
      <c r="C36" s="823">
        <v>2640</v>
      </c>
      <c r="D36" s="1807">
        <f>'Expenditures 15-22'!K70-SUM('Expenditures 15-22'!G70,'Expenditures 15-22'!I70)+'Expenditures 15-22'!D275-E13</f>
        <v>319384</v>
      </c>
      <c r="E36" s="1807">
        <f>E13</f>
        <v>0</v>
      </c>
      <c r="F36" s="1807">
        <f>'Expenditures 15-22'!K70-SUM('Expenditures 15-22'!G70,'Expenditures 15-22'!I70)+'Expenditures 15-22'!D275-E13</f>
        <v>319384</v>
      </c>
      <c r="G36" s="1807">
        <f>E13</f>
        <v>0</v>
      </c>
    </row>
    <row r="37" spans="1:7" ht="12" customHeight="1" x14ac:dyDescent="0.2">
      <c r="A37" s="824" t="s">
        <v>401</v>
      </c>
      <c r="B37" s="827"/>
      <c r="C37" s="823">
        <v>2660</v>
      </c>
      <c r="D37" s="1807">
        <f>'Expenditures 15-22'!K71-SUM('Expenditures 15-22'!G71,'Expenditures 15-22'!I71)+'Expenditures 15-22'!D276-E14</f>
        <v>1302054</v>
      </c>
      <c r="E37" s="1807">
        <f>E14</f>
        <v>0</v>
      </c>
      <c r="F37" s="1807">
        <f>'Expenditures 15-22'!K71-SUM('Expenditures 15-22'!G71,'Expenditures 15-22'!I71)+'Expenditures 15-22'!D276-E14</f>
        <v>1302054</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66560</v>
      </c>
      <c r="F39" s="1805"/>
      <c r="G39" s="1807">
        <f>'Expenditures 15-22'!K75-SUM('Expenditures 15-22'!G75,'Expenditures 15-22'!I75)+'Expenditures 15-22'!K130-SUM('Expenditures 15-22'!G130,'Expenditures 15-22'!I130)+'Expenditures 15-22'!K185-SUM('Expenditures 15-22'!G185,'Expenditures 15-22'!I185)+'Expenditures 15-22'!D280</f>
        <v>66560</v>
      </c>
    </row>
    <row r="40" spans="1:7" ht="12" customHeight="1" x14ac:dyDescent="0.2">
      <c r="A40" s="820" t="s">
        <v>1798</v>
      </c>
      <c r="B40" s="821"/>
      <c r="C40" s="823"/>
      <c r="D40" s="1805"/>
      <c r="E40" s="1809">
        <f>-'Contracts Paid in CY 29'!F142</f>
        <v>-2414576</v>
      </c>
      <c r="F40" s="1805"/>
      <c r="G40" s="1809">
        <f>-'Contracts Paid in CY 29'!F142</f>
        <v>-2414576</v>
      </c>
    </row>
    <row r="41" spans="1:7" ht="12" customHeight="1" x14ac:dyDescent="0.2">
      <c r="A41" s="828" t="s">
        <v>155</v>
      </c>
      <c r="B41" s="829"/>
      <c r="C41" s="830"/>
      <c r="D41" s="1809">
        <f>SUM(D19:D39)</f>
        <v>2458042</v>
      </c>
      <c r="E41" s="1809">
        <f>SUM(E19:E40)</f>
        <v>29103167</v>
      </c>
      <c r="F41" s="1809">
        <f>SUM(F19:F39)</f>
        <v>5166452</v>
      </c>
      <c r="G41" s="1809">
        <f>SUM(G19:G40)</f>
        <v>26394757</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2458042</v>
      </c>
      <c r="F43" s="1458" t="s">
        <v>470</v>
      </c>
      <c r="G43" s="1810">
        <f>F41</f>
        <v>5166452</v>
      </c>
    </row>
    <row r="44" spans="1:7" ht="12" customHeight="1" x14ac:dyDescent="0.2">
      <c r="A44" s="817"/>
      <c r="B44" s="157"/>
      <c r="C44" s="831"/>
      <c r="D44" s="1458" t="s">
        <v>471</v>
      </c>
      <c r="E44" s="1810">
        <f>E41</f>
        <v>29103167</v>
      </c>
      <c r="F44" s="1458" t="s">
        <v>471</v>
      </c>
      <c r="G44" s="1810">
        <f>G41</f>
        <v>26394757</v>
      </c>
    </row>
    <row r="45" spans="1:7" ht="12" customHeight="1" x14ac:dyDescent="0.2">
      <c r="A45" s="817"/>
      <c r="B45" s="157"/>
      <c r="C45" s="157"/>
      <c r="D45" s="1459" t="s">
        <v>999</v>
      </c>
      <c r="E45" s="1811">
        <f>(E43/E44)</f>
        <v>8.445960537559366E-2</v>
      </c>
      <c r="F45" s="1459" t="s">
        <v>999</v>
      </c>
      <c r="G45" s="1811">
        <f>(G43/G44)</f>
        <v>0.19573781262695467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27" sqref="F2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1" t="s">
        <v>1363</v>
      </c>
      <c r="B1" s="2401"/>
      <c r="C1" s="2401"/>
      <c r="D1" s="2401"/>
      <c r="E1" s="2401"/>
      <c r="F1" s="240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2" t="s">
        <v>1529</v>
      </c>
      <c r="B5" s="2403"/>
      <c r="C5" s="2404"/>
      <c r="D5" s="2404"/>
      <c r="E5" s="2404"/>
      <c r="F5" s="2404"/>
      <c r="G5" s="1507"/>
      <c r="L5" s="1507"/>
      <c r="M5" s="1855"/>
      <c r="N5" s="1855"/>
      <c r="O5" s="1855"/>
    </row>
    <row r="6" spans="1:15" ht="12" customHeight="1" x14ac:dyDescent="0.25">
      <c r="A6" s="1480"/>
      <c r="B6" s="1481"/>
      <c r="C6" s="2405" t="str">
        <f>COVER!A17</f>
        <v>LIBERTYVILLE SCHOOL DISTRICT NO. 70</v>
      </c>
      <c r="D6" s="2405"/>
      <c r="E6" s="2405"/>
      <c r="F6" s="1482"/>
      <c r="G6" s="1507"/>
      <c r="L6" s="1507"/>
      <c r="M6" s="1855"/>
      <c r="N6" s="1855"/>
      <c r="O6" s="1855"/>
    </row>
    <row r="7" spans="1:15" ht="11.25" customHeight="1" thickBot="1" x14ac:dyDescent="0.3">
      <c r="A7" s="1480"/>
      <c r="B7" s="1481"/>
      <c r="C7" s="2406" t="str">
        <f>COVER!A13</f>
        <v>34-049-0700-02</v>
      </c>
      <c r="D7" s="2406"/>
      <c r="E7" s="240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2051</v>
      </c>
      <c r="D14" s="1495" t="s">
        <v>2051</v>
      </c>
      <c r="E14" s="1498"/>
      <c r="F14" s="1497" t="s">
        <v>2075</v>
      </c>
      <c r="G14" s="1507"/>
      <c r="H14" s="1507">
        <f t="shared" si="0"/>
        <v>5</v>
      </c>
      <c r="I14" s="1507">
        <f t="shared" si="1"/>
        <v>5</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2051</v>
      </c>
      <c r="D19" s="1495" t="s">
        <v>2051</v>
      </c>
      <c r="E19" s="1498"/>
      <c r="F19" s="1497" t="s">
        <v>2076</v>
      </c>
      <c r="G19" s="1507"/>
      <c r="H19" s="1507">
        <f t="shared" si="0"/>
        <v>5</v>
      </c>
      <c r="I19" s="1507">
        <f t="shared" si="1"/>
        <v>5</v>
      </c>
      <c r="J19" s="1507">
        <f t="shared" si="2"/>
        <v>0</v>
      </c>
      <c r="L19" s="1507"/>
      <c r="M19" s="1855"/>
      <c r="N19" s="1855"/>
      <c r="O19" s="1855"/>
    </row>
    <row r="20" spans="1:15" ht="12" customHeight="1" x14ac:dyDescent="0.2">
      <c r="A20" s="1493" t="s">
        <v>1511</v>
      </c>
      <c r="B20" s="1494"/>
      <c r="C20" s="1495" t="s">
        <v>2051</v>
      </c>
      <c r="D20" s="1495" t="s">
        <v>2051</v>
      </c>
      <c r="E20" s="1498"/>
      <c r="F20" s="1497" t="s">
        <v>2077</v>
      </c>
      <c r="G20" s="1507"/>
      <c r="H20" s="1507">
        <f t="shared" si="0"/>
        <v>5</v>
      </c>
      <c r="I20" s="1507">
        <f t="shared" si="1"/>
        <v>5</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2051</v>
      </c>
      <c r="D25" s="1495" t="s">
        <v>2051</v>
      </c>
      <c r="E25" s="1498"/>
      <c r="F25" s="1497" t="s">
        <v>2078</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2051</v>
      </c>
      <c r="D26" s="1495" t="s">
        <v>2051</v>
      </c>
      <c r="E26" s="1498"/>
      <c r="F26" s="1497" t="s">
        <v>2079</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0</v>
      </c>
      <c r="K34" s="1507">
        <f>SUM(H34:J34)</f>
        <v>50</v>
      </c>
      <c r="L34" s="1507"/>
      <c r="M34" s="1855"/>
      <c r="N34" s="1855"/>
      <c r="O34" s="1855"/>
    </row>
    <row r="35" spans="1:15" ht="12" customHeight="1" x14ac:dyDescent="0.2">
      <c r="A35" s="1500" t="s">
        <v>1376</v>
      </c>
      <c r="B35" s="1501"/>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1375</v>
      </c>
      <c r="B40" s="1504"/>
      <c r="C40" s="2415"/>
      <c r="D40" s="2415"/>
      <c r="E40" s="2415"/>
      <c r="F40" s="2416"/>
      <c r="H40" s="1508"/>
      <c r="I40" s="1508"/>
      <c r="J40" s="1508"/>
      <c r="K40" s="1508"/>
    </row>
    <row r="41" spans="1:15" s="1499" customFormat="1" ht="12" customHeight="1" x14ac:dyDescent="0.25">
      <c r="A41" s="2417"/>
      <c r="B41" s="2418"/>
      <c r="C41" s="2418"/>
      <c r="D41" s="2418"/>
      <c r="E41" s="2418"/>
      <c r="F41" s="2419"/>
      <c r="H41" s="1508"/>
      <c r="I41" s="1508"/>
      <c r="J41" s="1508"/>
      <c r="K41" s="1508"/>
    </row>
    <row r="42" spans="1:15" s="1499" customFormat="1" ht="12" customHeight="1" x14ac:dyDescent="0.25">
      <c r="A42" s="2417"/>
      <c r="B42" s="2418"/>
      <c r="C42" s="2418"/>
      <c r="D42" s="2418"/>
      <c r="E42" s="2418"/>
      <c r="F42" s="2419"/>
      <c r="H42" s="1508"/>
      <c r="I42" s="1508"/>
      <c r="J42" s="1508"/>
      <c r="K42" s="1508"/>
    </row>
    <row r="43" spans="1:15" s="1499" customFormat="1" ht="15" x14ac:dyDescent="0.25">
      <c r="A43" s="2409"/>
      <c r="B43" s="2410"/>
      <c r="C43" s="2410"/>
      <c r="D43" s="2410"/>
      <c r="E43" s="2410"/>
      <c r="F43" s="2411"/>
      <c r="H43" s="1508"/>
      <c r="I43" s="1508"/>
      <c r="J43" s="1508"/>
      <c r="K43" s="1508"/>
    </row>
    <row r="44" spans="1:15" s="1499" customFormat="1" ht="12" hidden="1" customHeight="1" x14ac:dyDescent="0.25">
      <c r="A44" s="2409"/>
      <c r="B44" s="2410"/>
      <c r="C44" s="2410"/>
      <c r="D44" s="2410"/>
      <c r="E44" s="2410"/>
      <c r="F44" s="241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7" zoomScaleNormal="100" workbookViewId="0">
      <selection activeCell="I16" sqref="I16"/>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1" t="str">
        <f>COVER!A17</f>
        <v>LIBERTYVILLE SCHOOL DISTRICT NO. 70</v>
      </c>
      <c r="K6" s="2421"/>
      <c r="L6" s="2422"/>
      <c r="M6" s="838"/>
      <c r="N6" s="1998"/>
    </row>
    <row r="7" spans="1:14" x14ac:dyDescent="0.2">
      <c r="A7" s="2423" t="s">
        <v>864</v>
      </c>
      <c r="B7" s="2424"/>
      <c r="C7" s="2424"/>
      <c r="D7" s="2424"/>
      <c r="E7" s="2425"/>
      <c r="F7" s="839"/>
      <c r="G7" s="838"/>
      <c r="H7" s="838"/>
      <c r="I7" s="1924" t="s">
        <v>369</v>
      </c>
      <c r="J7" s="2426" t="str">
        <f>COVER!A13</f>
        <v>34-049-0700-02</v>
      </c>
      <c r="K7" s="2426"/>
      <c r="L7" s="2426"/>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7" t="s">
        <v>478</v>
      </c>
      <c r="B11" s="2428"/>
      <c r="C11" s="2429"/>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318724</v>
      </c>
      <c r="F12" s="1942"/>
      <c r="G12" s="1968">
        <f>G68</f>
        <v>0</v>
      </c>
      <c r="H12" s="1944">
        <f t="shared" ref="H12:H18" si="0">SUM(E12:G12)</f>
        <v>318724</v>
      </c>
      <c r="I12" s="1943">
        <v>328300</v>
      </c>
      <c r="J12" s="1942"/>
      <c r="K12" s="1943"/>
      <c r="L12" s="1944">
        <f t="shared" ref="L12:L18" si="1">SUM(I12:K12)</f>
        <v>328300</v>
      </c>
      <c r="M12" s="838"/>
      <c r="N12" s="1998"/>
    </row>
    <row r="13" spans="1:14" x14ac:dyDescent="0.2">
      <c r="A13" s="2003">
        <v>2</v>
      </c>
      <c r="B13" s="1940" t="s">
        <v>42</v>
      </c>
      <c r="C13" s="842"/>
      <c r="D13" s="1941">
        <v>2330</v>
      </c>
      <c r="E13" s="1944">
        <f>'Expenditures 15-22'!K51</f>
        <v>244981</v>
      </c>
      <c r="F13" s="1942"/>
      <c r="G13" s="1968">
        <f>H68</f>
        <v>0</v>
      </c>
      <c r="H13" s="1944">
        <f t="shared" si="0"/>
        <v>244981</v>
      </c>
      <c r="I13" s="1943">
        <v>246500</v>
      </c>
      <c r="J13" s="1942"/>
      <c r="K13" s="1943"/>
      <c r="L13" s="1944">
        <f t="shared" si="1"/>
        <v>246500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393477</v>
      </c>
      <c r="F15" s="1944">
        <f>'Expenditures 15-22'!K122</f>
        <v>0</v>
      </c>
      <c r="G15" s="1968">
        <f>J68</f>
        <v>0</v>
      </c>
      <c r="H15" s="1944">
        <f t="shared" si="0"/>
        <v>393477</v>
      </c>
      <c r="I15" s="1943">
        <v>180300</v>
      </c>
      <c r="J15" s="1943"/>
      <c r="K15" s="1943"/>
      <c r="L15" s="1944">
        <f t="shared" si="1"/>
        <v>180300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0" t="s">
        <v>7</v>
      </c>
      <c r="C18" s="2431"/>
      <c r="D18" s="2432"/>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957182</v>
      </c>
      <c r="F19" s="1950">
        <f t="shared" si="2"/>
        <v>0</v>
      </c>
      <c r="G19" s="1950">
        <f t="shared" ref="G19" si="3">SUM(G12:G17)-G18</f>
        <v>0</v>
      </c>
      <c r="H19" s="1950">
        <f t="shared" si="2"/>
        <v>957182</v>
      </c>
      <c r="I19" s="1950">
        <f t="shared" si="2"/>
        <v>755100</v>
      </c>
      <c r="J19" s="1950">
        <f t="shared" si="2"/>
        <v>0</v>
      </c>
      <c r="K19" s="1950">
        <f t="shared" si="2"/>
        <v>0</v>
      </c>
      <c r="L19" s="1950">
        <f t="shared" si="2"/>
        <v>755100</v>
      </c>
      <c r="M19" s="838"/>
      <c r="N19" s="1998"/>
    </row>
    <row r="20" spans="1:14" ht="13.5" thickTop="1" x14ac:dyDescent="0.2">
      <c r="A20" s="2003">
        <v>9</v>
      </c>
      <c r="B20" s="2433" t="s">
        <v>2021</v>
      </c>
      <c r="C20" s="2433"/>
      <c r="D20" s="2434"/>
      <c r="E20" s="1951"/>
      <c r="F20" s="1951"/>
      <c r="G20" s="1951"/>
      <c r="H20" s="1951"/>
      <c r="I20" s="1951"/>
      <c r="J20" s="1951"/>
      <c r="K20" s="1951"/>
      <c r="L20" s="1952">
        <f>IF(AND(H19&gt;0,L19&gt;0),(((L19-H19)/H19)),"Enter Budget Data")</f>
        <v>-0.21112181382433018</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5"/>
      <c r="D27" s="2435"/>
      <c r="E27" s="843"/>
      <c r="F27" s="2436"/>
      <c r="G27" s="2436"/>
      <c r="H27" s="2436"/>
      <c r="I27" s="838"/>
      <c r="J27" s="838"/>
      <c r="K27" s="838"/>
      <c r="L27" s="838"/>
      <c r="M27" s="838"/>
      <c r="N27" s="1998"/>
    </row>
    <row r="28" spans="1:14" x14ac:dyDescent="0.2">
      <c r="A28" s="1997"/>
      <c r="B28" s="2007"/>
      <c r="C28" s="1957" t="s">
        <v>1026</v>
      </c>
      <c r="D28" s="844"/>
      <c r="E28" s="1958"/>
      <c r="F28" s="2437" t="s">
        <v>1492</v>
      </c>
      <c r="G28" s="2437"/>
      <c r="H28" s="2437"/>
      <c r="I28" s="838"/>
      <c r="J28" s="838"/>
      <c r="K28" s="838"/>
      <c r="L28" s="838"/>
      <c r="M28" s="838"/>
      <c r="N28" s="1998"/>
    </row>
    <row r="29" spans="1:14" x14ac:dyDescent="0.2">
      <c r="A29" s="1997"/>
      <c r="B29" s="2007"/>
      <c r="C29" s="2438"/>
      <c r="D29" s="2438"/>
      <c r="E29" s="845"/>
      <c r="F29" s="2438"/>
      <c r="G29" s="2438"/>
      <c r="H29" s="2438"/>
      <c r="I29" s="838"/>
      <c r="J29" s="838"/>
      <c r="K29" s="838"/>
      <c r="L29" s="838"/>
      <c r="M29" s="838"/>
      <c r="N29" s="1998"/>
    </row>
    <row r="30" spans="1:14" x14ac:dyDescent="0.2">
      <c r="A30" s="1997"/>
      <c r="B30" s="2007"/>
      <c r="C30" s="1960" t="s">
        <v>1544</v>
      </c>
      <c r="D30" s="838"/>
      <c r="E30" s="1959"/>
      <c r="F30" s="2420" t="s">
        <v>1493</v>
      </c>
      <c r="G30" s="2420"/>
      <c r="H30" s="242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1" t="s">
        <v>2024</v>
      </c>
      <c r="D34" s="2442"/>
      <c r="E34" s="2442"/>
      <c r="F34" s="2442"/>
      <c r="G34" s="2442"/>
      <c r="H34" s="2442"/>
      <c r="I34" s="2442"/>
      <c r="J34" s="2442"/>
      <c r="K34" s="2016"/>
      <c r="L34" s="838"/>
      <c r="M34" s="838"/>
      <c r="N34" s="1998"/>
    </row>
    <row r="35" spans="1:14" x14ac:dyDescent="0.2">
      <c r="A35" s="1997"/>
      <c r="B35" s="838"/>
      <c r="C35" s="2442"/>
      <c r="D35" s="2442"/>
      <c r="E35" s="2442"/>
      <c r="F35" s="2442"/>
      <c r="G35" s="2442"/>
      <c r="H35" s="2442"/>
      <c r="I35" s="2442"/>
      <c r="J35" s="2442"/>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1" t="s">
        <v>2025</v>
      </c>
      <c r="D37" s="2442"/>
      <c r="E37" s="2442"/>
      <c r="F37" s="2442"/>
      <c r="G37" s="2442"/>
      <c r="H37" s="2442"/>
      <c r="I37" s="2442"/>
      <c r="J37" s="2442"/>
      <c r="K37" s="2016"/>
      <c r="L37" s="2018"/>
      <c r="M37" s="838"/>
      <c r="N37" s="1998"/>
    </row>
    <row r="38" spans="1:14" x14ac:dyDescent="0.2">
      <c r="A38" s="1997"/>
      <c r="B38" s="838"/>
      <c r="C38" s="2442"/>
      <c r="D38" s="2442"/>
      <c r="E38" s="2442"/>
      <c r="F38" s="2442"/>
      <c r="G38" s="2442"/>
      <c r="H38" s="2442"/>
      <c r="I38" s="2442"/>
      <c r="J38" s="2442"/>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3" t="s">
        <v>2026</v>
      </c>
      <c r="D40" s="2444"/>
      <c r="E40" s="2444"/>
      <c r="F40" s="2444"/>
      <c r="G40" s="2444"/>
      <c r="H40" s="2444"/>
      <c r="I40" s="2444"/>
      <c r="J40" s="2444"/>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5" t="s">
        <v>2027</v>
      </c>
      <c r="B43" s="2446"/>
      <c r="C43" s="2446"/>
      <c r="D43" s="2446"/>
      <c r="E43" s="2446"/>
      <c r="F43" s="2446"/>
      <c r="G43" s="2446"/>
      <c r="H43" s="2446"/>
      <c r="I43" s="2446"/>
      <c r="J43" s="2446"/>
      <c r="K43" s="2446"/>
      <c r="L43" s="2446"/>
      <c r="M43" s="2446"/>
      <c r="N43" s="2447"/>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8" t="s">
        <v>2029</v>
      </c>
      <c r="B46" s="2449"/>
      <c r="C46" s="2449"/>
      <c r="D46" s="2449"/>
      <c r="E46" s="2449"/>
      <c r="F46" s="2449"/>
      <c r="G46" s="2449"/>
      <c r="H46" s="2449"/>
      <c r="I46" s="2449"/>
      <c r="J46" s="2449"/>
      <c r="K46" s="2449"/>
      <c r="L46" s="2449"/>
      <c r="M46" s="2449"/>
      <c r="N46" s="2450"/>
    </row>
    <row r="47" spans="1:14" x14ac:dyDescent="0.2">
      <c r="A47" s="2448"/>
      <c r="B47" s="2449"/>
      <c r="C47" s="2449"/>
      <c r="D47" s="2449"/>
      <c r="E47" s="2449"/>
      <c r="F47" s="2449"/>
      <c r="G47" s="2449"/>
      <c r="H47" s="2449"/>
      <c r="I47" s="2449"/>
      <c r="J47" s="2449"/>
      <c r="K47" s="2449"/>
      <c r="L47" s="2449"/>
      <c r="M47" s="2449"/>
      <c r="N47" s="2450"/>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1" t="str">
        <f>J6</f>
        <v>LIBERTYVILLE SCHOOL DISTRICT NO. 70</v>
      </c>
      <c r="M52" s="2421"/>
      <c r="N52" s="2451"/>
    </row>
    <row r="53" spans="1:14" x14ac:dyDescent="0.2">
      <c r="A53" s="1982"/>
      <c r="B53" s="1983"/>
      <c r="C53" s="1983"/>
      <c r="D53" s="1983"/>
      <c r="E53" s="1983"/>
      <c r="F53" s="1983"/>
      <c r="G53" s="1983"/>
      <c r="H53" s="1983"/>
      <c r="I53" s="1983"/>
      <c r="J53" s="1983"/>
      <c r="K53" s="1924" t="s">
        <v>369</v>
      </c>
      <c r="L53" s="2426" t="str">
        <f>J7</f>
        <v>34-049-0700-02</v>
      </c>
      <c r="M53" s="2426"/>
      <c r="N53" s="2452"/>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3"/>
      <c r="B55" s="2454"/>
      <c r="C55" s="2454"/>
      <c r="D55" s="1970"/>
      <c r="E55" s="1970"/>
      <c r="F55" s="1970"/>
      <c r="G55" s="2455" t="s">
        <v>2030</v>
      </c>
      <c r="H55" s="2455"/>
      <c r="I55" s="2455"/>
      <c r="J55" s="2455"/>
      <c r="K55" s="2455"/>
      <c r="L55" s="2455"/>
      <c r="M55" s="2455"/>
      <c r="N55" s="2456"/>
    </row>
    <row r="56" spans="1:14" ht="63.75" x14ac:dyDescent="0.2">
      <c r="A56" s="2457" t="s">
        <v>2031</v>
      </c>
      <c r="B56" s="2458"/>
      <c r="C56" s="2459"/>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60" t="s">
        <v>296</v>
      </c>
      <c r="B57" s="2461"/>
      <c r="C57" s="2461"/>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9" t="s">
        <v>2041</v>
      </c>
      <c r="B58" s="2440"/>
      <c r="C58" s="2440"/>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62" t="s">
        <v>297</v>
      </c>
      <c r="B59" s="2463"/>
      <c r="C59" s="2463"/>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2" t="s">
        <v>236</v>
      </c>
      <c r="B60" s="2463"/>
      <c r="C60" s="2463"/>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2" t="s">
        <v>697</v>
      </c>
      <c r="B61" s="2463"/>
      <c r="C61" s="2463"/>
      <c r="D61" s="1967">
        <v>2365</v>
      </c>
      <c r="E61" s="1977">
        <f>'Expenditures 15-22'!K323</f>
        <v>0</v>
      </c>
      <c r="F61" s="1972"/>
      <c r="G61" s="2031"/>
      <c r="H61" s="2032"/>
      <c r="I61" s="2032"/>
      <c r="J61" s="2032"/>
      <c r="K61" s="2032"/>
      <c r="L61" s="2032"/>
      <c r="M61" s="2032"/>
      <c r="N61" s="1975">
        <f t="shared" si="4"/>
        <v>0</v>
      </c>
    </row>
    <row r="62" spans="1:14" ht="24" customHeight="1" x14ac:dyDescent="0.2">
      <c r="A62" s="2462" t="s">
        <v>237</v>
      </c>
      <c r="B62" s="2463"/>
      <c r="C62" s="2463"/>
      <c r="D62" s="1967">
        <v>2366</v>
      </c>
      <c r="E62" s="1977">
        <f>'Expenditures 15-22'!K324</f>
        <v>0</v>
      </c>
      <c r="F62" s="1972"/>
      <c r="G62" s="2031"/>
      <c r="H62" s="2032"/>
      <c r="I62" s="2032"/>
      <c r="J62" s="2032"/>
      <c r="K62" s="2032"/>
      <c r="L62" s="2032"/>
      <c r="M62" s="2032"/>
      <c r="N62" s="1975">
        <f t="shared" si="4"/>
        <v>0</v>
      </c>
    </row>
    <row r="63" spans="1:14" ht="24" customHeight="1" x14ac:dyDescent="0.2">
      <c r="A63" s="2439" t="s">
        <v>1022</v>
      </c>
      <c r="B63" s="2440"/>
      <c r="C63" s="2440"/>
      <c r="D63" s="1967">
        <v>2367</v>
      </c>
      <c r="E63" s="1977">
        <f>'Expenditures 15-22'!K325</f>
        <v>0</v>
      </c>
      <c r="F63" s="1972"/>
      <c r="G63" s="2031"/>
      <c r="H63" s="2032"/>
      <c r="I63" s="2032"/>
      <c r="J63" s="2032"/>
      <c r="K63" s="2032"/>
      <c r="L63" s="2032"/>
      <c r="M63" s="2032"/>
      <c r="N63" s="1975">
        <f t="shared" si="4"/>
        <v>0</v>
      </c>
    </row>
    <row r="64" spans="1:14" ht="24" customHeight="1" x14ac:dyDescent="0.2">
      <c r="A64" s="2462" t="s">
        <v>1023</v>
      </c>
      <c r="B64" s="2463"/>
      <c r="C64" s="2463"/>
      <c r="D64" s="1967">
        <v>2368</v>
      </c>
      <c r="E64" s="1977">
        <f>'Expenditures 15-22'!K326</f>
        <v>0</v>
      </c>
      <c r="F64" s="1972"/>
      <c r="G64" s="2031"/>
      <c r="H64" s="2032"/>
      <c r="I64" s="2032"/>
      <c r="J64" s="2032"/>
      <c r="K64" s="2032"/>
      <c r="L64" s="2032"/>
      <c r="M64" s="2032"/>
      <c r="N64" s="1975">
        <f t="shared" si="4"/>
        <v>0</v>
      </c>
    </row>
    <row r="65" spans="1:14" ht="24" customHeight="1" x14ac:dyDescent="0.2">
      <c r="A65" s="2462" t="s">
        <v>965</v>
      </c>
      <c r="B65" s="2463"/>
      <c r="C65" s="2463"/>
      <c r="D65" s="1967">
        <v>2369</v>
      </c>
      <c r="E65" s="1977">
        <f>'Expenditures 15-22'!K327</f>
        <v>0</v>
      </c>
      <c r="F65" s="1972"/>
      <c r="G65" s="2031"/>
      <c r="H65" s="2032"/>
      <c r="I65" s="2032"/>
      <c r="J65" s="2032"/>
      <c r="K65" s="2032"/>
      <c r="L65" s="2032"/>
      <c r="M65" s="2032"/>
      <c r="N65" s="1975">
        <f t="shared" si="4"/>
        <v>0</v>
      </c>
    </row>
    <row r="66" spans="1:14" ht="24" customHeight="1" x14ac:dyDescent="0.2">
      <c r="A66" s="2462" t="s">
        <v>469</v>
      </c>
      <c r="B66" s="2463"/>
      <c r="C66" s="2463"/>
      <c r="D66" s="1967">
        <v>2371</v>
      </c>
      <c r="E66" s="1977">
        <f>'Expenditures 15-22'!K328</f>
        <v>0</v>
      </c>
      <c r="F66" s="1972"/>
      <c r="G66" s="2031"/>
      <c r="H66" s="2032"/>
      <c r="I66" s="2032"/>
      <c r="J66" s="2032"/>
      <c r="K66" s="2032"/>
      <c r="L66" s="2032"/>
      <c r="M66" s="2032"/>
      <c r="N66" s="1975">
        <f t="shared" si="4"/>
        <v>0</v>
      </c>
    </row>
    <row r="67" spans="1:14" ht="24.75" customHeight="1" x14ac:dyDescent="0.2">
      <c r="A67" s="2464" t="s">
        <v>2042</v>
      </c>
      <c r="B67" s="2465"/>
      <c r="C67" s="2465"/>
      <c r="D67" s="1969">
        <v>2372</v>
      </c>
      <c r="E67" s="1978">
        <f>'Expenditures 15-22'!K329</f>
        <v>0</v>
      </c>
      <c r="F67" s="1972"/>
      <c r="G67" s="2033"/>
      <c r="H67" s="2034"/>
      <c r="I67" s="2034"/>
      <c r="J67" s="2034"/>
      <c r="K67" s="2034"/>
      <c r="L67" s="2034"/>
      <c r="M67" s="2034"/>
      <c r="N67" s="1975">
        <f t="shared" si="4"/>
        <v>0</v>
      </c>
    </row>
    <row r="68" spans="1:14" x14ac:dyDescent="0.2">
      <c r="A68" s="2466" t="s">
        <v>1151</v>
      </c>
      <c r="B68" s="2467"/>
      <c r="C68" s="2467"/>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election activeCell="B26" sqref="B26"/>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5" t="s">
        <v>2080</v>
      </c>
    </row>
    <row r="6" spans="1:2" x14ac:dyDescent="0.2">
      <c r="A6" s="847"/>
      <c r="B6" s="307" t="s">
        <v>2081</v>
      </c>
    </row>
    <row r="7" spans="1:2" x14ac:dyDescent="0.2">
      <c r="A7" s="847"/>
      <c r="B7" s="307" t="s">
        <v>2082</v>
      </c>
    </row>
    <row r="8" spans="1:2" x14ac:dyDescent="0.2">
      <c r="A8" s="847"/>
    </row>
    <row r="9" spans="1:2" x14ac:dyDescent="0.2">
      <c r="A9" s="847"/>
    </row>
    <row r="10" spans="1:2" x14ac:dyDescent="0.2">
      <c r="A10" s="847"/>
    </row>
    <row r="11" spans="1:2" x14ac:dyDescent="0.2">
      <c r="A11" s="847"/>
    </row>
    <row r="12" spans="1:2" x14ac:dyDescent="0.2">
      <c r="A12" s="847"/>
    </row>
    <row r="13" spans="1:2" x14ac:dyDescent="0.2">
      <c r="A13" s="847"/>
    </row>
    <row r="14" spans="1:2" x14ac:dyDescent="0.2">
      <c r="A14" s="847"/>
    </row>
    <row r="15" spans="1:2" x14ac:dyDescent="0.2">
      <c r="A15" s="847">
        <v>2</v>
      </c>
      <c r="B15" s="2035" t="s">
        <v>2083</v>
      </c>
    </row>
    <row r="16" spans="1:2" x14ac:dyDescent="0.2">
      <c r="A16" s="847"/>
      <c r="B16" s="307" t="s">
        <v>2084</v>
      </c>
    </row>
    <row r="17" spans="1:2" x14ac:dyDescent="0.2">
      <c r="A17" s="847"/>
    </row>
    <row r="18" spans="1:2" x14ac:dyDescent="0.2">
      <c r="A18" s="847"/>
      <c r="B18" s="307" t="s">
        <v>2085</v>
      </c>
    </row>
    <row r="19" spans="1:2" x14ac:dyDescent="0.2">
      <c r="A19" s="847"/>
    </row>
    <row r="20" spans="1:2" x14ac:dyDescent="0.2">
      <c r="A20" s="847"/>
    </row>
    <row r="21" spans="1:2" x14ac:dyDescent="0.2">
      <c r="A21" s="847"/>
    </row>
    <row r="22" spans="1:2" x14ac:dyDescent="0.2">
      <c r="A22" s="847"/>
    </row>
    <row r="23" spans="1:2" x14ac:dyDescent="0.2">
      <c r="A23" s="847"/>
    </row>
    <row r="24" spans="1:2" x14ac:dyDescent="0.2">
      <c r="A24" s="847">
        <v>3</v>
      </c>
      <c r="B24" s="2035" t="s">
        <v>2086</v>
      </c>
    </row>
    <row r="25" spans="1:2" x14ac:dyDescent="0.2">
      <c r="A25" s="847"/>
      <c r="B25" s="307" t="s">
        <v>2087</v>
      </c>
    </row>
    <row r="26" spans="1:2" x14ac:dyDescent="0.2">
      <c r="A26" s="847"/>
    </row>
    <row r="27" spans="1:2" x14ac:dyDescent="0.2">
      <c r="A27" s="847"/>
    </row>
    <row r="28" spans="1:2" x14ac:dyDescent="0.2">
      <c r="A28" s="847"/>
    </row>
    <row r="29" spans="1:2" x14ac:dyDescent="0.2">
      <c r="A29" s="847"/>
    </row>
    <row r="30" spans="1:2" x14ac:dyDescent="0.2">
      <c r="A30" s="847"/>
    </row>
    <row r="31" spans="1:2" x14ac:dyDescent="0.2">
      <c r="A31" s="847"/>
    </row>
    <row r="32" spans="1:2" x14ac:dyDescent="0.2">
      <c r="A32" s="847"/>
    </row>
    <row r="33" spans="1:1" x14ac:dyDescent="0.2">
      <c r="A33" s="847"/>
    </row>
    <row r="34" spans="1:1" x14ac:dyDescent="0.2">
      <c r="A34" s="847">
        <v>4</v>
      </c>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LIBERTYVILLE SCHOOL DISTRICT NO. 70</v>
      </c>
    </row>
    <row r="66" spans="1:2" x14ac:dyDescent="0.2">
      <c r="B66" s="849" t="str">
        <f>COVER!A13</f>
        <v>34-049-0700-02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0</xdr:col>
                <xdr:colOff>0</xdr:colOff>
                <xdr:row>0</xdr:row>
                <xdr:rowOff>0</xdr:rowOff>
              </from>
              <to>
                <xdr:col>1</xdr:col>
                <xdr:colOff>714375</xdr:colOff>
                <xdr:row>3</xdr:row>
                <xdr:rowOff>28575</xdr:rowOff>
              </to>
            </anchor>
          </objectPr>
        </oleObject>
      </mc:Choice>
      <mc:Fallback>
        <oleObject progId="Packager Shell Objec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26691251</v>
      </c>
      <c r="C8" s="1813">
        <f>'Acct Summary 7-8'!D8</f>
        <v>4007384</v>
      </c>
      <c r="D8" s="1813">
        <f>'Acct Summary 7-8'!F8</f>
        <v>2283384</v>
      </c>
      <c r="E8" s="1813">
        <f>'Acct Summary 7-8'!I8</f>
        <v>203022</v>
      </c>
      <c r="F8" s="1813">
        <f>SUM(B8:E8)</f>
        <v>33185041</v>
      </c>
    </row>
    <row r="9" spans="1:8" s="858" customFormat="1" ht="14.25" customHeight="1" thickBot="1" x14ac:dyDescent="0.25">
      <c r="A9" s="857" t="s">
        <v>1353</v>
      </c>
      <c r="B9" s="1814">
        <f>'Acct Summary 7-8'!C17</f>
        <v>29540949</v>
      </c>
      <c r="C9" s="1814">
        <f>'Acct Summary 7-8'!D17</f>
        <v>2929232</v>
      </c>
      <c r="D9" s="1814">
        <f>'Acct Summary 7-8'!F17</f>
        <v>2204111</v>
      </c>
      <c r="E9" s="1813"/>
      <c r="F9" s="1813">
        <f>SUM(B9:E9)</f>
        <v>34674292</v>
      </c>
    </row>
    <row r="10" spans="1:8" s="858" customFormat="1" ht="14.25" thickTop="1" thickBot="1" x14ac:dyDescent="0.25">
      <c r="A10" s="859" t="s">
        <v>1354</v>
      </c>
      <c r="B10" s="1815">
        <f>(B8-B9)</f>
        <v>-2849698</v>
      </c>
      <c r="C10" s="1815">
        <f>(C8-C9)</f>
        <v>1078152</v>
      </c>
      <c r="D10" s="1815">
        <f>(D8-D9)</f>
        <v>79273</v>
      </c>
      <c r="E10" s="1814">
        <f>(E8-E9)</f>
        <v>203022</v>
      </c>
      <c r="F10" s="1816">
        <f>SUM(F8-F9)</f>
        <v>-1489251</v>
      </c>
    </row>
    <row r="11" spans="1:8" s="858" customFormat="1" ht="14.25" thickTop="1" thickBot="1" x14ac:dyDescent="0.25">
      <c r="A11" s="860" t="s">
        <v>1903</v>
      </c>
      <c r="B11" s="1817">
        <f>'Acct Summary 7-8'!C81</f>
        <v>7950605</v>
      </c>
      <c r="C11" s="1817">
        <f>'Acct Summary 7-8'!D81</f>
        <v>1682264</v>
      </c>
      <c r="D11" s="1817">
        <f>'Acct Summary 7-8'!F81</f>
        <v>342229</v>
      </c>
      <c r="E11" s="1817">
        <f>'Acct Summary 7-8'!I81</f>
        <v>5731518</v>
      </c>
      <c r="F11" s="1818">
        <f>SUM(B11:E11)</f>
        <v>15706616</v>
      </c>
    </row>
    <row r="12" spans="1:8" ht="16.5" customHeight="1" thickTop="1" x14ac:dyDescent="0.2">
      <c r="A12" s="861"/>
      <c r="B12" s="862"/>
      <c r="C12" s="2473" t="str">
        <f>IF(AND(F10&lt;0,F11&gt;=0,ABS(F10*3)&gt;ABS(F11)),A16,IF(AND(F10&lt;0,F11&gt;0,ABS(F10*3)&lt;=ABS(F11)),A17,IF(AND(F10&lt;0,F11&lt;0),A16,IF(F11=0,A19,A18))))</f>
        <v>Unbalanced -  however, a deficit reduction plan is not required at this time.</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9" colorId="8" zoomScale="110" zoomScaleNormal="110" workbookViewId="0">
      <selection activeCell="C88" sqref="C8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t="str">
        <f>COVER!A13</f>
        <v>34-049-0700-02</v>
      </c>
      <c r="E2" s="1542">
        <v>2020</v>
      </c>
      <c r="F2" s="1542">
        <v>1</v>
      </c>
      <c r="G2" s="1899">
        <v>101000300</v>
      </c>
    </row>
    <row r="3" spans="1:7" ht="15" x14ac:dyDescent="0.25">
      <c r="A3" t="s">
        <v>950</v>
      </c>
      <c r="B3" s="135" t="str">
        <f>COVER!A15</f>
        <v>LAKE</v>
      </c>
      <c r="E3" s="1830" t="s">
        <v>1971</v>
      </c>
      <c r="F3" s="1830" t="s">
        <v>1970</v>
      </c>
      <c r="G3" s="1899">
        <v>101000400</v>
      </c>
    </row>
    <row r="4" spans="1:7" ht="15" x14ac:dyDescent="0.25">
      <c r="A4" t="s">
        <v>1000</v>
      </c>
      <c r="B4" s="135" t="str">
        <f>COVER!A17</f>
        <v>LIBERTYVILLE SCHOOL DISTRICT NO. 70</v>
      </c>
      <c r="E4" s="1828">
        <v>44119</v>
      </c>
      <c r="F4" s="1829">
        <v>44151</v>
      </c>
      <c r="G4" s="1899">
        <v>101000600</v>
      </c>
    </row>
    <row r="5" spans="1:7" ht="15" x14ac:dyDescent="0.25">
      <c r="A5" t="s">
        <v>699</v>
      </c>
      <c r="B5" s="135" t="str">
        <f>COVER!A38</f>
        <v>Dr. Matt Barbini</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066-003289</v>
      </c>
      <c r="G15" s="1899">
        <v>402100400</v>
      </c>
    </row>
    <row r="16" spans="1:7" ht="15" x14ac:dyDescent="0.25">
      <c r="A16" t="s">
        <v>419</v>
      </c>
      <c r="B16" s="135" t="str">
        <f>COVER!T13</f>
        <v>EVOY, KAMSCHULTE, JACOBS &amp; CO. LLP</v>
      </c>
      <c r="G16" s="1899">
        <v>402100600</v>
      </c>
    </row>
    <row r="17" spans="1:7" ht="15" x14ac:dyDescent="0.25">
      <c r="A17" t="s">
        <v>878</v>
      </c>
      <c r="B17" s="135" t="str">
        <f>COVER!T15</f>
        <v>John D. Aceto, Jr., CPA</v>
      </c>
      <c r="G17" s="1899">
        <v>402100800</v>
      </c>
    </row>
    <row r="18" spans="1:7" ht="15" x14ac:dyDescent="0.25">
      <c r="A18" t="s">
        <v>1140</v>
      </c>
      <c r="B18" s="135" t="str">
        <f>COVER!T17</f>
        <v>2122 Yeoman Street</v>
      </c>
      <c r="G18" s="1899">
        <v>102200300</v>
      </c>
    </row>
    <row r="19" spans="1:7" ht="15" x14ac:dyDescent="0.25">
      <c r="A19" t="s">
        <v>880</v>
      </c>
      <c r="B19" s="135" t="str">
        <f>COVER!T25</f>
        <v>jaceto@ekjllp.com</v>
      </c>
      <c r="G19" s="1899">
        <v>102200400</v>
      </c>
    </row>
    <row r="20" spans="1:7" ht="15" x14ac:dyDescent="0.25">
      <c r="A20" t="s">
        <v>881</v>
      </c>
      <c r="B20" s="135" t="str">
        <f>COVER!T19</f>
        <v>Waukegan</v>
      </c>
      <c r="G20" s="1899">
        <v>102200600</v>
      </c>
    </row>
    <row r="21" spans="1:7" ht="15" x14ac:dyDescent="0.25">
      <c r="A21" t="s">
        <v>476</v>
      </c>
      <c r="B21" s="135" t="str">
        <f>COVER!X19</f>
        <v>IL</v>
      </c>
      <c r="G21" s="1899">
        <v>102200800</v>
      </c>
    </row>
    <row r="22" spans="1:7" ht="15" x14ac:dyDescent="0.25">
      <c r="A22" t="s">
        <v>882</v>
      </c>
      <c r="B22" s="135">
        <f>COVER!Z19</f>
        <v>60087</v>
      </c>
      <c r="G22" s="1899">
        <v>102300300</v>
      </c>
    </row>
    <row r="23" spans="1:7" ht="15" x14ac:dyDescent="0.25">
      <c r="A23" t="s">
        <v>1142</v>
      </c>
      <c r="B23" s="135" t="str">
        <f>COVER!T21</f>
        <v>847-662-8300</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33604</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9560441</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1609836</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1609836</v>
      </c>
      <c r="C91" s="2" t="s">
        <v>569</v>
      </c>
      <c r="D91" s="2" t="str">
        <f t="shared" si="0"/>
        <v>Error?</v>
      </c>
      <c r="G91" s="1899">
        <v>102640400</v>
      </c>
    </row>
    <row r="92" spans="1:7" ht="15" x14ac:dyDescent="0.25">
      <c r="A92" s="5">
        <v>31</v>
      </c>
      <c r="B92" s="1832">
        <f>'Assets-Liab 5-6'!C39</f>
        <v>7950605</v>
      </c>
      <c r="D92" s="2" t="str">
        <f t="shared" si="0"/>
        <v>Error?</v>
      </c>
      <c r="G92" s="1899">
        <v>102640600</v>
      </c>
    </row>
    <row r="93" spans="1:7" ht="15" x14ac:dyDescent="0.25">
      <c r="A93" s="5">
        <v>32</v>
      </c>
      <c r="B93" s="1832">
        <f>'Assets-Liab 5-6'!C41</f>
        <v>9560441</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1707594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25330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25330</v>
      </c>
      <c r="C122" s="2" t="s">
        <v>569</v>
      </c>
      <c r="D122" s="2" t="str">
        <f t="shared" si="0"/>
        <v>Error?</v>
      </c>
      <c r="G122" s="1899">
        <v>203000300</v>
      </c>
    </row>
    <row r="123" spans="1:7" ht="15" x14ac:dyDescent="0.25">
      <c r="A123" s="5">
        <v>62</v>
      </c>
      <c r="B123" s="1832">
        <f>'Assets-Liab 5-6'!D39</f>
        <v>1682264</v>
      </c>
      <c r="D123" s="2" t="str">
        <f t="shared" si="0"/>
        <v>Error?</v>
      </c>
      <c r="G123" s="1899">
        <v>203000400</v>
      </c>
    </row>
    <row r="124" spans="1:7" ht="15" x14ac:dyDescent="0.25">
      <c r="A124" s="5">
        <v>63</v>
      </c>
      <c r="B124" s="1832">
        <f>'Assets-Liab 5-6'!D41</f>
        <v>1707594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25914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25914</v>
      </c>
      <c r="D140" s="2" t="str">
        <f t="shared" si="1"/>
        <v>Error?</v>
      </c>
    </row>
    <row r="141" spans="1:7" x14ac:dyDescent="0.2">
      <c r="A141" s="5">
        <v>80</v>
      </c>
      <c r="B141" s="1832">
        <f>'Assets-Liab 5-6'!E41</f>
        <v>25914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342229</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342229</v>
      </c>
      <c r="D170" s="2" t="str">
        <f t="shared" si="1"/>
        <v>Error?</v>
      </c>
    </row>
    <row r="171" spans="1:4" x14ac:dyDescent="0.2">
      <c r="A171" s="5">
        <v>110</v>
      </c>
      <c r="B171" s="1832">
        <f>'Assets-Liab 5-6'!F41</f>
        <v>342229</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322637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77774</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77774</v>
      </c>
      <c r="C188" s="2" t="s">
        <v>569</v>
      </c>
      <c r="D188" s="2" t="str">
        <f t="shared" si="1"/>
        <v>Error?</v>
      </c>
    </row>
    <row r="189" spans="1:4" x14ac:dyDescent="0.2">
      <c r="A189" s="5">
        <v>128</v>
      </c>
      <c r="B189" s="1832">
        <f>'Assets-Liab 5-6'!G39</f>
        <v>244863</v>
      </c>
      <c r="D189" s="2" t="str">
        <f t="shared" si="1"/>
        <v>Error?</v>
      </c>
    </row>
    <row r="190" spans="1:4" x14ac:dyDescent="0.2">
      <c r="A190" s="5">
        <v>129</v>
      </c>
      <c r="B190" s="1832">
        <f>'Assets-Liab 5-6'!G41</f>
        <v>322637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80800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80800</v>
      </c>
      <c r="D212" s="2" t="str">
        <f t="shared" si="2"/>
        <v>Error?</v>
      </c>
    </row>
    <row r="213" spans="1:4" x14ac:dyDescent="0.2">
      <c r="A213" s="12">
        <v>152</v>
      </c>
      <c r="B213" s="1832">
        <f>'Assets-Liab 5-6'!H41</f>
        <v>80800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313824</v>
      </c>
      <c r="D273" s="2" t="str">
        <f t="shared" si="3"/>
        <v>Error?</v>
      </c>
    </row>
    <row r="274" spans="1:4" x14ac:dyDescent="0.2">
      <c r="A274" s="5">
        <v>213</v>
      </c>
      <c r="B274" s="1832">
        <f>'Assets-Liab 5-6'!M17</f>
        <v>69541661</v>
      </c>
      <c r="D274" s="2" t="str">
        <f t="shared" si="3"/>
        <v>Error?</v>
      </c>
    </row>
    <row r="275" spans="1:4" x14ac:dyDescent="0.2">
      <c r="A275" s="5">
        <v>214</v>
      </c>
      <c r="B275" s="1832">
        <f>'Assets-Liab 5-6'!M18</f>
        <v>1802502</v>
      </c>
      <c r="D275" s="2" t="str">
        <f t="shared" si="3"/>
        <v>Error?</v>
      </c>
    </row>
    <row r="276" spans="1:4" x14ac:dyDescent="0.2">
      <c r="A276" s="5">
        <v>215</v>
      </c>
      <c r="B276" s="1832">
        <f>'Assets-Liab 5-6'!M19</f>
        <v>14516085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86174072</v>
      </c>
      <c r="C279" s="2" t="s">
        <v>569</v>
      </c>
      <c r="D279" s="2" t="str">
        <f t="shared" si="3"/>
        <v>Error?</v>
      </c>
    </row>
    <row r="280" spans="1:4" x14ac:dyDescent="0.2">
      <c r="A280" s="5">
        <v>219</v>
      </c>
      <c r="B280" s="1832">
        <f>'Assets-Liab 5-6'!M40</f>
        <v>86174072</v>
      </c>
      <c r="D280" s="2" t="str">
        <f t="shared" si="3"/>
        <v>Error?</v>
      </c>
    </row>
    <row r="281" spans="1:4" x14ac:dyDescent="0.2">
      <c r="A281" s="5">
        <v>220</v>
      </c>
      <c r="B281" s="1832">
        <f>'Assets-Liab 5-6'!M41</f>
        <v>86174072</v>
      </c>
      <c r="C281" s="2" t="s">
        <v>569</v>
      </c>
      <c r="D281" s="2" t="str">
        <f t="shared" si="3"/>
        <v>Error?</v>
      </c>
    </row>
    <row r="282" spans="1:4" x14ac:dyDescent="0.2">
      <c r="A282" s="5">
        <v>221</v>
      </c>
      <c r="B282" s="1832">
        <f>'Assets-Liab 5-6'!N21</f>
        <v>25914</v>
      </c>
      <c r="D282" s="2" t="str">
        <f t="shared" si="3"/>
        <v>Error?</v>
      </c>
    </row>
    <row r="283" spans="1:4" x14ac:dyDescent="0.2">
      <c r="A283" s="5">
        <v>222</v>
      </c>
      <c r="B283" s="1832">
        <f>'Assets-Liab 5-6'!N22</f>
        <v>16130687</v>
      </c>
      <c r="D283" s="2" t="str">
        <f t="shared" si="3"/>
        <v>Error?</v>
      </c>
    </row>
    <row r="284" spans="1:4" x14ac:dyDescent="0.2">
      <c r="A284" s="5">
        <v>223</v>
      </c>
      <c r="B284" s="1832">
        <f>'Assets-Liab 5-6'!N23</f>
        <v>16156601</v>
      </c>
      <c r="C284" s="2" t="s">
        <v>569</v>
      </c>
      <c r="D284" s="2" t="str">
        <f t="shared" si="3"/>
        <v>Error?</v>
      </c>
    </row>
    <row r="285" spans="1:4" x14ac:dyDescent="0.2">
      <c r="A285" s="5">
        <v>224</v>
      </c>
      <c r="B285" s="1832">
        <f>'Assets-Liab 5-6'!N36</f>
        <v>16156601</v>
      </c>
      <c r="D285" s="2" t="str">
        <f t="shared" si="3"/>
        <v>Error?</v>
      </c>
    </row>
    <row r="286" spans="1:4" x14ac:dyDescent="0.2">
      <c r="A286" s="10">
        <v>225</v>
      </c>
      <c r="B286" s="1832"/>
      <c r="D286" s="2" t="str">
        <f t="shared" si="3"/>
        <v>OK</v>
      </c>
    </row>
    <row r="287" spans="1:4" x14ac:dyDescent="0.2">
      <c r="A287" s="5">
        <v>226</v>
      </c>
      <c r="B287" s="1832">
        <f>'Assets-Liab 5-6'!N37</f>
        <v>16156601</v>
      </c>
      <c r="C287" s="2" t="s">
        <v>569</v>
      </c>
      <c r="D287" s="2" t="str">
        <f t="shared" si="3"/>
        <v>Error?</v>
      </c>
    </row>
    <row r="288" spans="1:4" x14ac:dyDescent="0.2">
      <c r="A288" s="5">
        <v>227</v>
      </c>
      <c r="B288" s="1832">
        <f>'Assets-Liab 5-6'!N41</f>
        <v>16156601</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102000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12286219</v>
      </c>
      <c r="D705" s="2" t="str">
        <f t="shared" si="10"/>
        <v>Error?</v>
      </c>
    </row>
    <row r="706" spans="1:4" x14ac:dyDescent="0.2">
      <c r="A706" s="5">
        <v>645</v>
      </c>
      <c r="B706" s="1832">
        <f>'Expenditures 15-22'!C16</f>
        <v>422691</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197872</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469300</v>
      </c>
      <c r="D718" s="2" t="str">
        <f t="shared" si="10"/>
        <v>Error?</v>
      </c>
    </row>
    <row r="719" spans="1:4" x14ac:dyDescent="0.2">
      <c r="A719" s="5">
        <v>658</v>
      </c>
      <c r="B719" s="1832">
        <f>'Expenditures 15-22'!C15</f>
        <v>151530</v>
      </c>
      <c r="D719" s="2" t="str">
        <f t="shared" si="10"/>
        <v>Error?</v>
      </c>
    </row>
    <row r="720" spans="1:4" x14ac:dyDescent="0.2">
      <c r="A720" s="5">
        <v>659</v>
      </c>
      <c r="B720" s="1832">
        <f>'Expenditures 15-22'!C33</f>
        <v>15732440</v>
      </c>
      <c r="C720" s="2" t="s">
        <v>569</v>
      </c>
      <c r="D720" s="2" t="str">
        <f t="shared" si="10"/>
        <v>Error?</v>
      </c>
    </row>
    <row r="721" spans="1:4" x14ac:dyDescent="0.2">
      <c r="A721" s="5">
        <v>660</v>
      </c>
      <c r="B721" s="1832">
        <f>'Expenditures 15-22'!C36</f>
        <v>477181</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424444</v>
      </c>
      <c r="D723" s="2" t="str">
        <f t="shared" si="10"/>
        <v>Error?</v>
      </c>
    </row>
    <row r="724" spans="1:4" x14ac:dyDescent="0.2">
      <c r="A724" s="5">
        <v>663</v>
      </c>
      <c r="B724" s="1832">
        <f>'Expenditures 15-22'!C39</f>
        <v>357965</v>
      </c>
      <c r="D724" s="2" t="str">
        <f t="shared" si="10"/>
        <v>Error?</v>
      </c>
    </row>
    <row r="725" spans="1:4" x14ac:dyDescent="0.2">
      <c r="A725" s="5">
        <v>664</v>
      </c>
      <c r="B725" s="1832">
        <f>'Expenditures 15-22'!C40</f>
        <v>893206</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2152796</v>
      </c>
      <c r="C727" s="2" t="s">
        <v>569</v>
      </c>
      <c r="D727" s="2" t="str">
        <f t="shared" si="10"/>
        <v>Error?</v>
      </c>
    </row>
    <row r="728" spans="1:4" x14ac:dyDescent="0.2">
      <c r="A728" s="5">
        <v>667</v>
      </c>
      <c r="B728" s="1832">
        <f>'Expenditures 15-22'!C44</f>
        <v>251529</v>
      </c>
      <c r="D728" s="2" t="str">
        <f t="shared" si="10"/>
        <v>Error?</v>
      </c>
    </row>
    <row r="729" spans="1:4" x14ac:dyDescent="0.2">
      <c r="A729" s="5">
        <v>668</v>
      </c>
      <c r="B729" s="1832">
        <f>'Expenditures 15-22'!C45</f>
        <v>625798</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877327</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262227</v>
      </c>
      <c r="D733" s="2" t="str">
        <f t="shared" si="10"/>
        <v>Error?</v>
      </c>
    </row>
    <row r="734" spans="1:4" x14ac:dyDescent="0.2">
      <c r="A734" s="5">
        <v>673</v>
      </c>
      <c r="B734" s="1832">
        <f>'Expenditures 15-22'!C53</f>
        <v>471660</v>
      </c>
      <c r="C734" s="2" t="s">
        <v>569</v>
      </c>
      <c r="D734" s="2" t="str">
        <f t="shared" si="10"/>
        <v>Error?</v>
      </c>
    </row>
    <row r="735" spans="1:4" x14ac:dyDescent="0.2">
      <c r="A735" s="5">
        <v>674</v>
      </c>
      <c r="B735" s="1832">
        <f>'Expenditures 15-22'!C55</f>
        <v>1205674</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1205674</v>
      </c>
      <c r="C737" s="2" t="s">
        <v>569</v>
      </c>
      <c r="D737" s="2" t="str">
        <f t="shared" si="10"/>
        <v>Error?</v>
      </c>
    </row>
    <row r="738" spans="1:4" x14ac:dyDescent="0.2">
      <c r="A738" s="5">
        <v>677</v>
      </c>
      <c r="B738" s="1832">
        <f>'Expenditures 15-22'!C59</f>
        <v>346419</v>
      </c>
      <c r="D738" s="2" t="str">
        <f t="shared" si="10"/>
        <v>Error?</v>
      </c>
    </row>
    <row r="739" spans="1:4" x14ac:dyDescent="0.2">
      <c r="A739" s="5">
        <v>678</v>
      </c>
      <c r="B739" s="1832">
        <f>'Expenditures 15-22'!C60</f>
        <v>156995</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116389</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619803</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79091</v>
      </c>
      <c r="D748" s="2" t="str">
        <f t="shared" si="10"/>
        <v>Error?</v>
      </c>
    </row>
    <row r="749" spans="1:4" x14ac:dyDescent="0.2">
      <c r="A749" s="5">
        <v>688</v>
      </c>
      <c r="B749" s="1832">
        <f>'Expenditures 15-22'!C70</f>
        <v>231038</v>
      </c>
      <c r="D749" s="2" t="str">
        <f t="shared" si="10"/>
        <v>Error?</v>
      </c>
    </row>
    <row r="750" spans="1:4" x14ac:dyDescent="0.2">
      <c r="A750" s="10">
        <v>689</v>
      </c>
      <c r="B750" s="1832"/>
      <c r="D750" s="2" t="str">
        <f t="shared" si="10"/>
        <v>OK</v>
      </c>
    </row>
    <row r="751" spans="1:4" x14ac:dyDescent="0.2">
      <c r="A751" s="5">
        <v>690</v>
      </c>
      <c r="B751" s="1832">
        <f>'Expenditures 15-22'!C71</f>
        <v>664172</v>
      </c>
      <c r="D751" s="2" t="str">
        <f t="shared" si="10"/>
        <v>Error?</v>
      </c>
    </row>
    <row r="752" spans="1:4" x14ac:dyDescent="0.2">
      <c r="A752" s="10">
        <v>691</v>
      </c>
      <c r="B752" s="1832"/>
      <c r="D752" s="2" t="str">
        <f t="shared" si="10"/>
        <v>OK</v>
      </c>
    </row>
    <row r="753" spans="1:4" x14ac:dyDescent="0.2">
      <c r="A753" s="5">
        <v>692</v>
      </c>
      <c r="B753" s="1832">
        <f>'Expenditures 15-22'!C72</f>
        <v>974301</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6301561</v>
      </c>
      <c r="C755" s="2" t="s">
        <v>569</v>
      </c>
      <c r="D755" s="2" t="str">
        <f t="shared" si="10"/>
        <v>Error?</v>
      </c>
    </row>
    <row r="756" spans="1:4" x14ac:dyDescent="0.2">
      <c r="A756" s="5">
        <v>695</v>
      </c>
      <c r="B756" s="1832">
        <f>'Expenditures 15-22'!C75</f>
        <v>22203</v>
      </c>
      <c r="D756" s="2" t="str">
        <f t="shared" si="10"/>
        <v>Error?</v>
      </c>
    </row>
    <row r="757" spans="1:4" x14ac:dyDescent="0.2">
      <c r="A757" s="5">
        <v>696</v>
      </c>
      <c r="B757" s="1832">
        <f>'Expenditures 15-22'!C114</f>
        <v>22056204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1991988</v>
      </c>
      <c r="D763" s="2" t="str">
        <f t="shared" si="10"/>
        <v>Error?</v>
      </c>
    </row>
    <row r="764" spans="1:4" x14ac:dyDescent="0.2">
      <c r="A764" s="5">
        <v>703</v>
      </c>
      <c r="B764" s="1832">
        <f>'Expenditures 15-22'!D16</f>
        <v>74763</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22300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6464</v>
      </c>
      <c r="D776" s="2" t="str">
        <f t="shared" si="11"/>
        <v>Error?</v>
      </c>
    </row>
    <row r="777" spans="1:4" x14ac:dyDescent="0.2">
      <c r="A777" s="5">
        <v>716</v>
      </c>
      <c r="B777" s="1832">
        <f>'Expenditures 15-22'!D15</f>
        <v>1971</v>
      </c>
      <c r="D777" s="2" t="str">
        <f t="shared" si="11"/>
        <v>Error?</v>
      </c>
    </row>
    <row r="778" spans="1:4" x14ac:dyDescent="0.2">
      <c r="A778" s="5">
        <v>717</v>
      </c>
      <c r="B778" s="1832">
        <f>'Expenditures 15-22'!D33</f>
        <v>2671401</v>
      </c>
      <c r="C778" s="2" t="s">
        <v>569</v>
      </c>
      <c r="D778" s="2" t="str">
        <f t="shared" si="11"/>
        <v>Error?</v>
      </c>
    </row>
    <row r="779" spans="1:4" x14ac:dyDescent="0.2">
      <c r="A779" s="5">
        <v>718</v>
      </c>
      <c r="B779" s="1832">
        <f>'Expenditures 15-22'!D36</f>
        <v>79984</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66889</v>
      </c>
      <c r="D781" s="2" t="str">
        <f t="shared" si="11"/>
        <v>Error?</v>
      </c>
    </row>
    <row r="782" spans="1:4" x14ac:dyDescent="0.2">
      <c r="A782" s="5">
        <v>721</v>
      </c>
      <c r="B782" s="1832">
        <f>'Expenditures 15-22'!D39</f>
        <v>72804</v>
      </c>
      <c r="D782" s="2" t="str">
        <f t="shared" si="11"/>
        <v>Error?</v>
      </c>
    </row>
    <row r="783" spans="1:4" x14ac:dyDescent="0.2">
      <c r="A783" s="5">
        <v>722</v>
      </c>
      <c r="B783" s="1832">
        <f>'Expenditures 15-22'!D40</f>
        <v>128190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347867</v>
      </c>
      <c r="C785" s="2" t="s">
        <v>569</v>
      </c>
      <c r="D785" s="2" t="str">
        <f t="shared" si="11"/>
        <v>Error?</v>
      </c>
    </row>
    <row r="786" spans="1:4" x14ac:dyDescent="0.2">
      <c r="A786" s="5">
        <v>725</v>
      </c>
      <c r="B786" s="1832">
        <f>'Expenditures 15-22'!D44</f>
        <v>44145</v>
      </c>
      <c r="D786" s="2" t="str">
        <f t="shared" si="11"/>
        <v>Error?</v>
      </c>
    </row>
    <row r="787" spans="1:4" x14ac:dyDescent="0.2">
      <c r="A787" s="5">
        <v>726</v>
      </c>
      <c r="B787" s="1832">
        <f>'Expenditures 15-22'!D45</f>
        <v>129148</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173293</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46026</v>
      </c>
      <c r="D791" s="2" t="str">
        <f t="shared" si="11"/>
        <v>Error?</v>
      </c>
    </row>
    <row r="792" spans="1:4" x14ac:dyDescent="0.2">
      <c r="A792" s="5">
        <v>731</v>
      </c>
      <c r="B792" s="1832">
        <f>'Expenditures 15-22'!D53</f>
        <v>71615</v>
      </c>
      <c r="C792" s="2" t="s">
        <v>569</v>
      </c>
      <c r="D792" s="2" t="str">
        <f t="shared" si="11"/>
        <v>Error?</v>
      </c>
    </row>
    <row r="793" spans="1:4" x14ac:dyDescent="0.2">
      <c r="A793" s="5">
        <v>732</v>
      </c>
      <c r="B793" s="1832">
        <f>'Expenditures 15-22'!D55</f>
        <v>189989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189989</v>
      </c>
      <c r="C795" s="2" t="s">
        <v>569</v>
      </c>
      <c r="D795" s="2" t="str">
        <f t="shared" si="11"/>
        <v>Error?</v>
      </c>
    </row>
    <row r="796" spans="1:4" x14ac:dyDescent="0.2">
      <c r="A796" s="5">
        <v>735</v>
      </c>
      <c r="B796" s="1832">
        <f>'Expenditures 15-22'!D59</f>
        <v>39913</v>
      </c>
      <c r="D796" s="2" t="str">
        <f t="shared" si="11"/>
        <v>Error?</v>
      </c>
    </row>
    <row r="797" spans="1:4" x14ac:dyDescent="0.2">
      <c r="A797" s="5">
        <v>736</v>
      </c>
      <c r="B797" s="1832">
        <f>'Expenditures 15-22'!D60</f>
        <v>11511</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8295</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59719</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27165</v>
      </c>
      <c r="D806" s="2" t="str">
        <f t="shared" si="11"/>
        <v>Error?</v>
      </c>
    </row>
    <row r="807" spans="1:4" x14ac:dyDescent="0.2">
      <c r="A807" s="5">
        <v>746</v>
      </c>
      <c r="B807" s="1832">
        <f>'Expenditures 15-22'!D70</f>
        <v>31889</v>
      </c>
      <c r="D807" s="2" t="str">
        <f t="shared" si="11"/>
        <v>Error?</v>
      </c>
    </row>
    <row r="808" spans="1:4" x14ac:dyDescent="0.2">
      <c r="A808" s="10">
        <v>747</v>
      </c>
      <c r="B808" s="1832"/>
      <c r="D808" s="2" t="str">
        <f t="shared" si="11"/>
        <v>OK</v>
      </c>
    </row>
    <row r="809" spans="1:4" x14ac:dyDescent="0.2">
      <c r="A809" s="5">
        <v>748</v>
      </c>
      <c r="B809" s="1832">
        <f>'Expenditures 15-22'!D71</f>
        <v>105455</v>
      </c>
      <c r="D809" s="2" t="str">
        <f t="shared" si="11"/>
        <v>Error?</v>
      </c>
    </row>
    <row r="810" spans="1:4" x14ac:dyDescent="0.2">
      <c r="A810" s="10">
        <v>749</v>
      </c>
      <c r="B810" s="1832"/>
      <c r="D810" s="2" t="str">
        <f t="shared" si="11"/>
        <v>OK</v>
      </c>
    </row>
    <row r="811" spans="1:4" x14ac:dyDescent="0.2">
      <c r="A811" s="5">
        <v>750</v>
      </c>
      <c r="B811" s="1832">
        <f>'Expenditures 15-22'!D72</f>
        <v>164509</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1006992</v>
      </c>
      <c r="C813" s="2" t="s">
        <v>569</v>
      </c>
      <c r="D813" s="2" t="str">
        <f t="shared" si="11"/>
        <v>Error?</v>
      </c>
    </row>
    <row r="814" spans="1:4" x14ac:dyDescent="0.2">
      <c r="A814" s="5">
        <v>753</v>
      </c>
      <c r="B814" s="1832">
        <f>'Expenditures 15-22'!D75</f>
        <v>4450</v>
      </c>
      <c r="D814" s="2" t="str">
        <f t="shared" si="11"/>
        <v>Error?</v>
      </c>
    </row>
    <row r="815" spans="1:4" x14ac:dyDescent="0.2">
      <c r="A815" s="5">
        <v>754</v>
      </c>
      <c r="B815" s="1832">
        <f>'Expenditures 15-22'!D114</f>
        <v>3682843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38613</v>
      </c>
      <c r="D821" s="2" t="str">
        <f t="shared" si="11"/>
        <v>Error?</v>
      </c>
    </row>
    <row r="822" spans="1:4" x14ac:dyDescent="0.2">
      <c r="A822" s="5">
        <v>761</v>
      </c>
      <c r="B822" s="1832">
        <f>'Expenditures 15-22'!E16</f>
        <v>3198</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4291</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8216</v>
      </c>
      <c r="D834" s="2" t="str">
        <f t="shared" si="12"/>
        <v>Error?</v>
      </c>
    </row>
    <row r="835" spans="1:4" x14ac:dyDescent="0.2">
      <c r="A835" s="5">
        <v>774</v>
      </c>
      <c r="B835" s="1832">
        <f>'Expenditures 15-22'!E15</f>
        <v>1381</v>
      </c>
      <c r="D835" s="2" t="str">
        <f t="shared" si="12"/>
        <v>Error?</v>
      </c>
    </row>
    <row r="836" spans="1:4" x14ac:dyDescent="0.2">
      <c r="A836" s="5">
        <v>775</v>
      </c>
      <c r="B836" s="1832">
        <f>'Expenditures 15-22'!E33</f>
        <v>101612</v>
      </c>
      <c r="C836" s="2" t="s">
        <v>569</v>
      </c>
      <c r="D836" s="2" t="str">
        <f t="shared" si="12"/>
        <v>Error?</v>
      </c>
    </row>
    <row r="837" spans="1:4" x14ac:dyDescent="0.2">
      <c r="A837" s="5">
        <v>776</v>
      </c>
      <c r="B837" s="1832">
        <f>'Expenditures 15-22'!E36</f>
        <v>335</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51276</v>
      </c>
      <c r="D839" s="2" t="str">
        <f t="shared" si="12"/>
        <v>Error?</v>
      </c>
    </row>
    <row r="840" spans="1:4" x14ac:dyDescent="0.2">
      <c r="A840" s="5">
        <v>779</v>
      </c>
      <c r="B840" s="1832">
        <f>'Expenditures 15-22'!E39</f>
        <v>5017</v>
      </c>
      <c r="D840" s="2" t="str">
        <f t="shared" si="12"/>
        <v>Error?</v>
      </c>
    </row>
    <row r="841" spans="1:4" x14ac:dyDescent="0.2">
      <c r="A841" s="5">
        <v>780</v>
      </c>
      <c r="B841" s="1832">
        <f>'Expenditures 15-22'!E40</f>
        <v>4147</v>
      </c>
      <c r="D841" s="2" t="str">
        <f t="shared" si="12"/>
        <v>Error?</v>
      </c>
    </row>
    <row r="842" spans="1:4" x14ac:dyDescent="0.2">
      <c r="A842" s="5">
        <v>781</v>
      </c>
      <c r="B842" s="1832">
        <f>'Expenditures 15-22'!E41</f>
        <v>55399</v>
      </c>
      <c r="D842" s="2" t="str">
        <f t="shared" si="12"/>
        <v>Error?</v>
      </c>
    </row>
    <row r="843" spans="1:4" x14ac:dyDescent="0.2">
      <c r="A843" s="5">
        <v>782</v>
      </c>
      <c r="B843" s="1832">
        <f>'Expenditures 15-22'!E42</f>
        <v>116174</v>
      </c>
      <c r="C843" s="2" t="s">
        <v>569</v>
      </c>
      <c r="D843" s="2" t="str">
        <f t="shared" si="12"/>
        <v>Error?</v>
      </c>
    </row>
    <row r="844" spans="1:4" x14ac:dyDescent="0.2">
      <c r="A844" s="5">
        <v>783</v>
      </c>
      <c r="B844" s="1832">
        <f>'Expenditures 15-22'!E44</f>
        <v>136257</v>
      </c>
      <c r="D844" s="2" t="str">
        <f t="shared" si="12"/>
        <v>Error?</v>
      </c>
    </row>
    <row r="845" spans="1:4" x14ac:dyDescent="0.2">
      <c r="A845" s="5">
        <v>784</v>
      </c>
      <c r="B845" s="1832">
        <f>'Expenditures 15-22'!E45</f>
        <v>7747</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144004</v>
      </c>
      <c r="C847" s="2" t="s">
        <v>569</v>
      </c>
      <c r="D847" s="2" t="str">
        <f t="shared" si="12"/>
        <v>Error?</v>
      </c>
    </row>
    <row r="848" spans="1:4" x14ac:dyDescent="0.2">
      <c r="A848" s="5">
        <v>787</v>
      </c>
      <c r="B848" s="1832">
        <f>'Expenditures 15-22'!E49</f>
        <v>292226</v>
      </c>
      <c r="D848" s="2" t="str">
        <f t="shared" si="12"/>
        <v>Error?</v>
      </c>
    </row>
    <row r="849" spans="1:4" x14ac:dyDescent="0.2">
      <c r="A849" s="5">
        <v>788</v>
      </c>
      <c r="B849" s="1832">
        <f>'Expenditures 15-22'!E50</f>
        <v>4947</v>
      </c>
      <c r="D849" s="2" t="str">
        <f t="shared" si="12"/>
        <v>Error?</v>
      </c>
    </row>
    <row r="850" spans="1:4" x14ac:dyDescent="0.2">
      <c r="A850" s="5">
        <v>789</v>
      </c>
      <c r="B850" s="1832">
        <f>'Expenditures 15-22'!E53</f>
        <v>306445</v>
      </c>
      <c r="C850" s="2" t="s">
        <v>569</v>
      </c>
      <c r="D850" s="2" t="str">
        <f t="shared" si="12"/>
        <v>Error?</v>
      </c>
    </row>
    <row r="851" spans="1:4" x14ac:dyDescent="0.2">
      <c r="A851" s="5">
        <v>790</v>
      </c>
      <c r="B851" s="1832">
        <f>'Expenditures 15-22'!E55</f>
        <v>38578</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38578</v>
      </c>
      <c r="C853" s="2" t="s">
        <v>569</v>
      </c>
      <c r="D853" s="2" t="str">
        <f t="shared" si="12"/>
        <v>Error?</v>
      </c>
    </row>
    <row r="854" spans="1:4" x14ac:dyDescent="0.2">
      <c r="A854" s="5">
        <v>793</v>
      </c>
      <c r="B854" s="1832">
        <f>'Expenditures 15-22'!E59</f>
        <v>6563</v>
      </c>
      <c r="D854" s="2" t="str">
        <f t="shared" si="12"/>
        <v>Error?</v>
      </c>
    </row>
    <row r="855" spans="1:4" x14ac:dyDescent="0.2">
      <c r="A855" s="5">
        <v>794</v>
      </c>
      <c r="B855" s="1832">
        <f>'Expenditures 15-22'!E60</f>
        <v>216542</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380966</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604071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6139</v>
      </c>
      <c r="D864" s="2" t="str">
        <f t="shared" si="12"/>
        <v>Error?</v>
      </c>
    </row>
    <row r="865" spans="1:4" x14ac:dyDescent="0.2">
      <c r="A865" s="5">
        <v>804</v>
      </c>
      <c r="B865" s="1832">
        <f>'Expenditures 15-22'!E70</f>
        <v>43675</v>
      </c>
      <c r="D865" s="2" t="str">
        <f t="shared" si="12"/>
        <v>Error?</v>
      </c>
    </row>
    <row r="866" spans="1:4" x14ac:dyDescent="0.2">
      <c r="A866" s="10">
        <v>805</v>
      </c>
      <c r="B866" s="1832"/>
      <c r="D866" s="2" t="str">
        <f t="shared" si="12"/>
        <v>OK</v>
      </c>
    </row>
    <row r="867" spans="1:4" x14ac:dyDescent="0.2">
      <c r="A867" s="5">
        <v>806</v>
      </c>
      <c r="B867" s="1832">
        <f>'Expenditures 15-22'!E71</f>
        <v>279418</v>
      </c>
      <c r="D867" s="2" t="str">
        <f t="shared" si="12"/>
        <v>Error?</v>
      </c>
    </row>
    <row r="868" spans="1:4" x14ac:dyDescent="0.2">
      <c r="A868" s="10">
        <v>807</v>
      </c>
      <c r="B868" s="1832"/>
      <c r="D868" s="2" t="str">
        <f t="shared" si="12"/>
        <v>OK</v>
      </c>
    </row>
    <row r="869" spans="1:4" x14ac:dyDescent="0.2">
      <c r="A869" s="5">
        <v>808</v>
      </c>
      <c r="B869" s="1832">
        <f>'Expenditures 15-22'!E72</f>
        <v>329232</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1538504</v>
      </c>
      <c r="C871" s="2" t="s">
        <v>569</v>
      </c>
      <c r="D871" s="2" t="str">
        <f t="shared" si="12"/>
        <v>Error?</v>
      </c>
    </row>
    <row r="872" spans="1:4" x14ac:dyDescent="0.2">
      <c r="A872" s="5">
        <v>811</v>
      </c>
      <c r="B872" s="1832">
        <f>'Expenditures 15-22'!E75</f>
        <v>3693</v>
      </c>
      <c r="D872" s="2" t="str">
        <f t="shared" si="12"/>
        <v>Error?</v>
      </c>
    </row>
    <row r="873" spans="1:4" x14ac:dyDescent="0.2">
      <c r="A873" s="5">
        <v>812</v>
      </c>
      <c r="B873" s="1832">
        <f>'Expenditures 15-22'!E114</f>
        <v>1712474</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210920</v>
      </c>
      <c r="D879" s="2" t="str">
        <f t="shared" si="12"/>
        <v>Error?</v>
      </c>
    </row>
    <row r="880" spans="1:4" x14ac:dyDescent="0.2">
      <c r="A880" s="5">
        <v>819</v>
      </c>
      <c r="B880" s="1832">
        <f>'Expenditures 15-22'!F16</f>
        <v>1838</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455</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8352</v>
      </c>
      <c r="D892" s="2" t="str">
        <f t="shared" si="12"/>
        <v>Error?</v>
      </c>
    </row>
    <row r="893" spans="1:4" x14ac:dyDescent="0.2">
      <c r="A893" s="5">
        <v>832</v>
      </c>
      <c r="B893" s="1832">
        <f>'Expenditures 15-22'!F15</f>
        <v>13163</v>
      </c>
      <c r="D893" s="2" t="str">
        <f t="shared" si="12"/>
        <v>Error?</v>
      </c>
    </row>
    <row r="894" spans="1:4" x14ac:dyDescent="0.2">
      <c r="A894" s="5">
        <v>833</v>
      </c>
      <c r="B894" s="1832">
        <f>'Expenditures 15-22'!F33</f>
        <v>279631</v>
      </c>
      <c r="C894" s="2" t="s">
        <v>569</v>
      </c>
      <c r="D894" s="2" t="str">
        <f t="shared" si="12"/>
        <v>Error?</v>
      </c>
    </row>
    <row r="895" spans="1:4" x14ac:dyDescent="0.2">
      <c r="A895" s="5">
        <v>834</v>
      </c>
      <c r="B895" s="1832">
        <f>'Expenditures 15-22'!F36</f>
        <v>1535</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9420</v>
      </c>
      <c r="D897" s="2" t="str">
        <f t="shared" si="13"/>
        <v>Error?</v>
      </c>
    </row>
    <row r="898" spans="1:4" x14ac:dyDescent="0.2">
      <c r="A898" s="5">
        <v>837</v>
      </c>
      <c r="B898" s="1832">
        <f>'Expenditures 15-22'!F39</f>
        <v>2686</v>
      </c>
      <c r="D898" s="2" t="str">
        <f t="shared" si="13"/>
        <v>Error?</v>
      </c>
    </row>
    <row r="899" spans="1:4" x14ac:dyDescent="0.2">
      <c r="A899" s="5">
        <v>838</v>
      </c>
      <c r="B899" s="1832">
        <f>'Expenditures 15-22'!F40</f>
        <v>4911</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18552</v>
      </c>
      <c r="C901" s="2" t="s">
        <v>569</v>
      </c>
      <c r="D901" s="2" t="str">
        <f t="shared" si="13"/>
        <v>Error?</v>
      </c>
    </row>
    <row r="902" spans="1:4" x14ac:dyDescent="0.2">
      <c r="A902" s="5">
        <v>841</v>
      </c>
      <c r="B902" s="1832">
        <f>'Expenditures 15-22'!F44</f>
        <v>272018</v>
      </c>
      <c r="D902" s="2" t="str">
        <f t="shared" si="13"/>
        <v>Error?</v>
      </c>
    </row>
    <row r="903" spans="1:4" x14ac:dyDescent="0.2">
      <c r="A903" s="5">
        <v>842</v>
      </c>
      <c r="B903" s="1832">
        <f>'Expenditures 15-22'!F45</f>
        <v>42602</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314620</v>
      </c>
      <c r="C905" s="2" t="s">
        <v>569</v>
      </c>
      <c r="D905" s="2" t="str">
        <f t="shared" si="13"/>
        <v>Error?</v>
      </c>
    </row>
    <row r="906" spans="1:4" x14ac:dyDescent="0.2">
      <c r="A906" s="5">
        <v>845</v>
      </c>
      <c r="B906" s="1832">
        <f>'Expenditures 15-22'!F49</f>
        <v>8720</v>
      </c>
      <c r="D906" s="2" t="str">
        <f t="shared" si="13"/>
        <v>Error?</v>
      </c>
    </row>
    <row r="907" spans="1:4" x14ac:dyDescent="0.2">
      <c r="A907" s="5">
        <v>846</v>
      </c>
      <c r="B907" s="1832">
        <f>'Expenditures 15-22'!F50</f>
        <v>5524</v>
      </c>
      <c r="D907" s="2" t="str">
        <f t="shared" si="13"/>
        <v>Error?</v>
      </c>
    </row>
    <row r="908" spans="1:4" x14ac:dyDescent="0.2">
      <c r="A908" s="5">
        <v>847</v>
      </c>
      <c r="B908" s="1832">
        <f>'Expenditures 15-22'!F53</f>
        <v>14931</v>
      </c>
      <c r="C908" s="2" t="s">
        <v>569</v>
      </c>
      <c r="D908" s="2" t="str">
        <f t="shared" si="13"/>
        <v>Error?</v>
      </c>
    </row>
    <row r="909" spans="1:4" x14ac:dyDescent="0.2">
      <c r="A909" s="5">
        <v>848</v>
      </c>
      <c r="B909" s="1832">
        <f>'Expenditures 15-22'!F55</f>
        <v>8319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8319</v>
      </c>
      <c r="C911" s="2" t="s">
        <v>569</v>
      </c>
      <c r="D911" s="2" t="str">
        <f t="shared" si="13"/>
        <v>Error?</v>
      </c>
    </row>
    <row r="912" spans="1:4" x14ac:dyDescent="0.2">
      <c r="A912" s="5">
        <v>851</v>
      </c>
      <c r="B912" s="1832">
        <f>'Expenditures 15-22'!F59</f>
        <v>582</v>
      </c>
      <c r="D912" s="2" t="str">
        <f t="shared" si="13"/>
        <v>Error?</v>
      </c>
    </row>
    <row r="913" spans="1:4" x14ac:dyDescent="0.2">
      <c r="A913" s="5">
        <v>852</v>
      </c>
      <c r="B913" s="1832">
        <f>'Expenditures 15-22'!F60</f>
        <v>13495</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14077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310</v>
      </c>
      <c r="D922" s="2" t="str">
        <f t="shared" si="13"/>
        <v>Error?</v>
      </c>
    </row>
    <row r="923" spans="1:4" x14ac:dyDescent="0.2">
      <c r="A923" s="5">
        <v>862</v>
      </c>
      <c r="B923" s="1832">
        <f>'Expenditures 15-22'!F70</f>
        <v>2891</v>
      </c>
      <c r="D923" s="2" t="str">
        <f t="shared" si="13"/>
        <v>Error?</v>
      </c>
    </row>
    <row r="924" spans="1:4" x14ac:dyDescent="0.2">
      <c r="A924" s="10">
        <v>863</v>
      </c>
      <c r="B924" s="1832"/>
      <c r="D924" s="2" t="str">
        <f t="shared" si="13"/>
        <v>OK</v>
      </c>
    </row>
    <row r="925" spans="1:4" x14ac:dyDescent="0.2">
      <c r="A925" s="5">
        <v>864</v>
      </c>
      <c r="B925" s="1832">
        <f>'Expenditures 15-22'!F71</f>
        <v>187754</v>
      </c>
      <c r="D925" s="2" t="str">
        <f t="shared" si="13"/>
        <v>Error?</v>
      </c>
    </row>
    <row r="926" spans="1:4" x14ac:dyDescent="0.2">
      <c r="A926" s="10">
        <v>865</v>
      </c>
      <c r="B926" s="1832"/>
      <c r="D926" s="2" t="str">
        <f t="shared" si="13"/>
        <v>OK</v>
      </c>
    </row>
    <row r="927" spans="1:4" x14ac:dyDescent="0.2">
      <c r="A927" s="5">
        <v>866</v>
      </c>
      <c r="B927" s="1832">
        <f>'Expenditures 15-22'!F72</f>
        <v>190955</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561454</v>
      </c>
      <c r="C929" s="2" t="s">
        <v>569</v>
      </c>
      <c r="D929" s="2" t="str">
        <f t="shared" si="13"/>
        <v>Error?</v>
      </c>
    </row>
    <row r="930" spans="1:4" x14ac:dyDescent="0.2">
      <c r="A930" s="5">
        <v>869</v>
      </c>
      <c r="B930" s="1832">
        <f>'Expenditures 15-22'!F75</f>
        <v>35927</v>
      </c>
      <c r="D930" s="2" t="str">
        <f t="shared" si="13"/>
        <v>Error?</v>
      </c>
    </row>
    <row r="931" spans="1:4" x14ac:dyDescent="0.2">
      <c r="A931" s="5">
        <v>870</v>
      </c>
      <c r="B931" s="1832">
        <f>'Expenditures 15-22'!F114</f>
        <v>877012</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47519</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4901</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53289</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1494</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1494</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8967</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8967</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16709</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16709</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279882</v>
      </c>
      <c r="D983" s="2" t="str">
        <f t="shared" si="14"/>
        <v>Error?</v>
      </c>
    </row>
    <row r="984" spans="1:4" x14ac:dyDescent="0.2">
      <c r="A984" s="10">
        <v>923</v>
      </c>
      <c r="B984" s="1832"/>
      <c r="D984" s="2" t="str">
        <f t="shared" si="14"/>
        <v>OK</v>
      </c>
    </row>
    <row r="985" spans="1:4" x14ac:dyDescent="0.2">
      <c r="A985" s="5">
        <v>924</v>
      </c>
      <c r="B985" s="1832">
        <f>'Expenditures 15-22'!G72</f>
        <v>279882</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307052</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360341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186813</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465854</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386221</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852075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14762072</v>
      </c>
      <c r="C1093" s="2" t="s">
        <v>569</v>
      </c>
      <c r="D1093" s="2" t="str">
        <f t="shared" si="16"/>
        <v>Error?</v>
      </c>
    </row>
    <row r="1094" spans="1:4" x14ac:dyDescent="0.2">
      <c r="A1094" s="5">
        <v>1033</v>
      </c>
      <c r="B1094" s="1832">
        <f>'Expenditures 15-22'!K16</f>
        <v>502490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224918</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497233</v>
      </c>
      <c r="C1106" s="2" t="s">
        <v>569</v>
      </c>
      <c r="D1106" s="2" t="str">
        <f t="shared" si="16"/>
        <v>Error?</v>
      </c>
    </row>
    <row r="1107" spans="1:4" x14ac:dyDescent="0.2">
      <c r="A1107" s="5">
        <v>1046</v>
      </c>
      <c r="B1107" s="1832">
        <f>'Expenditures 15-22'!K15</f>
        <v>168045</v>
      </c>
      <c r="C1107" s="2" t="s">
        <v>569</v>
      </c>
      <c r="D1107" s="2" t="str">
        <f t="shared" si="16"/>
        <v>Error?</v>
      </c>
    </row>
    <row r="1108" spans="1:4" x14ac:dyDescent="0.2">
      <c r="A1108" s="5">
        <v>1047</v>
      </c>
      <c r="B1108" s="1832">
        <f>'Expenditures 15-22'!K33</f>
        <v>19304227</v>
      </c>
      <c r="C1108" s="2" t="s">
        <v>569</v>
      </c>
      <c r="D1108" s="2" t="str">
        <f t="shared" si="16"/>
        <v>Error?</v>
      </c>
    </row>
    <row r="1109" spans="1:4" x14ac:dyDescent="0.2">
      <c r="A1109" s="5">
        <v>1048</v>
      </c>
      <c r="B1109" s="1832">
        <f>'Expenditures 15-22'!K36</f>
        <v>559035</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552029</v>
      </c>
      <c r="C1111" s="2" t="s">
        <v>569</v>
      </c>
      <c r="D1111" s="2" t="str">
        <f t="shared" si="16"/>
        <v>Error?</v>
      </c>
    </row>
    <row r="1112" spans="1:4" x14ac:dyDescent="0.2">
      <c r="A1112" s="5">
        <v>1051</v>
      </c>
      <c r="B1112" s="1832">
        <f>'Expenditures 15-22'!K39</f>
        <v>438472</v>
      </c>
      <c r="C1112" s="2" t="s">
        <v>569</v>
      </c>
      <c r="D1112" s="2" t="str">
        <f t="shared" si="16"/>
        <v>Error?</v>
      </c>
    </row>
    <row r="1113" spans="1:4" x14ac:dyDescent="0.2">
      <c r="A1113" s="5">
        <v>1052</v>
      </c>
      <c r="B1113" s="1832">
        <f>'Expenditures 15-22'!K40</f>
        <v>1030454</v>
      </c>
      <c r="C1113" s="2" t="s">
        <v>569</v>
      </c>
      <c r="D1113" s="2" t="str">
        <f t="shared" si="16"/>
        <v>Error?</v>
      </c>
    </row>
    <row r="1114" spans="1:4" x14ac:dyDescent="0.2">
      <c r="A1114" s="5">
        <v>1053</v>
      </c>
      <c r="B1114" s="1832">
        <f>'Expenditures 15-22'!K41</f>
        <v>55399</v>
      </c>
      <c r="C1114" s="2" t="s">
        <v>569</v>
      </c>
      <c r="D1114" s="2" t="str">
        <f t="shared" si="16"/>
        <v>Error?</v>
      </c>
    </row>
    <row r="1115" spans="1:4" x14ac:dyDescent="0.2">
      <c r="A1115" s="5">
        <v>1054</v>
      </c>
      <c r="B1115" s="1832">
        <f>'Expenditures 15-22'!K42</f>
        <v>2635389</v>
      </c>
      <c r="C1115" s="2" t="s">
        <v>569</v>
      </c>
      <c r="D1115" s="2" t="str">
        <f t="shared" si="16"/>
        <v>Error?</v>
      </c>
    </row>
    <row r="1116" spans="1:4" x14ac:dyDescent="0.2">
      <c r="A1116" s="5">
        <v>1055</v>
      </c>
      <c r="B1116" s="1832">
        <f>'Expenditures 15-22'!K44</f>
        <v>703949</v>
      </c>
      <c r="C1116" s="2" t="s">
        <v>569</v>
      </c>
      <c r="D1116" s="2" t="str">
        <f t="shared" si="16"/>
        <v>Error?</v>
      </c>
    </row>
    <row r="1117" spans="1:4" x14ac:dyDescent="0.2">
      <c r="A1117" s="5">
        <v>1056</v>
      </c>
      <c r="B1117" s="1832">
        <f>'Expenditures 15-22'!K45</f>
        <v>806789</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1510738</v>
      </c>
      <c r="C1119" s="2" t="s">
        <v>569</v>
      </c>
      <c r="D1119" s="2" t="str">
        <f t="shared" si="16"/>
        <v>Error?</v>
      </c>
    </row>
    <row r="1120" spans="1:4" x14ac:dyDescent="0.2">
      <c r="A1120" s="5">
        <v>1059</v>
      </c>
      <c r="B1120" s="1832">
        <f>'Expenditures 15-22'!K49</f>
        <v>300946</v>
      </c>
      <c r="C1120" s="2" t="s">
        <v>569</v>
      </c>
      <c r="D1120" s="2" t="str">
        <f t="shared" si="16"/>
        <v>Error?</v>
      </c>
    </row>
    <row r="1121" spans="1:4" x14ac:dyDescent="0.2">
      <c r="A1121" s="5">
        <v>1060</v>
      </c>
      <c r="B1121" s="1832">
        <f>'Expenditures 15-22'!K50</f>
        <v>318724</v>
      </c>
      <c r="C1121" s="2" t="s">
        <v>569</v>
      </c>
      <c r="D1121" s="2" t="str">
        <f t="shared" si="16"/>
        <v>Error?</v>
      </c>
    </row>
    <row r="1122" spans="1:4" x14ac:dyDescent="0.2">
      <c r="A1122" s="5">
        <v>1061</v>
      </c>
      <c r="B1122" s="1832">
        <f>'Expenditures 15-22'!K53</f>
        <v>864651</v>
      </c>
      <c r="C1122" s="2" t="s">
        <v>569</v>
      </c>
      <c r="D1122" s="2" t="str">
        <f t="shared" si="16"/>
        <v>Error?</v>
      </c>
    </row>
    <row r="1123" spans="1:4" x14ac:dyDescent="0.2">
      <c r="A1123" s="5">
        <v>1062</v>
      </c>
      <c r="B1123" s="1832">
        <f>'Expenditures 15-22'!K55</f>
        <v>1451527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1451527</v>
      </c>
      <c r="C1125" s="2" t="s">
        <v>569</v>
      </c>
      <c r="D1125" s="2" t="str">
        <f t="shared" si="16"/>
        <v>Error?</v>
      </c>
    </row>
    <row r="1126" spans="1:4" x14ac:dyDescent="0.2">
      <c r="A1126" s="5">
        <v>1065</v>
      </c>
      <c r="B1126" s="1832">
        <f>'Expenditures 15-22'!K59</f>
        <v>393477</v>
      </c>
      <c r="C1126" s="2" t="s">
        <v>569</v>
      </c>
      <c r="D1126" s="2" t="str">
        <f t="shared" si="16"/>
        <v>Error?</v>
      </c>
    </row>
    <row r="1127" spans="1:4" x14ac:dyDescent="0.2">
      <c r="A1127" s="5">
        <v>1066</v>
      </c>
      <c r="B1127" s="1832">
        <f>'Expenditures 15-22'!K60</f>
        <v>415252</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505650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1314379</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112705</v>
      </c>
      <c r="C1136" s="2" t="s">
        <v>569</v>
      </c>
      <c r="D1136" s="2" t="str">
        <f t="shared" si="16"/>
        <v>Error?</v>
      </c>
    </row>
    <row r="1137" spans="1:4" x14ac:dyDescent="0.2">
      <c r="A1137" s="5">
        <v>1076</v>
      </c>
      <c r="B1137" s="1832">
        <f>'Expenditures 15-22'!K70</f>
        <v>309493</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1516681</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1938879</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9715563</v>
      </c>
      <c r="C1143" s="2" t="s">
        <v>569</v>
      </c>
      <c r="D1143" s="2" t="str">
        <f t="shared" si="16"/>
        <v>Error?</v>
      </c>
    </row>
    <row r="1144" spans="1:4" x14ac:dyDescent="0.2">
      <c r="A1144" s="5">
        <v>1083</v>
      </c>
      <c r="B1144" s="1832">
        <f>'Expenditures 15-22'!K75</f>
        <v>66273</v>
      </c>
      <c r="C1144" s="2" t="s">
        <v>569</v>
      </c>
      <c r="D1144" s="2" t="str">
        <f t="shared" si="16"/>
        <v>Error?</v>
      </c>
    </row>
    <row r="1145" spans="1:4" x14ac:dyDescent="0.2">
      <c r="A1145" s="5">
        <v>1084</v>
      </c>
      <c r="B1145" s="1832">
        <f>'Expenditures 15-22'!K102</f>
        <v>454886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29540949</v>
      </c>
      <c r="C1152" s="2" t="s">
        <v>569</v>
      </c>
      <c r="D1152" s="2" t="str">
        <f t="shared" si="17"/>
        <v>Error?</v>
      </c>
    </row>
    <row r="1153" spans="1:4" x14ac:dyDescent="0.2">
      <c r="A1153" s="5">
        <v>1092</v>
      </c>
      <c r="B1153" s="1832">
        <f>'Expenditures 15-22'!K115</f>
        <v>-2849698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1197685</v>
      </c>
      <c r="D1221" s="2" t="str">
        <f t="shared" si="18"/>
        <v>Error?</v>
      </c>
    </row>
    <row r="1222" spans="1:4" x14ac:dyDescent="0.2">
      <c r="A1222" s="10">
        <v>1161</v>
      </c>
      <c r="B1222" s="1832"/>
      <c r="D1222" s="2" t="str">
        <f t="shared" si="18"/>
        <v>OK</v>
      </c>
    </row>
    <row r="1223" spans="1:4" x14ac:dyDescent="0.2">
      <c r="A1223" s="5">
        <v>1162</v>
      </c>
      <c r="B1223" s="1832">
        <f>'Expenditures 15-22'!C127</f>
        <v>1197685</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1197685</v>
      </c>
      <c r="C1225" s="2" t="s">
        <v>569</v>
      </c>
      <c r="D1225" s="2" t="str">
        <f t="shared" si="18"/>
        <v>Error?</v>
      </c>
    </row>
    <row r="1226" spans="1:4" x14ac:dyDescent="0.2">
      <c r="A1226" s="5">
        <v>1165</v>
      </c>
      <c r="B1226" s="1832">
        <f>'Expenditures 15-22'!C151</f>
        <v>1197685</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316524</v>
      </c>
      <c r="D1229" s="2" t="str">
        <f t="shared" si="18"/>
        <v>Error?</v>
      </c>
    </row>
    <row r="1230" spans="1:4" x14ac:dyDescent="0.2">
      <c r="A1230" s="10">
        <v>1169</v>
      </c>
      <c r="B1230" s="1832"/>
      <c r="D1230" s="2" t="str">
        <f t="shared" si="18"/>
        <v>OK</v>
      </c>
    </row>
    <row r="1231" spans="1:4" x14ac:dyDescent="0.2">
      <c r="A1231" s="5">
        <v>1170</v>
      </c>
      <c r="B1231" s="1832">
        <f>'Expenditures 15-22'!D127</f>
        <v>316524</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316524</v>
      </c>
      <c r="C1233" s="2" t="s">
        <v>569</v>
      </c>
      <c r="D1233" s="2" t="str">
        <f t="shared" si="18"/>
        <v>Error?</v>
      </c>
    </row>
    <row r="1234" spans="1:4" x14ac:dyDescent="0.2">
      <c r="A1234" s="5">
        <v>1173</v>
      </c>
      <c r="B1234" s="1832">
        <f>'Expenditures 15-22'!D151</f>
        <v>316524</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470214</v>
      </c>
      <c r="D1237" s="2" t="str">
        <f t="shared" si="18"/>
        <v>Error?</v>
      </c>
    </row>
    <row r="1238" spans="1:4" x14ac:dyDescent="0.2">
      <c r="A1238" s="10">
        <v>1177</v>
      </c>
      <c r="B1238" s="1832"/>
      <c r="D1238" s="2" t="str">
        <f t="shared" si="18"/>
        <v>OK</v>
      </c>
    </row>
    <row r="1239" spans="1:4" x14ac:dyDescent="0.2">
      <c r="A1239" s="5">
        <v>1178</v>
      </c>
      <c r="B1239" s="1832">
        <f>'Expenditures 15-22'!E127</f>
        <v>470214</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470214</v>
      </c>
      <c r="C1241" s="2" t="s">
        <v>569</v>
      </c>
      <c r="D1241" s="2" t="str">
        <f t="shared" si="18"/>
        <v>Error?</v>
      </c>
    </row>
    <row r="1242" spans="1:4" x14ac:dyDescent="0.2">
      <c r="A1242" s="5">
        <v>1181</v>
      </c>
      <c r="B1242" s="1832">
        <f>'Expenditures 15-22'!E151</f>
        <v>574930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526032</v>
      </c>
      <c r="D1245" s="2" t="str">
        <f t="shared" si="18"/>
        <v>Error?</v>
      </c>
    </row>
    <row r="1246" spans="1:4" x14ac:dyDescent="0.2">
      <c r="A1246" s="10">
        <v>1185</v>
      </c>
      <c r="B1246" s="1832"/>
      <c r="D1246" s="2" t="str">
        <f t="shared" si="18"/>
        <v>OK</v>
      </c>
    </row>
    <row r="1247" spans="1:4" x14ac:dyDescent="0.2">
      <c r="A1247" s="5">
        <v>1186</v>
      </c>
      <c r="B1247" s="1832">
        <f>'Expenditures 15-22'!F127</f>
        <v>526032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526032</v>
      </c>
      <c r="C1249" s="2" t="s">
        <v>569</v>
      </c>
      <c r="D1249" s="2" t="str">
        <f t="shared" si="18"/>
        <v>Error?</v>
      </c>
    </row>
    <row r="1250" spans="1:4" x14ac:dyDescent="0.2">
      <c r="A1250" s="5">
        <v>1189</v>
      </c>
      <c r="B1250" s="1832">
        <f>'Expenditures 15-22'!F151</f>
        <v>526032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314061</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314061</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314061</v>
      </c>
      <c r="C1258" s="2" t="s">
        <v>569</v>
      </c>
      <c r="D1258" s="2" t="str">
        <f t="shared" si="18"/>
        <v>Error?</v>
      </c>
    </row>
    <row r="1259" spans="1:4" x14ac:dyDescent="0.2">
      <c r="A1259" s="5">
        <v>1198</v>
      </c>
      <c r="B1259" s="1832">
        <f>'Expenditures 15-22'!G151</f>
        <v>314061</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2824516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2824516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2824516</v>
      </c>
      <c r="C1281" s="2" t="s">
        <v>569</v>
      </c>
      <c r="D1281" s="2" t="str">
        <f t="shared" si="19"/>
        <v>Error?</v>
      </c>
    </row>
    <row r="1282" spans="1:4" x14ac:dyDescent="0.2">
      <c r="A1282" s="5">
        <v>1221</v>
      </c>
      <c r="B1282" s="1832">
        <f>'Expenditures 15-22'!K139</f>
        <v>104716</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2929232</v>
      </c>
      <c r="C1288" s="2" t="s">
        <v>569</v>
      </c>
      <c r="D1288" s="2" t="str">
        <f t="shared" si="19"/>
        <v>Error?</v>
      </c>
    </row>
    <row r="1289" spans="1:4" x14ac:dyDescent="0.2">
      <c r="A1289" s="5">
        <v>1228</v>
      </c>
      <c r="B1289" s="1832">
        <f>'Expenditures 15-22'!K152</f>
        <v>1078152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646275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1856493</v>
      </c>
      <c r="D1315" s="2" t="str">
        <f t="shared" si="19"/>
        <v>Error?</v>
      </c>
    </row>
    <row r="1316" spans="1:4" x14ac:dyDescent="0.2">
      <c r="A1316" s="5">
        <v>1255</v>
      </c>
      <c r="B1316" s="1832">
        <f>'Expenditures 15-22'!H171</f>
        <v>1900</v>
      </c>
      <c r="D1316" s="2" t="str">
        <f t="shared" si="19"/>
        <v>Error?</v>
      </c>
    </row>
    <row r="1317" spans="1:4" x14ac:dyDescent="0.2">
      <c r="A1317" s="5">
        <v>1256</v>
      </c>
      <c r="B1317" s="1832">
        <f>'Expenditures 15-22'!H172</f>
        <v>2504668</v>
      </c>
      <c r="C1317" s="2" t="s">
        <v>569</v>
      </c>
      <c r="D1317" s="2" t="str">
        <f t="shared" si="19"/>
        <v>Error?</v>
      </c>
    </row>
    <row r="1318" spans="1:4" x14ac:dyDescent="0.2">
      <c r="A1318" s="5">
        <v>1257</v>
      </c>
      <c r="B1318" s="1832">
        <f>'Expenditures 15-22'!H174</f>
        <v>2504668</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646275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1856493</v>
      </c>
      <c r="C1329" s="2" t="s">
        <v>569</v>
      </c>
      <c r="D1329" s="2" t="str">
        <f t="shared" si="19"/>
        <v>Error?</v>
      </c>
    </row>
    <row r="1330" spans="1:4" x14ac:dyDescent="0.2">
      <c r="A1330" s="5">
        <v>1269</v>
      </c>
      <c r="B1330" s="1832">
        <f>'Expenditures 15-22'!K171</f>
        <v>1900</v>
      </c>
      <c r="C1330" s="2" t="s">
        <v>569</v>
      </c>
      <c r="D1330" s="2" t="str">
        <f t="shared" si="19"/>
        <v>Error?</v>
      </c>
    </row>
    <row r="1331" spans="1:4" x14ac:dyDescent="0.2">
      <c r="A1331" s="5">
        <v>1270</v>
      </c>
      <c r="B1331" s="1832">
        <f>'Expenditures 15-22'!K172</f>
        <v>2504668</v>
      </c>
      <c r="C1331" s="2" t="s">
        <v>569</v>
      </c>
      <c r="D1331" s="2" t="str">
        <f t="shared" si="19"/>
        <v>Error?</v>
      </c>
    </row>
    <row r="1332" spans="1:4" x14ac:dyDescent="0.2">
      <c r="A1332" s="5">
        <v>1271</v>
      </c>
      <c r="B1332" s="1832">
        <f>'Expenditures 15-22'!K174</f>
        <v>2504668</v>
      </c>
      <c r="C1332" s="2" t="s">
        <v>569</v>
      </c>
      <c r="D1332" s="2" t="str">
        <f t="shared" si="19"/>
        <v>Error?</v>
      </c>
    </row>
    <row r="1333" spans="1:4" x14ac:dyDescent="0.2">
      <c r="A1333" s="5">
        <v>1272</v>
      </c>
      <c r="B1333" s="1832">
        <f>'Expenditures 15-22'!K175</f>
        <v>-1109627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16586</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16586</v>
      </c>
      <c r="C1339" s="2" t="s">
        <v>569</v>
      </c>
      <c r="D1339" s="2" t="str">
        <f t="shared" si="19"/>
        <v>Error?</v>
      </c>
    </row>
    <row r="1340" spans="1:4" x14ac:dyDescent="0.2">
      <c r="A1340" s="5">
        <v>1279</v>
      </c>
      <c r="B1340" s="1832">
        <f>'Expenditures 15-22'!C210</f>
        <v>16586</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1703321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1703321</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1703321</v>
      </c>
      <c r="C1353" s="2" t="s">
        <v>569</v>
      </c>
      <c r="D1353" s="2" t="str">
        <f t="shared" si="20"/>
        <v>Error?</v>
      </c>
    </row>
    <row r="1354" spans="1:4" x14ac:dyDescent="0.2">
      <c r="A1354" s="5">
        <v>1293</v>
      </c>
      <c r="B1354" s="1832">
        <f>'Expenditures 15-22'!F182</f>
        <v>484204</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484204</v>
      </c>
      <c r="C1358" s="2" t="s">
        <v>569</v>
      </c>
      <c r="D1358" s="2" t="str">
        <f t="shared" si="20"/>
        <v>Error?</v>
      </c>
    </row>
    <row r="1359" spans="1:4" x14ac:dyDescent="0.2">
      <c r="A1359" s="5">
        <v>1298</v>
      </c>
      <c r="B1359" s="1832">
        <f>'Expenditures 15-22'!F210</f>
        <v>484204</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2204111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2204111</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2204111</v>
      </c>
      <c r="C1388" s="2" t="s">
        <v>569</v>
      </c>
      <c r="D1388" s="2" t="str">
        <f t="shared" si="20"/>
        <v>Error?</v>
      </c>
    </row>
    <row r="1389" spans="1:4" x14ac:dyDescent="0.2">
      <c r="A1389" s="5">
        <v>1328</v>
      </c>
      <c r="B1389" s="1832">
        <f>'Expenditures 15-22'!K211</f>
        <v>79273</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5625</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2865</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12453</v>
      </c>
      <c r="D1408" s="2" t="str">
        <f t="shared" si="21"/>
        <v>Error?</v>
      </c>
    </row>
    <row r="1409" spans="1:4" x14ac:dyDescent="0.2">
      <c r="A1409" s="5">
        <v>1348</v>
      </c>
      <c r="B1409" s="1832">
        <f>'Expenditures 15-22'!D224</f>
        <v>5736</v>
      </c>
      <c r="D1409" s="2" t="str">
        <f t="shared" si="21"/>
        <v>Error?</v>
      </c>
    </row>
    <row r="1410" spans="1:4" x14ac:dyDescent="0.2">
      <c r="A1410" s="5">
        <v>1349</v>
      </c>
      <c r="B1410" s="1832">
        <f>'Expenditures 15-22'!D229</f>
        <v>337156</v>
      </c>
      <c r="C1410" s="2" t="s">
        <v>569</v>
      </c>
      <c r="D1410" s="2" t="str">
        <f t="shared" si="21"/>
        <v>Error?</v>
      </c>
    </row>
    <row r="1411" spans="1:4" x14ac:dyDescent="0.2">
      <c r="A1411" s="5">
        <v>1350</v>
      </c>
      <c r="B1411" s="1832">
        <f>'Expenditures 15-22'!D232</f>
        <v>6505</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75671</v>
      </c>
      <c r="D1413" s="2" t="str">
        <f t="shared" si="21"/>
        <v>Error?</v>
      </c>
    </row>
    <row r="1414" spans="1:4" x14ac:dyDescent="0.2">
      <c r="A1414" s="5">
        <v>1353</v>
      </c>
      <c r="B1414" s="1832">
        <f>'Expenditures 15-22'!D235</f>
        <v>4783</v>
      </c>
      <c r="D1414" s="2" t="str">
        <f t="shared" si="21"/>
        <v>Error?</v>
      </c>
    </row>
    <row r="1415" spans="1:4" x14ac:dyDescent="0.2">
      <c r="A1415" s="5">
        <v>1354</v>
      </c>
      <c r="B1415" s="1832">
        <f>'Expenditures 15-22'!D236</f>
        <v>11444</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98403</v>
      </c>
      <c r="C1417" s="2" t="s">
        <v>569</v>
      </c>
      <c r="D1417" s="2" t="str">
        <f t="shared" si="21"/>
        <v>Error?</v>
      </c>
    </row>
    <row r="1418" spans="1:4" x14ac:dyDescent="0.2">
      <c r="A1418" s="5">
        <v>1357</v>
      </c>
      <c r="B1418" s="1832">
        <f>'Expenditures 15-22'!D240</f>
        <v>11560</v>
      </c>
      <c r="D1418" s="2" t="str">
        <f t="shared" si="21"/>
        <v>Error?</v>
      </c>
    </row>
    <row r="1419" spans="1:4" x14ac:dyDescent="0.2">
      <c r="A1419" s="5">
        <v>1358</v>
      </c>
      <c r="B1419" s="1832">
        <f>'Expenditures 15-22'!D241</f>
        <v>31567</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43127</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14413</v>
      </c>
      <c r="D1423" s="2" t="str">
        <f t="shared" si="21"/>
        <v>Error?</v>
      </c>
    </row>
    <row r="1424" spans="1:4" x14ac:dyDescent="0.2">
      <c r="A1424" s="5">
        <v>1363</v>
      </c>
      <c r="B1424" s="1832">
        <f>'Expenditures 15-22'!D257</f>
        <v>23643</v>
      </c>
      <c r="C1424" s="2" t="s">
        <v>569</v>
      </c>
      <c r="D1424" s="2" t="str">
        <f t="shared" si="21"/>
        <v>Error?</v>
      </c>
    </row>
    <row r="1425" spans="1:4" x14ac:dyDescent="0.2">
      <c r="A1425" s="5">
        <v>1364</v>
      </c>
      <c r="B1425" s="1832">
        <f>'Expenditures 15-22'!D259</f>
        <v>56683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56683</v>
      </c>
      <c r="C1427" s="2" t="s">
        <v>569</v>
      </c>
      <c r="D1427" s="2" t="str">
        <f t="shared" si="21"/>
        <v>Error?</v>
      </c>
    </row>
    <row r="1428" spans="1:4" x14ac:dyDescent="0.2">
      <c r="A1428" s="5">
        <v>1367</v>
      </c>
      <c r="B1428" s="1832">
        <f>'Expenditures 15-22'!D263</f>
        <v>15878</v>
      </c>
      <c r="D1428" s="2" t="str">
        <f t="shared" si="21"/>
        <v>Error?</v>
      </c>
    </row>
    <row r="1429" spans="1:4" x14ac:dyDescent="0.2">
      <c r="A1429" s="5">
        <v>1368</v>
      </c>
      <c r="B1429" s="1832">
        <f>'Expenditures 15-22'!D264</f>
        <v>28706</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197955</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25114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267653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14365</v>
      </c>
      <c r="D1439" s="2" t="str">
        <f t="shared" si="21"/>
        <v>Error?</v>
      </c>
    </row>
    <row r="1440" spans="1:4" x14ac:dyDescent="0.2">
      <c r="A1440" s="5">
        <v>1379</v>
      </c>
      <c r="B1440" s="1832">
        <f>'Expenditures 15-22'!D275</f>
        <v>9891</v>
      </c>
      <c r="D1440" s="2" t="str">
        <f t="shared" si="21"/>
        <v>Error?</v>
      </c>
    </row>
    <row r="1441" spans="1:4" x14ac:dyDescent="0.2">
      <c r="A1441" s="10">
        <v>1380</v>
      </c>
      <c r="B1441" s="1832"/>
      <c r="D1441" s="2" t="str">
        <f t="shared" si="21"/>
        <v>OK</v>
      </c>
    </row>
    <row r="1442" spans="1:4" x14ac:dyDescent="0.2">
      <c r="A1442" s="5">
        <v>1381</v>
      </c>
      <c r="B1442" s="1832">
        <f>'Expenditures 15-22'!D276</f>
        <v>65255</v>
      </c>
      <c r="D1442" s="2" t="str">
        <f t="shared" si="21"/>
        <v>Error?</v>
      </c>
    </row>
    <row r="1443" spans="1:4" x14ac:dyDescent="0.2">
      <c r="A1443" s="10">
        <v>1382</v>
      </c>
      <c r="B1443" s="1832"/>
      <c r="D1443" s="2" t="str">
        <f t="shared" si="21"/>
        <v>OK</v>
      </c>
    </row>
    <row r="1444" spans="1:4" x14ac:dyDescent="0.2">
      <c r="A1444" s="5">
        <v>1383</v>
      </c>
      <c r="B1444" s="1832">
        <f>'Expenditures 15-22'!D277</f>
        <v>89511</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579020</v>
      </c>
      <c r="C1446" s="2" t="s">
        <v>569</v>
      </c>
      <c r="D1446" s="2" t="str">
        <f t="shared" si="21"/>
        <v>Error?</v>
      </c>
    </row>
    <row r="1447" spans="1:4" x14ac:dyDescent="0.2">
      <c r="A1447" s="5">
        <v>1386</v>
      </c>
      <c r="B1447" s="1832">
        <f>'Expenditures 15-22'!D280</f>
        <v>287</v>
      </c>
      <c r="D1447" s="2" t="str">
        <f t="shared" si="21"/>
        <v>Error?</v>
      </c>
    </row>
    <row r="1448" spans="1:4" x14ac:dyDescent="0.2">
      <c r="A1448" s="5">
        <v>1387</v>
      </c>
      <c r="B1448" s="1832">
        <f>'Expenditures 15-22'!D295</f>
        <v>984398</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5625</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2865</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12453</v>
      </c>
      <c r="C1472" s="2" t="s">
        <v>569</v>
      </c>
      <c r="D1472" s="2" t="str">
        <f t="shared" si="22"/>
        <v>Error?</v>
      </c>
    </row>
    <row r="1473" spans="1:4" x14ac:dyDescent="0.2">
      <c r="A1473" s="5">
        <v>1412</v>
      </c>
      <c r="B1473" s="1832">
        <f>'Expenditures 15-22'!K224</f>
        <v>5736</v>
      </c>
      <c r="C1473" s="2" t="s">
        <v>569</v>
      </c>
      <c r="D1473" s="2" t="str">
        <f t="shared" si="22"/>
        <v>Error?</v>
      </c>
    </row>
    <row r="1474" spans="1:4" x14ac:dyDescent="0.2">
      <c r="A1474" s="5">
        <v>1413</v>
      </c>
      <c r="B1474" s="1832">
        <f>'Expenditures 15-22'!K229</f>
        <v>337156</v>
      </c>
      <c r="C1474" s="2" t="s">
        <v>569</v>
      </c>
      <c r="D1474" s="2" t="str">
        <f t="shared" si="22"/>
        <v>Error?</v>
      </c>
    </row>
    <row r="1475" spans="1:4" x14ac:dyDescent="0.2">
      <c r="A1475" s="5">
        <v>1414</v>
      </c>
      <c r="B1475" s="1832">
        <f>'Expenditures 15-22'!K232</f>
        <v>6505</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75671</v>
      </c>
      <c r="C1477" s="2" t="s">
        <v>569</v>
      </c>
      <c r="D1477" s="2" t="str">
        <f t="shared" si="22"/>
        <v>Error?</v>
      </c>
    </row>
    <row r="1478" spans="1:4" x14ac:dyDescent="0.2">
      <c r="A1478" s="5">
        <v>1417</v>
      </c>
      <c r="B1478" s="1832">
        <f>'Expenditures 15-22'!K235</f>
        <v>4783</v>
      </c>
      <c r="C1478" s="2" t="s">
        <v>569</v>
      </c>
      <c r="D1478" s="2" t="str">
        <f t="shared" si="22"/>
        <v>Error?</v>
      </c>
    </row>
    <row r="1479" spans="1:4" x14ac:dyDescent="0.2">
      <c r="A1479" s="5">
        <v>1418</v>
      </c>
      <c r="B1479" s="1832">
        <f>'Expenditures 15-22'!K236</f>
        <v>11444</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98403</v>
      </c>
      <c r="C1481" s="2" t="s">
        <v>569</v>
      </c>
      <c r="D1481" s="2" t="str">
        <f t="shared" si="22"/>
        <v>Error?</v>
      </c>
    </row>
    <row r="1482" spans="1:4" x14ac:dyDescent="0.2">
      <c r="A1482" s="5">
        <v>1421</v>
      </c>
      <c r="B1482" s="1832">
        <f>'Expenditures 15-22'!K240</f>
        <v>11560</v>
      </c>
      <c r="C1482" s="2" t="s">
        <v>569</v>
      </c>
      <c r="D1482" s="2" t="str">
        <f t="shared" si="22"/>
        <v>Error?</v>
      </c>
    </row>
    <row r="1483" spans="1:4" x14ac:dyDescent="0.2">
      <c r="A1483" s="5">
        <v>1422</v>
      </c>
      <c r="B1483" s="1832">
        <f>'Expenditures 15-22'!K241</f>
        <v>31567</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43127</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14413</v>
      </c>
      <c r="C1487" s="2" t="s">
        <v>569</v>
      </c>
      <c r="D1487" s="2" t="str">
        <f t="shared" si="22"/>
        <v>Error?</v>
      </c>
    </row>
    <row r="1488" spans="1:4" x14ac:dyDescent="0.2">
      <c r="A1488" s="5">
        <v>1427</v>
      </c>
      <c r="B1488" s="1832">
        <f>'Expenditures 15-22'!K257</f>
        <v>23643</v>
      </c>
      <c r="C1488" s="2" t="s">
        <v>569</v>
      </c>
      <c r="D1488" s="2" t="str">
        <f t="shared" si="22"/>
        <v>Error?</v>
      </c>
    </row>
    <row r="1489" spans="1:4" x14ac:dyDescent="0.2">
      <c r="A1489" s="5">
        <v>1428</v>
      </c>
      <c r="B1489" s="1832">
        <f>'Expenditures 15-22'!K259</f>
        <v>56683</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56683</v>
      </c>
      <c r="C1491" s="2" t="s">
        <v>569</v>
      </c>
      <c r="D1491" s="2" t="str">
        <f t="shared" si="22"/>
        <v>Error?</v>
      </c>
    </row>
    <row r="1492" spans="1:4" x14ac:dyDescent="0.2">
      <c r="A1492" s="5">
        <v>1431</v>
      </c>
      <c r="B1492" s="1832">
        <f>'Expenditures 15-22'!K263</f>
        <v>15878</v>
      </c>
      <c r="C1492" s="2" t="s">
        <v>569</v>
      </c>
      <c r="D1492" s="2" t="str">
        <f t="shared" si="22"/>
        <v>Error?</v>
      </c>
    </row>
    <row r="1493" spans="1:4" x14ac:dyDescent="0.2">
      <c r="A1493" s="5">
        <v>1432</v>
      </c>
      <c r="B1493" s="1832">
        <f>'Expenditures 15-22'!K264</f>
        <v>28706</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197955</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25114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267653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14365</v>
      </c>
      <c r="C1503" s="2" t="s">
        <v>569</v>
      </c>
      <c r="D1503" s="2" t="str">
        <f t="shared" si="22"/>
        <v>Error?</v>
      </c>
    </row>
    <row r="1504" spans="1:4" x14ac:dyDescent="0.2">
      <c r="A1504" s="5">
        <v>1443</v>
      </c>
      <c r="B1504" s="1832">
        <f>'Expenditures 15-22'!K275</f>
        <v>9891</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65255</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89511</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579020</v>
      </c>
      <c r="C1510" s="2" t="s">
        <v>569</v>
      </c>
      <c r="D1510" s="2" t="str">
        <f t="shared" si="22"/>
        <v>Error?</v>
      </c>
    </row>
    <row r="1511" spans="1:4" x14ac:dyDescent="0.2">
      <c r="A1511" s="5">
        <v>1450</v>
      </c>
      <c r="B1511" s="1832">
        <f>'Expenditures 15-22'!K280</f>
        <v>287</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984398</v>
      </c>
      <c r="C1517" s="2" t="s">
        <v>569</v>
      </c>
      <c r="D1517" s="2" t="str">
        <f t="shared" si="22"/>
        <v>Error?</v>
      </c>
    </row>
    <row r="1518" spans="1:4" x14ac:dyDescent="0.2">
      <c r="A1518" s="5">
        <v>1457</v>
      </c>
      <c r="B1518" s="1832">
        <f>'Expenditures 15-22'!K296</f>
        <v>-42306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86800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86800</v>
      </c>
      <c r="C1535" s="2" t="s">
        <v>569</v>
      </c>
      <c r="D1535" s="2" t="str">
        <f t="shared" ref="D1535:D1598" si="23">IF(ISBLANK(B1535),"OK",IF(A1535-B1535=0,"OK","Error?"))</f>
        <v>Error?</v>
      </c>
    </row>
    <row r="1536" spans="1:4" x14ac:dyDescent="0.2">
      <c r="A1536" s="5">
        <v>1475</v>
      </c>
      <c r="B1536" s="1832">
        <f>'Expenditures 15-22'!E312</f>
        <v>86800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5863600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5863600</v>
      </c>
      <c r="C1547" s="2" t="s">
        <v>569</v>
      </c>
      <c r="D1547" s="2" t="str">
        <f t="shared" si="23"/>
        <v>Error?</v>
      </c>
    </row>
    <row r="1548" spans="1:4" x14ac:dyDescent="0.2">
      <c r="A1548" s="5">
        <v>1487</v>
      </c>
      <c r="B1548" s="1832">
        <f>'Expenditures 15-22'!G312</f>
        <v>5863600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5950400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5950400</v>
      </c>
      <c r="C1559" s="2" t="s">
        <v>569</v>
      </c>
      <c r="D1559" s="2" t="str">
        <f t="shared" si="23"/>
        <v>Error?</v>
      </c>
    </row>
    <row r="1560" spans="1:4" x14ac:dyDescent="0.2">
      <c r="A1560" s="5">
        <v>1499</v>
      </c>
      <c r="B1560" s="1832">
        <f>'Expenditures 15-22'!K312</f>
        <v>5950400</v>
      </c>
      <c r="C1560" s="2" t="s">
        <v>569</v>
      </c>
      <c r="D1560" s="2" t="str">
        <f t="shared" si="23"/>
        <v>Error?</v>
      </c>
    </row>
    <row r="1561" spans="1:4" x14ac:dyDescent="0.2">
      <c r="A1561" s="5">
        <v>1500</v>
      </c>
      <c r="B1561" s="1832">
        <f>'Expenditures 15-22'!K313</f>
        <v>-5924693</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11032951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7950605</v>
      </c>
      <c r="C1630" s="2" t="s">
        <v>569</v>
      </c>
      <c r="D1630" s="2" t="str">
        <f t="shared" si="24"/>
        <v>Error?</v>
      </c>
    </row>
    <row r="1631" spans="1:4" x14ac:dyDescent="0.2">
      <c r="A1631" s="5">
        <v>1570</v>
      </c>
      <c r="B1631" s="1832">
        <f>'Acct Summary 7-8'!D79</f>
        <v>1403807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1682264</v>
      </c>
      <c r="C1644" s="2" t="s">
        <v>569</v>
      </c>
      <c r="D1644" s="2" t="str">
        <f t="shared" si="24"/>
        <v>Error?</v>
      </c>
    </row>
    <row r="1645" spans="1:4" x14ac:dyDescent="0.2">
      <c r="A1645" s="5">
        <v>1584</v>
      </c>
      <c r="B1645" s="1832">
        <f>'Acct Summary 7-8'!E79</f>
        <v>1198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25914</v>
      </c>
      <c r="C1658" s="2" t="s">
        <v>569</v>
      </c>
      <c r="D1658" s="2" t="str">
        <f t="shared" si="24"/>
        <v>Error?</v>
      </c>
    </row>
    <row r="1659" spans="1:4" x14ac:dyDescent="0.2">
      <c r="A1659" s="5">
        <v>1598</v>
      </c>
      <c r="B1659" s="1832">
        <f>'Acct Summary 7-8'!F79</f>
        <v>262956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342229</v>
      </c>
      <c r="C1672" s="2" t="s">
        <v>569</v>
      </c>
      <c r="D1672" s="2" t="str">
        <f t="shared" si="25"/>
        <v>Error?</v>
      </c>
    </row>
    <row r="1673" spans="1:4" x14ac:dyDescent="0.2">
      <c r="A1673" s="5">
        <v>1612</v>
      </c>
      <c r="B1673" s="1832">
        <f>'Acct Summary 7-8'!G79</f>
        <v>287169</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244863</v>
      </c>
      <c r="C1686" s="2" t="s">
        <v>569</v>
      </c>
      <c r="D1686" s="2" t="str">
        <f t="shared" si="25"/>
        <v>Error?</v>
      </c>
    </row>
    <row r="1687" spans="1:4" x14ac:dyDescent="0.2">
      <c r="A1687" s="5">
        <v>1626</v>
      </c>
      <c r="B1687" s="1832">
        <f>'Acct Summary 7-8'!H79</f>
        <v>6005493</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80800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23196864</v>
      </c>
      <c r="C1744" s="2" t="s">
        <v>569</v>
      </c>
      <c r="D1744" s="2" t="str">
        <f t="shared" si="26"/>
        <v>Error?</v>
      </c>
    </row>
    <row r="1745" spans="1:5" x14ac:dyDescent="0.2">
      <c r="A1745" s="5">
        <v>1684</v>
      </c>
      <c r="B1745" s="1832">
        <f>'Tax Sched 23'!B5</f>
        <v>3356810</v>
      </c>
      <c r="C1745" s="2" t="s">
        <v>569</v>
      </c>
      <c r="D1745" s="2" t="str">
        <f t="shared" si="26"/>
        <v>Error?</v>
      </c>
    </row>
    <row r="1746" spans="1:5" x14ac:dyDescent="0.2">
      <c r="A1746" s="5">
        <v>1685</v>
      </c>
      <c r="B1746" s="1832">
        <f>'Tax Sched 23'!B6</f>
        <v>803713</v>
      </c>
      <c r="C1746" s="2" t="s">
        <v>569</v>
      </c>
      <c r="D1746" s="2" t="str">
        <f t="shared" si="26"/>
        <v>Error?</v>
      </c>
    </row>
    <row r="1747" spans="1:5" x14ac:dyDescent="0.2">
      <c r="A1747" s="5">
        <v>1686</v>
      </c>
      <c r="B1747" s="1832">
        <f>'Tax Sched 23'!B7</f>
        <v>1094871</v>
      </c>
      <c r="C1747" s="2" t="s">
        <v>569</v>
      </c>
      <c r="D1747" s="2" t="str">
        <f t="shared" si="26"/>
        <v>Error?</v>
      </c>
    </row>
    <row r="1748" spans="1:5" x14ac:dyDescent="0.2">
      <c r="A1748" s="5">
        <v>1687</v>
      </c>
      <c r="B1748" s="1832">
        <f>'Tax Sched 23'!B8</f>
        <v>251661</v>
      </c>
      <c r="C1748" s="2" t="s">
        <v>569</v>
      </c>
      <c r="D1748" s="2" t="str">
        <f t="shared" si="26"/>
        <v>Error?</v>
      </c>
    </row>
    <row r="1749" spans="1:5" x14ac:dyDescent="0.2">
      <c r="A1749" s="5">
        <v>1688</v>
      </c>
      <c r="B1749" s="1832">
        <f>'Tax Sched 23'!B10</f>
        <v>94003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60613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29110383</v>
      </c>
      <c r="C1759" s="2" t="s">
        <v>569</v>
      </c>
      <c r="D1759" s="2" t="str">
        <f t="shared" si="26"/>
        <v>Error?</v>
      </c>
    </row>
    <row r="1760" spans="1:5" x14ac:dyDescent="0.2">
      <c r="A1760" s="5">
        <v>1699</v>
      </c>
      <c r="B1760" s="1832">
        <f>'Tax Sched 23'!D4</f>
        <v>12524674</v>
      </c>
      <c r="C1760" s="2" t="s">
        <v>569</v>
      </c>
      <c r="D1760" s="2" t="str">
        <f t="shared" si="26"/>
        <v>Error?</v>
      </c>
    </row>
    <row r="1761" spans="1:7" x14ac:dyDescent="0.2">
      <c r="A1761" s="5">
        <v>1700</v>
      </c>
      <c r="B1761" s="1832">
        <f>'Tax Sched 23'!D5</f>
        <v>1797029</v>
      </c>
      <c r="C1761" s="2" t="s">
        <v>569</v>
      </c>
      <c r="D1761" s="2" t="str">
        <f t="shared" si="26"/>
        <v>Error?</v>
      </c>
    </row>
    <row r="1762" spans="1:7" s="8" customFormat="1" x14ac:dyDescent="0.2">
      <c r="A1762" s="5">
        <v>1701</v>
      </c>
      <c r="B1762" s="1832">
        <f>'Tax Sched 23'!D6</f>
        <v>437129</v>
      </c>
      <c r="C1762" s="2" t="s">
        <v>569</v>
      </c>
      <c r="D1762" s="2" t="str">
        <f t="shared" si="26"/>
        <v>Error?</v>
      </c>
      <c r="E1762" s="9"/>
      <c r="G1762"/>
    </row>
    <row r="1763" spans="1:7" x14ac:dyDescent="0.2">
      <c r="A1763" s="5">
        <v>1702</v>
      </c>
      <c r="B1763" s="1832">
        <f>'Tax Sched 23'!D7</f>
        <v>602308</v>
      </c>
      <c r="C1763" s="2" t="s">
        <v>569</v>
      </c>
      <c r="D1763" s="2" t="str">
        <f t="shared" si="26"/>
        <v>Error?</v>
      </c>
    </row>
    <row r="1764" spans="1:7" x14ac:dyDescent="0.2">
      <c r="A1764" s="5">
        <v>1703</v>
      </c>
      <c r="B1764" s="1832">
        <f>'Tax Sched 23'!D8</f>
        <v>128517</v>
      </c>
      <c r="C1764" s="2" t="s">
        <v>569</v>
      </c>
      <c r="D1764" s="2" t="str">
        <f t="shared" si="26"/>
        <v>Error?</v>
      </c>
    </row>
    <row r="1765" spans="1:7" x14ac:dyDescent="0.2">
      <c r="A1765" s="5">
        <v>1704</v>
      </c>
      <c r="B1765" s="1832">
        <f>'Tax Sched 23'!D10</f>
        <v>52950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34446</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15705757</v>
      </c>
      <c r="C1775" s="2" t="s">
        <v>569</v>
      </c>
      <c r="D1775" s="2" t="str">
        <f t="shared" si="26"/>
        <v>Error?</v>
      </c>
    </row>
    <row r="1776" spans="1:7" x14ac:dyDescent="0.2">
      <c r="A1776" s="5">
        <v>1715</v>
      </c>
      <c r="B1776" s="1832">
        <f>'Tax Sched 23'!C4</f>
        <v>10672190</v>
      </c>
      <c r="D1776" s="2" t="str">
        <f t="shared" si="26"/>
        <v>Error?</v>
      </c>
    </row>
    <row r="1777" spans="1:4" x14ac:dyDescent="0.2">
      <c r="A1777" s="5">
        <v>1716</v>
      </c>
      <c r="B1777" s="1832">
        <f>'Tax Sched 23'!C5</f>
        <v>1559781</v>
      </c>
      <c r="D1777" s="2" t="str">
        <f t="shared" si="26"/>
        <v>Error?</v>
      </c>
    </row>
    <row r="1778" spans="1:4" x14ac:dyDescent="0.2">
      <c r="A1778" s="5">
        <v>1717</v>
      </c>
      <c r="B1778" s="1832">
        <f>'Tax Sched 23'!C6</f>
        <v>366584</v>
      </c>
      <c r="D1778" s="2" t="str">
        <f t="shared" si="26"/>
        <v>Error?</v>
      </c>
    </row>
    <row r="1779" spans="1:4" x14ac:dyDescent="0.2">
      <c r="A1779" s="5">
        <v>1718</v>
      </c>
      <c r="B1779" s="1832">
        <f>'Tax Sched 23'!C7</f>
        <v>492563</v>
      </c>
      <c r="D1779" s="2" t="str">
        <f t="shared" si="26"/>
        <v>Error?</v>
      </c>
    </row>
    <row r="1780" spans="1:4" x14ac:dyDescent="0.2">
      <c r="A1780" s="5">
        <v>1719</v>
      </c>
      <c r="B1780" s="1832">
        <f>'Tax Sched 23'!C8</f>
        <v>123144</v>
      </c>
      <c r="D1780" s="2" t="str">
        <f t="shared" si="26"/>
        <v>Error?</v>
      </c>
    </row>
    <row r="1781" spans="1:4" x14ac:dyDescent="0.2">
      <c r="A1781" s="5">
        <v>1720</v>
      </c>
      <c r="B1781" s="1832">
        <f>'Tax Sched 23'!C10</f>
        <v>41053</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26167</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13404626</v>
      </c>
      <c r="C1791" s="2" t="s">
        <v>569</v>
      </c>
      <c r="D1791" s="2" t="str">
        <f t="shared" ref="D1791:D1854" si="27">IF(ISBLANK(B1791),"OK",IF(A1791-B1791=0,"OK","Error?"))</f>
        <v>Error?</v>
      </c>
    </row>
    <row r="1792" spans="1:4" x14ac:dyDescent="0.2">
      <c r="A1792" s="5">
        <v>1731</v>
      </c>
      <c r="B1792" s="1832">
        <f>'Tax Sched 23'!F4</f>
        <v>14946025</v>
      </c>
      <c r="C1792" s="2" t="s">
        <v>569</v>
      </c>
      <c r="D1792" s="2" t="str">
        <f t="shared" si="27"/>
        <v>Error?</v>
      </c>
    </row>
    <row r="1793" spans="1:4" x14ac:dyDescent="0.2">
      <c r="A1793" s="5">
        <v>1732</v>
      </c>
      <c r="B1793" s="1832">
        <f>'Tax Sched 23'!F5</f>
        <v>2184419</v>
      </c>
      <c r="C1793" s="2" t="s">
        <v>569</v>
      </c>
      <c r="D1793" s="2" t="str">
        <f t="shared" si="27"/>
        <v>Error?</v>
      </c>
    </row>
    <row r="1794" spans="1:4" x14ac:dyDescent="0.2">
      <c r="A1794" s="5">
        <v>1733</v>
      </c>
      <c r="B1794" s="1832">
        <f>'Tax Sched 23'!F6</f>
        <v>513387</v>
      </c>
      <c r="C1794" s="2" t="s">
        <v>569</v>
      </c>
      <c r="D1794" s="2" t="str">
        <f t="shared" si="27"/>
        <v>Error?</v>
      </c>
    </row>
    <row r="1795" spans="1:4" x14ac:dyDescent="0.2">
      <c r="A1795" s="5">
        <v>1734</v>
      </c>
      <c r="B1795" s="1832">
        <f>'Tax Sched 23'!F7</f>
        <v>689818</v>
      </c>
      <c r="C1795" s="2" t="s">
        <v>569</v>
      </c>
      <c r="D1795" s="2" t="str">
        <f t="shared" si="27"/>
        <v>Error?</v>
      </c>
    </row>
    <row r="1796" spans="1:4" x14ac:dyDescent="0.2">
      <c r="A1796" s="5">
        <v>1735</v>
      </c>
      <c r="B1796" s="1832">
        <f>'Tax Sched 23'!F8</f>
        <v>172460</v>
      </c>
      <c r="C1796" s="2" t="s">
        <v>569</v>
      </c>
      <c r="D1796" s="2" t="str">
        <f t="shared" si="27"/>
        <v>Error?</v>
      </c>
    </row>
    <row r="1797" spans="1:4" x14ac:dyDescent="0.2">
      <c r="A1797" s="5">
        <v>1736</v>
      </c>
      <c r="B1797" s="1832">
        <f>'Tax Sched 23'!F10</f>
        <v>57493</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36645</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18772707</v>
      </c>
      <c r="C1807" s="2" t="s">
        <v>569</v>
      </c>
      <c r="D1807" s="2" t="str">
        <f t="shared" si="27"/>
        <v>Error?</v>
      </c>
    </row>
    <row r="1808" spans="1:4" x14ac:dyDescent="0.2">
      <c r="A1808" s="5">
        <v>1747</v>
      </c>
      <c r="B1808" s="1832">
        <f>'Tax Sched 23'!E4</f>
        <v>25618215</v>
      </c>
      <c r="D1808" s="2" t="str">
        <f t="shared" si="27"/>
        <v>Error?</v>
      </c>
    </row>
    <row r="1809" spans="1:4" x14ac:dyDescent="0.2">
      <c r="A1809" s="5">
        <v>1748</v>
      </c>
      <c r="B1809" s="1832">
        <f>'Tax Sched 23'!E5</f>
        <v>3744200</v>
      </c>
      <c r="D1809" s="2" t="str">
        <f t="shared" si="27"/>
        <v>Error?</v>
      </c>
    </row>
    <row r="1810" spans="1:4" x14ac:dyDescent="0.2">
      <c r="A1810" s="5">
        <v>1749</v>
      </c>
      <c r="B1810" s="1832">
        <f>'Tax Sched 23'!E6</f>
        <v>879971</v>
      </c>
      <c r="D1810" s="2" t="str">
        <f t="shared" si="27"/>
        <v>Error?</v>
      </c>
    </row>
    <row r="1811" spans="1:4" x14ac:dyDescent="0.2">
      <c r="A1811" s="5">
        <v>1750</v>
      </c>
      <c r="B1811" s="1832">
        <f>'Tax Sched 23'!E7</f>
        <v>1182381</v>
      </c>
      <c r="D1811" s="2" t="str">
        <f t="shared" si="27"/>
        <v>Error?</v>
      </c>
    </row>
    <row r="1812" spans="1:4" x14ac:dyDescent="0.2">
      <c r="A1812" s="5">
        <v>1751</v>
      </c>
      <c r="B1812" s="1832">
        <f>'Tax Sched 23'!E8</f>
        <v>295604</v>
      </c>
      <c r="D1812" s="2" t="str">
        <f t="shared" si="27"/>
        <v>Error?</v>
      </c>
    </row>
    <row r="1813" spans="1:4" x14ac:dyDescent="0.2">
      <c r="A1813" s="5">
        <v>1752</v>
      </c>
      <c r="B1813" s="1832">
        <f>'Tax Sched 23'!E10</f>
        <v>98546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62812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32177333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17783029</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313824</v>
      </c>
      <c r="D2008" s="2" t="str">
        <f t="shared" si="30"/>
        <v>Error?</v>
      </c>
    </row>
    <row r="2009" spans="1:4" x14ac:dyDescent="0.2">
      <c r="A2009" s="5">
        <v>1948</v>
      </c>
      <c r="B2009" s="1832">
        <f>'Cap Outlay Deprec 26'!C8</f>
        <v>63346577</v>
      </c>
      <c r="D2009" s="2" t="str">
        <f t="shared" si="30"/>
        <v>Error?</v>
      </c>
    </row>
    <row r="2010" spans="1:4" x14ac:dyDescent="0.2">
      <c r="A2010" s="5">
        <v>1949</v>
      </c>
      <c r="B2010" s="1832">
        <f>'Cap Outlay Deprec 26'!C10</f>
        <v>1781874</v>
      </c>
      <c r="D2010" s="2" t="str">
        <f t="shared" si="30"/>
        <v>Error?</v>
      </c>
    </row>
    <row r="2011" spans="1:4" x14ac:dyDescent="0.2">
      <c r="A2011" s="5">
        <v>1950</v>
      </c>
      <c r="B2011" s="1832">
        <f>'Cap Outlay Deprec 26'!C12</f>
        <v>13963730</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79406005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6195084</v>
      </c>
      <c r="D2015" s="2" t="str">
        <f t="shared" si="30"/>
        <v>Error?</v>
      </c>
    </row>
    <row r="2016" spans="1:4" x14ac:dyDescent="0.2">
      <c r="A2016" s="5">
        <v>1955</v>
      </c>
      <c r="B2016" s="1832">
        <f>'Cap Outlay Deprec 26'!D10</f>
        <v>20628</v>
      </c>
      <c r="D2016" s="2" t="str">
        <f t="shared" si="30"/>
        <v>Error?</v>
      </c>
    </row>
    <row r="2017" spans="1:4" x14ac:dyDescent="0.2">
      <c r="A2017" s="5">
        <v>1956</v>
      </c>
      <c r="B2017" s="1832">
        <f>'Cap Outlay Deprec 26'!D12</f>
        <v>552355</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6768067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313824</v>
      </c>
      <c r="C2026" s="2" t="s">
        <v>569</v>
      </c>
      <c r="D2026" s="2" t="str">
        <f t="shared" si="30"/>
        <v>Error?</v>
      </c>
    </row>
    <row r="2027" spans="1:4" x14ac:dyDescent="0.2">
      <c r="A2027" s="5">
        <v>1966</v>
      </c>
      <c r="B2027" s="1832">
        <f>'Cap Outlay Deprec 26'!F8</f>
        <v>69541661</v>
      </c>
      <c r="C2027" s="2" t="s">
        <v>569</v>
      </c>
      <c r="D2027" s="2" t="str">
        <f t="shared" si="30"/>
        <v>Error?</v>
      </c>
    </row>
    <row r="2028" spans="1:4" x14ac:dyDescent="0.2">
      <c r="A2028" s="5">
        <v>1967</v>
      </c>
      <c r="B2028" s="1832">
        <f>'Cap Outlay Deprec 26'!F10</f>
        <v>1802502</v>
      </c>
      <c r="C2028" s="2" t="s">
        <v>569</v>
      </c>
      <c r="D2028" s="2" t="str">
        <f t="shared" si="30"/>
        <v>Error?</v>
      </c>
    </row>
    <row r="2029" spans="1:4" x14ac:dyDescent="0.2">
      <c r="A2029" s="5">
        <v>1968</v>
      </c>
      <c r="B2029" s="1832">
        <f>'Cap Outlay Deprec 26'!F12</f>
        <v>14516085</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86174072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16874316</v>
      </c>
      <c r="D2033" s="2" t="str">
        <f t="shared" si="30"/>
        <v>Error?</v>
      </c>
    </row>
    <row r="2034" spans="1:4" x14ac:dyDescent="0.2">
      <c r="A2034" s="5">
        <v>1973</v>
      </c>
      <c r="B2034" s="1832">
        <f>'Cap Outlay Deprec 26'!H10</f>
        <v>948747</v>
      </c>
      <c r="D2034" s="2" t="str">
        <f t="shared" si="30"/>
        <v>Error?</v>
      </c>
    </row>
    <row r="2035" spans="1:4" x14ac:dyDescent="0.2">
      <c r="A2035" s="5">
        <v>1974</v>
      </c>
      <c r="B2035" s="1832">
        <f>'Cap Outlay Deprec 26'!H12</f>
        <v>11215083</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29038146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1328883</v>
      </c>
      <c r="D2039" s="2" t="str">
        <f t="shared" si="30"/>
        <v>Error?</v>
      </c>
    </row>
    <row r="2040" spans="1:4" x14ac:dyDescent="0.2">
      <c r="A2040" s="5">
        <v>1979</v>
      </c>
      <c r="B2040" s="1832">
        <f>'Cap Outlay Deprec 26'!I10</f>
        <v>61862</v>
      </c>
      <c r="D2040" s="2" t="str">
        <f t="shared" si="30"/>
        <v>Error?</v>
      </c>
    </row>
    <row r="2041" spans="1:4" x14ac:dyDescent="0.2">
      <c r="A2041" s="5">
        <v>1980</v>
      </c>
      <c r="B2041" s="1832">
        <f>'Cap Outlay Deprec 26'!I12</f>
        <v>637751</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2028496</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18203199</v>
      </c>
      <c r="C2051" s="2" t="s">
        <v>569</v>
      </c>
      <c r="D2051" s="2" t="str">
        <f t="shared" si="31"/>
        <v>Error?</v>
      </c>
    </row>
    <row r="2052" spans="1:4" x14ac:dyDescent="0.2">
      <c r="A2052" s="5">
        <v>1991</v>
      </c>
      <c r="B2052" s="1832">
        <f>'Cap Outlay Deprec 26'!K10</f>
        <v>1010609</v>
      </c>
      <c r="C2052" s="2" t="s">
        <v>569</v>
      </c>
      <c r="D2052" s="2" t="str">
        <f t="shared" si="31"/>
        <v>Error?</v>
      </c>
    </row>
    <row r="2053" spans="1:4" x14ac:dyDescent="0.2">
      <c r="A2053" s="5">
        <v>1992</v>
      </c>
      <c r="B2053" s="1832">
        <f>'Cap Outlay Deprec 26'!K12</f>
        <v>11852834</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31066642</v>
      </c>
      <c r="C2055" s="2" t="s">
        <v>569</v>
      </c>
      <c r="D2055" s="2" t="str">
        <f t="shared" si="31"/>
        <v>Error?</v>
      </c>
    </row>
    <row r="2056" spans="1:4" x14ac:dyDescent="0.2">
      <c r="A2056" s="5">
        <v>1995</v>
      </c>
      <c r="B2056" s="1832">
        <f>'Cap Outlay Deprec 26'!L5</f>
        <v>313824</v>
      </c>
      <c r="C2056" s="2" t="s">
        <v>569</v>
      </c>
      <c r="D2056" s="2" t="str">
        <f t="shared" si="31"/>
        <v>Error?</v>
      </c>
    </row>
    <row r="2057" spans="1:4" x14ac:dyDescent="0.2">
      <c r="A2057" s="5">
        <v>1996</v>
      </c>
      <c r="B2057" s="1832">
        <f>'Cap Outlay Deprec 26'!L8</f>
        <v>51338462</v>
      </c>
      <c r="C2057" s="2" t="s">
        <v>569</v>
      </c>
      <c r="D2057" s="2" t="str">
        <f t="shared" si="31"/>
        <v>Error?</v>
      </c>
    </row>
    <row r="2058" spans="1:4" x14ac:dyDescent="0.2">
      <c r="A2058" s="5">
        <v>1997</v>
      </c>
      <c r="B2058" s="1832">
        <f>'Cap Outlay Deprec 26'!L10</f>
        <v>791893</v>
      </c>
      <c r="C2058" s="2" t="s">
        <v>569</v>
      </c>
      <c r="D2058" s="2" t="str">
        <f t="shared" si="31"/>
        <v>Error?</v>
      </c>
    </row>
    <row r="2059" spans="1:4" x14ac:dyDescent="0.2">
      <c r="A2059" s="5">
        <v>1998</v>
      </c>
      <c r="B2059" s="1832">
        <f>'Cap Outlay Deprec 26'!L12</f>
        <v>2663251</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55107430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386221</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454886</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104716</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102000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24341129</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1915288</v>
      </c>
      <c r="C2553" s="2" t="s">
        <v>569</v>
      </c>
      <c r="D2553" s="2" t="str">
        <f t="shared" si="38"/>
        <v>Error?</v>
      </c>
    </row>
    <row r="2554" spans="1:4" x14ac:dyDescent="0.2">
      <c r="A2554" s="5">
        <v>2493</v>
      </c>
      <c r="B2554" s="1832">
        <f>'Acct Summary 7-8'!C7</f>
        <v>434834</v>
      </c>
      <c r="C2554" s="2" t="s">
        <v>569</v>
      </c>
      <c r="D2554" s="2" t="str">
        <f t="shared" si="38"/>
        <v>Error?</v>
      </c>
    </row>
    <row r="2555" spans="1:4" x14ac:dyDescent="0.2">
      <c r="A2555" s="5">
        <v>2494</v>
      </c>
      <c r="B2555" s="1832">
        <f>'Acct Summary 7-8'!C8</f>
        <v>26691251</v>
      </c>
      <c r="C2555" s="2" t="s">
        <v>569</v>
      </c>
      <c r="D2555" s="2" t="str">
        <f t="shared" si="38"/>
        <v>Error?</v>
      </c>
    </row>
    <row r="2556" spans="1:4" x14ac:dyDescent="0.2">
      <c r="A2556" s="5">
        <v>2495</v>
      </c>
      <c r="B2556" s="1832">
        <f>'Acct Summary 7-8'!C12</f>
        <v>19304227</v>
      </c>
      <c r="C2556" s="2" t="s">
        <v>569</v>
      </c>
      <c r="D2556" s="2" t="str">
        <f t="shared" si="38"/>
        <v>Error?</v>
      </c>
    </row>
    <row r="2557" spans="1:4" x14ac:dyDescent="0.2">
      <c r="A2557" s="5">
        <v>2496</v>
      </c>
      <c r="B2557" s="1832">
        <f>'Acct Summary 7-8'!C13</f>
        <v>9715563</v>
      </c>
      <c r="C2557" s="2" t="s">
        <v>569</v>
      </c>
      <c r="D2557" s="2" t="str">
        <f t="shared" si="38"/>
        <v>Error?</v>
      </c>
    </row>
    <row r="2558" spans="1:4" x14ac:dyDescent="0.2">
      <c r="A2558" s="5">
        <v>2497</v>
      </c>
      <c r="B2558" s="1832">
        <f>'Acct Summary 7-8'!C14</f>
        <v>66273</v>
      </c>
      <c r="C2558" s="2" t="s">
        <v>569</v>
      </c>
      <c r="D2558" s="2" t="str">
        <f t="shared" si="38"/>
        <v>Error?</v>
      </c>
    </row>
    <row r="2559" spans="1:4" x14ac:dyDescent="0.2">
      <c r="A2559" s="5">
        <v>2498</v>
      </c>
      <c r="B2559" s="1832">
        <f>'Acct Summary 7-8'!C15</f>
        <v>454886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29540949</v>
      </c>
      <c r="C2561" s="2" t="s">
        <v>569</v>
      </c>
      <c r="D2561" s="2" t="str">
        <f t="shared" si="39"/>
        <v>Error?</v>
      </c>
    </row>
    <row r="2562" spans="1:4" x14ac:dyDescent="0.2">
      <c r="A2562" s="5">
        <v>2501</v>
      </c>
      <c r="B2562" s="1832">
        <f>'Acct Summary 7-8'!C20</f>
        <v>-2849698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3957384</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4007384</v>
      </c>
      <c r="C2568" s="2" t="s">
        <v>569</v>
      </c>
      <c r="D2568" s="2" t="str">
        <f t="shared" si="39"/>
        <v>Error?</v>
      </c>
    </row>
    <row r="2569" spans="1:4" x14ac:dyDescent="0.2">
      <c r="A2569" s="5">
        <v>2508</v>
      </c>
      <c r="B2569" s="1832">
        <f>'Acct Summary 7-8'!D13</f>
        <v>2824516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104716</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2929232</v>
      </c>
      <c r="C2573" s="2" t="s">
        <v>569</v>
      </c>
      <c r="D2573" s="2" t="str">
        <f t="shared" si="39"/>
        <v>Error?</v>
      </c>
    </row>
    <row r="2574" spans="1:4" x14ac:dyDescent="0.2">
      <c r="A2574" s="5">
        <v>2513</v>
      </c>
      <c r="B2574" s="1832">
        <f>'Acct Summary 7-8'!D20</f>
        <v>1078152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1563106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720278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2283384</v>
      </c>
      <c r="C2595" s="2" t="s">
        <v>569</v>
      </c>
      <c r="D2595" s="2" t="str">
        <f t="shared" si="39"/>
        <v>Error?</v>
      </c>
    </row>
    <row r="2596" spans="1:4" x14ac:dyDescent="0.2">
      <c r="A2596" s="5">
        <v>2535</v>
      </c>
      <c r="B2596" s="1832">
        <f>'Acct Summary 7-8'!F13</f>
        <v>2204111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2204111</v>
      </c>
      <c r="C2600" s="2" t="s">
        <v>569</v>
      </c>
      <c r="D2600" s="2" t="str">
        <f t="shared" si="39"/>
        <v>Error?</v>
      </c>
    </row>
    <row r="2601" spans="1:4" x14ac:dyDescent="0.2">
      <c r="A2601" s="5">
        <v>2540</v>
      </c>
      <c r="B2601" s="1832">
        <f>'Acct Summary 7-8'!F20</f>
        <v>79273</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942092</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942092</v>
      </c>
      <c r="C2606" s="2" t="s">
        <v>569</v>
      </c>
      <c r="D2606" s="2" t="str">
        <f t="shared" si="39"/>
        <v>Error?</v>
      </c>
    </row>
    <row r="2607" spans="1:4" x14ac:dyDescent="0.2">
      <c r="A2607" s="5">
        <v>2546</v>
      </c>
      <c r="B2607" s="1832">
        <f>'Acct Summary 7-8'!G12</f>
        <v>337156</v>
      </c>
      <c r="C2607" s="2" t="s">
        <v>569</v>
      </c>
      <c r="D2607" s="2" t="str">
        <f t="shared" si="39"/>
        <v>Error?</v>
      </c>
    </row>
    <row r="2608" spans="1:4" x14ac:dyDescent="0.2">
      <c r="A2608" s="5">
        <v>2547</v>
      </c>
      <c r="B2608" s="1832">
        <f>'Acct Summary 7-8'!G13</f>
        <v>579020</v>
      </c>
      <c r="C2608" s="2" t="s">
        <v>569</v>
      </c>
      <c r="D2608" s="2" t="str">
        <f t="shared" si="39"/>
        <v>Error?</v>
      </c>
    </row>
    <row r="2609" spans="1:4" x14ac:dyDescent="0.2">
      <c r="A2609" s="5">
        <v>2548</v>
      </c>
      <c r="B2609" s="1832">
        <f>'Acct Summary 7-8'!G14</f>
        <v>287</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984398</v>
      </c>
      <c r="C2612" s="2" t="s">
        <v>569</v>
      </c>
      <c r="D2612" s="2" t="str">
        <f t="shared" si="39"/>
        <v>Error?</v>
      </c>
    </row>
    <row r="2613" spans="1:4" x14ac:dyDescent="0.2">
      <c r="A2613" s="5">
        <v>2552</v>
      </c>
      <c r="B2613" s="1832">
        <f>'Acct Summary 7-8'!G20</f>
        <v>-42306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1395041</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1395041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2504668</v>
      </c>
      <c r="C2634" s="2" t="s">
        <v>569</v>
      </c>
      <c r="D2634" s="2" t="str">
        <f t="shared" si="40"/>
        <v>Error?</v>
      </c>
    </row>
    <row r="2635" spans="1:4" x14ac:dyDescent="0.2">
      <c r="A2635" s="5">
        <v>2574</v>
      </c>
      <c r="B2635" s="1832">
        <f>'Acct Summary 7-8'!E17</f>
        <v>2504668</v>
      </c>
      <c r="C2635" s="2" t="s">
        <v>569</v>
      </c>
      <c r="D2635" s="2" t="str">
        <f t="shared" si="40"/>
        <v>Error?</v>
      </c>
    </row>
    <row r="2636" spans="1:4" x14ac:dyDescent="0.2">
      <c r="A2636" s="5">
        <v>2575</v>
      </c>
      <c r="B2636" s="1832">
        <f>'Acct Summary 7-8'!E20</f>
        <v>-1109627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25707</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25707</v>
      </c>
      <c r="C2658" s="2" t="s">
        <v>569</v>
      </c>
      <c r="D2658" s="2" t="str">
        <f t="shared" si="40"/>
        <v>Error?</v>
      </c>
    </row>
    <row r="2659" spans="1:4" x14ac:dyDescent="0.2">
      <c r="A2659" s="5">
        <v>2598</v>
      </c>
      <c r="B2659" s="1832">
        <f>'Acct Summary 7-8'!H13</f>
        <v>5950400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5950400</v>
      </c>
      <c r="C2661" s="2" t="s">
        <v>569</v>
      </c>
      <c r="D2661" s="2" t="str">
        <f t="shared" si="40"/>
        <v>Error?</v>
      </c>
    </row>
    <row r="2662" spans="1:4" x14ac:dyDescent="0.2">
      <c r="A2662" s="5">
        <v>2601</v>
      </c>
      <c r="B2662" s="1832">
        <f>'Acct Summary 7-8'!H20</f>
        <v>-5924693</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209433</v>
      </c>
      <c r="D2718" s="2" t="str">
        <f t="shared" si="41"/>
        <v>Error?</v>
      </c>
    </row>
    <row r="2719" spans="1:4" x14ac:dyDescent="0.2">
      <c r="A2719" s="5">
        <v>2658</v>
      </c>
      <c r="B2719" s="1832">
        <f>'Expenditures 15-22'!D51</f>
        <v>25589</v>
      </c>
      <c r="D2719" s="2" t="str">
        <f t="shared" si="41"/>
        <v>Error?</v>
      </c>
    </row>
    <row r="2720" spans="1:4" x14ac:dyDescent="0.2">
      <c r="A2720" s="5">
        <v>2659</v>
      </c>
      <c r="B2720" s="1832">
        <f>'Expenditures 15-22'!E51</f>
        <v>9272</v>
      </c>
      <c r="D2720" s="2" t="str">
        <f t="shared" si="41"/>
        <v>Error?</v>
      </c>
    </row>
    <row r="2721" spans="1:4" x14ac:dyDescent="0.2">
      <c r="A2721" s="5">
        <v>2660</v>
      </c>
      <c r="B2721" s="1832">
        <f>'Expenditures 15-22'!F51</f>
        <v>687</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244981</v>
      </c>
      <c r="C2724" s="2" t="s">
        <v>569</v>
      </c>
      <c r="D2724" s="2" t="str">
        <f t="shared" si="41"/>
        <v>Error?</v>
      </c>
    </row>
    <row r="2725" spans="1:4" x14ac:dyDescent="0.2">
      <c r="A2725" s="5">
        <v>2664</v>
      </c>
      <c r="B2725" s="1832">
        <f>'Expenditures 15-22'!D247</f>
        <v>9230</v>
      </c>
      <c r="D2725" s="2" t="str">
        <f t="shared" si="41"/>
        <v>Error?</v>
      </c>
    </row>
    <row r="2726" spans="1:4" x14ac:dyDescent="0.2">
      <c r="A2726" s="5">
        <v>2665</v>
      </c>
      <c r="B2726" s="1832">
        <f>'Expenditures 15-22'!K247</f>
        <v>9230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68665</v>
      </c>
      <c r="C2789" s="2" t="s">
        <v>569</v>
      </c>
      <c r="D2789" s="2" t="str">
        <f t="shared" si="42"/>
        <v>Error?</v>
      </c>
    </row>
    <row r="2790" spans="1:4" x14ac:dyDescent="0.2">
      <c r="A2790" s="5">
        <v>2729</v>
      </c>
      <c r="B2790" s="1832">
        <f>'Expenditures 15-22'!E102</f>
        <v>68665</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5731518</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153923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5731518</v>
      </c>
      <c r="D2912" s="2" t="str">
        <f t="shared" si="44"/>
        <v>Error?</v>
      </c>
    </row>
    <row r="2913" spans="1:4" x14ac:dyDescent="0.2">
      <c r="A2913" s="5">
        <v>2852</v>
      </c>
      <c r="B2913" s="1832">
        <f>'Assets-Liab 5-6'!I41</f>
        <v>5731518</v>
      </c>
      <c r="C2913" s="2" t="s">
        <v>569</v>
      </c>
      <c r="D2913" s="2" t="str">
        <f t="shared" si="44"/>
        <v>Error?</v>
      </c>
    </row>
    <row r="2914" spans="1:4" x14ac:dyDescent="0.2">
      <c r="A2914" s="5">
        <v>2853</v>
      </c>
      <c r="B2914" s="1832">
        <f>'Assets-Liab 5-6'!L33</f>
        <v>153923</v>
      </c>
      <c r="D2914" s="2" t="str">
        <f t="shared" si="44"/>
        <v>Error?</v>
      </c>
    </row>
    <row r="2915" spans="1:4" x14ac:dyDescent="0.2">
      <c r="A2915" s="10">
        <v>2854</v>
      </c>
      <c r="B2915" s="1832"/>
      <c r="D2915" s="2" t="str">
        <f t="shared" si="44"/>
        <v>OK</v>
      </c>
    </row>
    <row r="2916" spans="1:4" x14ac:dyDescent="0.2">
      <c r="A2916" s="5">
        <v>2855</v>
      </c>
      <c r="B2916" s="1832">
        <f>'Assets-Liab 5-6'!L34</f>
        <v>153923</v>
      </c>
      <c r="C2916" s="2" t="s">
        <v>569</v>
      </c>
      <c r="D2916" s="2" t="str">
        <f t="shared" si="44"/>
        <v>Error?</v>
      </c>
    </row>
    <row r="2917" spans="1:4" x14ac:dyDescent="0.2">
      <c r="A2917" s="5">
        <v>2856</v>
      </c>
      <c r="B2917" s="1832">
        <f>'Assets-Liab 5-6'!L41</f>
        <v>153923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68665</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386221</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454886</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104716</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81512</v>
      </c>
      <c r="D3055" s="2" t="str">
        <f t="shared" si="46"/>
        <v>Error?</v>
      </c>
    </row>
    <row r="3056" spans="1:4" x14ac:dyDescent="0.2">
      <c r="A3056" s="5">
        <v>2995</v>
      </c>
      <c r="B3056" s="1832">
        <f>'Expenditures 15-22'!D10</f>
        <v>14865</v>
      </c>
      <c r="D3056" s="2" t="str">
        <f t="shared" si="46"/>
        <v>Error?</v>
      </c>
    </row>
    <row r="3057" spans="1:4" x14ac:dyDescent="0.2">
      <c r="A3057" s="5">
        <v>2996</v>
      </c>
      <c r="B3057" s="1832">
        <f>'Expenditures 15-22'!E10</f>
        <v>2000</v>
      </c>
      <c r="D3057" s="2" t="str">
        <f t="shared" si="46"/>
        <v>Error?</v>
      </c>
    </row>
    <row r="3058" spans="1:4" x14ac:dyDescent="0.2">
      <c r="A3058" s="5">
        <v>2997</v>
      </c>
      <c r="B3058" s="1832">
        <f>'Expenditures 15-22'!F10</f>
        <v>2898</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101275</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1092</v>
      </c>
      <c r="D3064" s="2" t="str">
        <f t="shared" si="46"/>
        <v>Error?</v>
      </c>
    </row>
    <row r="3065" spans="1:4" x14ac:dyDescent="0.2">
      <c r="A3065" s="5">
        <v>3004</v>
      </c>
      <c r="B3065" s="1832">
        <f>'Expenditures 15-22'!K219</f>
        <v>1092</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203022</v>
      </c>
      <c r="C3225" s="2" t="s">
        <v>569</v>
      </c>
      <c r="D3225" s="2" t="str">
        <f t="shared" si="49"/>
        <v>Error?</v>
      </c>
    </row>
    <row r="3226" spans="1:4" x14ac:dyDescent="0.2">
      <c r="A3226" s="5">
        <v>3165</v>
      </c>
      <c r="B3226" s="1832">
        <f>'Acct Summary 7-8'!I8</f>
        <v>203022</v>
      </c>
      <c r="C3226" s="2" t="s">
        <v>569</v>
      </c>
      <c r="D3226" s="2" t="str">
        <f t="shared" si="49"/>
        <v>Error?</v>
      </c>
    </row>
    <row r="3227" spans="1:4" x14ac:dyDescent="0.2">
      <c r="A3227" s="5">
        <v>3166</v>
      </c>
      <c r="B3227" s="1832">
        <f>'Acct Summary 7-8'!I20</f>
        <v>203022</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232648</v>
      </c>
      <c r="C3231" s="2" t="s">
        <v>569</v>
      </c>
      <c r="D3231" s="2" t="str">
        <f t="shared" si="49"/>
        <v>Error?</v>
      </c>
    </row>
    <row r="3232" spans="1:4" x14ac:dyDescent="0.2">
      <c r="A3232" s="5">
        <v>3171</v>
      </c>
      <c r="B3232" s="1832">
        <f>'Acct Summary 7-8'!C77</f>
        <v>-232648</v>
      </c>
      <c r="C3232" s="2" t="s">
        <v>569</v>
      </c>
      <c r="D3232" s="2" t="str">
        <f t="shared" si="49"/>
        <v>Error?</v>
      </c>
    </row>
    <row r="3233" spans="1:4" x14ac:dyDescent="0.2">
      <c r="A3233" s="5">
        <v>3172</v>
      </c>
      <c r="B3233" s="1832">
        <f>'Acct Summary 7-8'!C78</f>
        <v>-3082346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102000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901695</v>
      </c>
      <c r="C3237" s="2" t="s">
        <v>569</v>
      </c>
      <c r="D3237" s="2" t="str">
        <f t="shared" si="49"/>
        <v>Error?</v>
      </c>
    </row>
    <row r="3238" spans="1:4" x14ac:dyDescent="0.2">
      <c r="A3238" s="5">
        <v>3177</v>
      </c>
      <c r="B3238" s="1832">
        <f>'Acct Summary 7-8'!D77</f>
        <v>-799695</v>
      </c>
      <c r="C3238" s="2" t="s">
        <v>569</v>
      </c>
      <c r="D3238" s="2" t="str">
        <f t="shared" si="49"/>
        <v>Error?</v>
      </c>
    </row>
    <row r="3239" spans="1:4" x14ac:dyDescent="0.2">
      <c r="A3239" s="5">
        <v>3178</v>
      </c>
      <c r="B3239" s="1832">
        <f>'Acct Summary 7-8'!D78</f>
        <v>278457</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79273</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-42306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1134343</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1134343</v>
      </c>
      <c r="C3277" s="2" t="s">
        <v>569</v>
      </c>
      <c r="D3277" s="2" t="str">
        <f t="shared" si="50"/>
        <v>Error?</v>
      </c>
    </row>
    <row r="3278" spans="1:4" x14ac:dyDescent="0.2">
      <c r="A3278" s="5">
        <v>3217</v>
      </c>
      <c r="B3278" s="1832">
        <f>'Acct Summary 7-8'!E78</f>
        <v>24716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-5924693</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102000</v>
      </c>
      <c r="C3318" s="2" t="s">
        <v>569</v>
      </c>
      <c r="D3318" s="2" t="str">
        <f t="shared" si="50"/>
        <v>Error?</v>
      </c>
    </row>
    <row r="3319" spans="1:4" x14ac:dyDescent="0.2">
      <c r="A3319" s="5">
        <v>3258</v>
      </c>
      <c r="B3319" s="1832">
        <f>'Acct Summary 7-8'!I77</f>
        <v>-102000</v>
      </c>
      <c r="C3319" s="2" t="s">
        <v>569</v>
      </c>
      <c r="D3319" s="2" t="str">
        <f t="shared" si="50"/>
        <v>Error?</v>
      </c>
    </row>
    <row r="3320" spans="1:4" x14ac:dyDescent="0.2">
      <c r="A3320" s="5">
        <v>3259</v>
      </c>
      <c r="B3320" s="1832">
        <f>'Acct Summary 7-8'!I78</f>
        <v>101022</v>
      </c>
      <c r="C3320" s="2" t="s">
        <v>569</v>
      </c>
      <c r="D3320" s="2" t="str">
        <f t="shared" si="50"/>
        <v>Error?</v>
      </c>
    </row>
    <row r="3321" spans="1:4" x14ac:dyDescent="0.2">
      <c r="A3321" s="5">
        <v>3260</v>
      </c>
      <c r="B3321" s="1832">
        <f>'Acct Summary 7-8'!I79</f>
        <v>5630496</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5731518</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2010417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537707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43913</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33871</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869</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2626777</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176370</v>
      </c>
      <c r="D3387" s="2" t="str">
        <f t="shared" si="51"/>
        <v>Error?</v>
      </c>
    </row>
    <row r="3388" spans="1:4" x14ac:dyDescent="0.2">
      <c r="A3388" s="5">
        <v>3327</v>
      </c>
      <c r="B3388" s="1832">
        <f>'Expenditures 15-22'!D217</f>
        <v>131400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176370</v>
      </c>
      <c r="C3390" s="2" t="s">
        <v>569</v>
      </c>
      <c r="D3390" s="2" t="str">
        <f t="shared" si="51"/>
        <v>Error?</v>
      </c>
    </row>
    <row r="3391" spans="1:4" x14ac:dyDescent="0.2">
      <c r="A3391" s="5">
        <v>3330</v>
      </c>
      <c r="B3391" s="1832">
        <f>'Expenditures 15-22'!K217</f>
        <v>131400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9560441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1707594</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25914</v>
      </c>
      <c r="D3417" s="2" t="str">
        <f t="shared" si="52"/>
        <v>Error?</v>
      </c>
    </row>
    <row r="3418" spans="1:4" x14ac:dyDescent="0.2">
      <c r="A3418" s="10">
        <v>3357</v>
      </c>
      <c r="B3418" s="1832"/>
      <c r="D3418" s="2" t="str">
        <f t="shared" si="52"/>
        <v>OK</v>
      </c>
    </row>
    <row r="3419" spans="1:4" x14ac:dyDescent="0.2">
      <c r="A3419" s="5">
        <v>3358</v>
      </c>
      <c r="B3419" s="1832">
        <f>'Assets-Liab 5-6'!F4</f>
        <v>342229</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322637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80800</v>
      </c>
      <c r="D3425" s="2" t="str">
        <f t="shared" si="52"/>
        <v>Error?</v>
      </c>
    </row>
    <row r="3426" spans="1:4" x14ac:dyDescent="0.2">
      <c r="A3426" s="10">
        <v>3365</v>
      </c>
      <c r="B3426" s="1832"/>
      <c r="D3426" s="2" t="str">
        <f t="shared" si="52"/>
        <v>OK</v>
      </c>
    </row>
    <row r="3427" spans="1:4" x14ac:dyDescent="0.2">
      <c r="A3427" s="5">
        <v>3366</v>
      </c>
      <c r="B3427" s="1832">
        <f>'Assets-Liab 5-6'!I4</f>
        <v>5731518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153923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251848</v>
      </c>
      <c r="C3446" s="2" t="s">
        <v>569</v>
      </c>
      <c r="D3446" s="2" t="str">
        <f t="shared" si="52"/>
        <v>Error?</v>
      </c>
    </row>
    <row r="3447" spans="1:4" x14ac:dyDescent="0.2">
      <c r="A3447" s="5">
        <v>3386</v>
      </c>
      <c r="B3447" s="1832">
        <f>'Tax Sched 23'!D16</f>
        <v>128704</v>
      </c>
      <c r="C3447" s="2" t="s">
        <v>569</v>
      </c>
      <c r="D3447" s="2" t="str">
        <f t="shared" si="52"/>
        <v>Error?</v>
      </c>
    </row>
    <row r="3448" spans="1:4" x14ac:dyDescent="0.2">
      <c r="A3448" s="5">
        <v>3387</v>
      </c>
      <c r="B3448" s="1832">
        <f>'Tax Sched 23'!C16</f>
        <v>123144</v>
      </c>
      <c r="D3448" s="2" t="str">
        <f t="shared" si="52"/>
        <v>Error?</v>
      </c>
    </row>
    <row r="3449" spans="1:4" x14ac:dyDescent="0.2">
      <c r="A3449" s="5">
        <v>3388</v>
      </c>
      <c r="B3449" s="1832">
        <f>'Tax Sched 23'!F16</f>
        <v>172460</v>
      </c>
      <c r="C3449" s="2" t="s">
        <v>569</v>
      </c>
      <c r="D3449" s="2" t="str">
        <f t="shared" si="52"/>
        <v>Error?</v>
      </c>
    </row>
    <row r="3450" spans="1:4" x14ac:dyDescent="0.2">
      <c r="A3450" s="5">
        <v>3389</v>
      </c>
      <c r="B3450" s="1832">
        <f>'Tax Sched 23'!E16</f>
        <v>295604</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67935</v>
      </c>
      <c r="D3721" s="2" t="str">
        <f t="shared" si="57"/>
        <v>Error?</v>
      </c>
    </row>
    <row r="3722" spans="1:4" x14ac:dyDescent="0.2">
      <c r="A3722" s="5">
        <v>3661</v>
      </c>
      <c r="B3722" s="1832">
        <f>'Expenditures 15-22'!D285</f>
        <v>67935</v>
      </c>
      <c r="C3722" s="2" t="s">
        <v>569</v>
      </c>
      <c r="D3722" s="2" t="str">
        <f t="shared" si="57"/>
        <v>Error?</v>
      </c>
    </row>
    <row r="3723" spans="1:4" x14ac:dyDescent="0.2">
      <c r="A3723" s="5">
        <v>3662</v>
      </c>
      <c r="B3723" s="1832">
        <f>'Expenditures 15-22'!K283</f>
        <v>67935</v>
      </c>
      <c r="C3723" s="2" t="s">
        <v>569</v>
      </c>
      <c r="D3723" s="2" t="str">
        <f t="shared" si="57"/>
        <v>Error?</v>
      </c>
    </row>
    <row r="3724" spans="1:4" x14ac:dyDescent="0.2">
      <c r="A3724" s="5">
        <v>3663</v>
      </c>
      <c r="B3724" s="1832">
        <f>'Expenditures 15-22'!K285</f>
        <v>67935</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380966</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15543601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42234852</v>
      </c>
      <c r="C4122" s="2" t="s">
        <v>569</v>
      </c>
      <c r="D4122" s="2" t="str">
        <f t="shared" si="63"/>
        <v>Error?</v>
      </c>
    </row>
    <row r="4123" spans="1:4" x14ac:dyDescent="0.2">
      <c r="A4123" s="5">
        <v>4062</v>
      </c>
      <c r="B4123" s="1832">
        <f>'Acct Summary 7-8'!D10</f>
        <v>4007384</v>
      </c>
      <c r="C4123" s="2" t="s">
        <v>569</v>
      </c>
      <c r="D4123" s="2" t="str">
        <f t="shared" si="63"/>
        <v>Error?</v>
      </c>
    </row>
    <row r="4124" spans="1:4" x14ac:dyDescent="0.2">
      <c r="A4124" s="5">
        <v>4063</v>
      </c>
      <c r="B4124" s="1832">
        <f>'Acct Summary 7-8'!E10</f>
        <v>1395041</v>
      </c>
      <c r="C4124" s="2" t="s">
        <v>569</v>
      </c>
      <c r="D4124" s="2" t="str">
        <f t="shared" si="63"/>
        <v>Error?</v>
      </c>
    </row>
    <row r="4125" spans="1:4" x14ac:dyDescent="0.2">
      <c r="A4125" s="5">
        <v>4064</v>
      </c>
      <c r="B4125" s="1832">
        <f>'Acct Summary 7-8'!F10</f>
        <v>2283384</v>
      </c>
      <c r="C4125" s="2" t="s">
        <v>569</v>
      </c>
      <c r="D4125" s="2" t="str">
        <f t="shared" si="63"/>
        <v>Error?</v>
      </c>
    </row>
    <row r="4126" spans="1:4" x14ac:dyDescent="0.2">
      <c r="A4126" s="5">
        <v>4065</v>
      </c>
      <c r="B4126" s="1832">
        <f>'Acct Summary 7-8'!G10</f>
        <v>942092</v>
      </c>
      <c r="C4126" s="2" t="s">
        <v>569</v>
      </c>
      <c r="D4126" s="2" t="str">
        <f t="shared" si="63"/>
        <v>Error?</v>
      </c>
    </row>
    <row r="4127" spans="1:4" x14ac:dyDescent="0.2">
      <c r="A4127" s="5">
        <v>4066</v>
      </c>
      <c r="B4127" s="1832">
        <f>'Acct Summary 7-8'!H10</f>
        <v>25707</v>
      </c>
      <c r="C4127" s="2" t="s">
        <v>569</v>
      </c>
      <c r="D4127" s="2" t="str">
        <f t="shared" si="63"/>
        <v>Error?</v>
      </c>
    </row>
    <row r="4128" spans="1:4" x14ac:dyDescent="0.2">
      <c r="A4128" s="5">
        <v>4067</v>
      </c>
      <c r="B4128" s="1832">
        <f>'Acct Summary 7-8'!I10</f>
        <v>203022</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15543601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45084550</v>
      </c>
      <c r="C4136" s="2" t="s">
        <v>569</v>
      </c>
      <c r="D4136" s="2" t="str">
        <f t="shared" si="63"/>
        <v>Error?</v>
      </c>
    </row>
    <row r="4137" spans="1:4" x14ac:dyDescent="0.2">
      <c r="A4137" s="5">
        <v>4076</v>
      </c>
      <c r="B4137" s="1832">
        <f>'Acct Summary 7-8'!D19</f>
        <v>2929232</v>
      </c>
      <c r="C4137" s="2" t="s">
        <v>569</v>
      </c>
      <c r="D4137" s="2" t="str">
        <f t="shared" si="63"/>
        <v>Error?</v>
      </c>
    </row>
    <row r="4138" spans="1:4" x14ac:dyDescent="0.2">
      <c r="A4138" s="5">
        <v>4077</v>
      </c>
      <c r="B4138" s="1832">
        <f>'Acct Summary 7-8'!E19</f>
        <v>2504668</v>
      </c>
      <c r="C4138" s="2" t="s">
        <v>569</v>
      </c>
      <c r="D4138" s="2" t="str">
        <f t="shared" si="63"/>
        <v>Error?</v>
      </c>
    </row>
    <row r="4139" spans="1:4" x14ac:dyDescent="0.2">
      <c r="A4139" s="5">
        <v>4078</v>
      </c>
      <c r="B4139" s="1832">
        <f>'Acct Summary 7-8'!F19</f>
        <v>2204111</v>
      </c>
      <c r="C4139" s="2" t="s">
        <v>569</v>
      </c>
      <c r="D4139" s="2" t="str">
        <f t="shared" si="63"/>
        <v>Error?</v>
      </c>
    </row>
    <row r="4140" spans="1:4" x14ac:dyDescent="0.2">
      <c r="A4140" s="5">
        <v>4079</v>
      </c>
      <c r="B4140" s="1832">
        <f>'Acct Summary 7-8'!G19</f>
        <v>984398</v>
      </c>
      <c r="C4140" s="2" t="s">
        <v>569</v>
      </c>
      <c r="D4140" s="2" t="str">
        <f t="shared" si="63"/>
        <v>Error?</v>
      </c>
    </row>
    <row r="4141" spans="1:4" x14ac:dyDescent="0.2">
      <c r="A4141" s="5">
        <v>4080</v>
      </c>
      <c r="B4141" s="1832">
        <f>'Acct Summary 7-8'!H19</f>
        <v>5950400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16156601</v>
      </c>
      <c r="C4171" s="2" t="s">
        <v>569</v>
      </c>
      <c r="D4171" s="2" t="str">
        <f t="shared" si="64"/>
        <v>Error?</v>
      </c>
    </row>
    <row r="4172" spans="1:4" x14ac:dyDescent="0.2">
      <c r="A4172" s="5">
        <v>4111</v>
      </c>
      <c r="B4172" s="1832">
        <f>'Short-Term Long-Term Debt 24'!J49</f>
        <v>16130687</v>
      </c>
      <c r="C4172" s="2" t="s">
        <v>569</v>
      </c>
      <c r="D4172" s="2" t="str">
        <f t="shared" si="64"/>
        <v>Error?</v>
      </c>
    </row>
    <row r="4173" spans="1:4" x14ac:dyDescent="0.2">
      <c r="A4173" s="5">
        <v>4112</v>
      </c>
      <c r="B4173" s="1832">
        <f>'Short-Term Long-Term Debt 24'!H49</f>
        <v>1856493</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230065</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104716</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104716</v>
      </c>
      <c r="C4202" s="2" t="s">
        <v>569</v>
      </c>
      <c r="D4202" s="2" t="str">
        <f t="shared" si="64"/>
        <v>Error?</v>
      </c>
    </row>
    <row r="4203" spans="1:4" x14ac:dyDescent="0.2">
      <c r="A4203" s="5">
        <v>4142</v>
      </c>
      <c r="B4203" s="1832">
        <f>'Expenditures 15-22'!E139</f>
        <v>104716</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2273.3719999999998</v>
      </c>
      <c r="C4265" s="2" t="s">
        <v>569</v>
      </c>
      <c r="D4265" s="2" t="str">
        <f t="shared" si="65"/>
        <v>Error?</v>
      </c>
      <c r="E4265" s="125"/>
    </row>
    <row r="4266" spans="1:5" x14ac:dyDescent="0.2">
      <c r="A4266" s="12">
        <v>4205</v>
      </c>
      <c r="B4266" s="1832">
        <f>('FP Info 3'!F10)*100000</f>
        <v>332.262</v>
      </c>
      <c r="C4266" s="2" t="s">
        <v>569</v>
      </c>
      <c r="D4266" s="2" t="str">
        <f t="shared" si="65"/>
        <v>Error?</v>
      </c>
      <c r="E4266" s="125"/>
    </row>
    <row r="4267" spans="1:5" x14ac:dyDescent="0.2">
      <c r="A4267" s="12">
        <v>4206</v>
      </c>
      <c r="B4267" s="1832">
        <f>('FP Info 3'!H10)*100000</f>
        <v>104.92500000000001</v>
      </c>
      <c r="C4267" s="2" t="s">
        <v>569</v>
      </c>
      <c r="D4267" s="2" t="str">
        <f t="shared" si="65"/>
        <v>Error?</v>
      </c>
      <c r="E4267" s="125"/>
    </row>
    <row r="4268" spans="1:5" x14ac:dyDescent="0.2">
      <c r="A4268" s="12">
        <v>4207</v>
      </c>
      <c r="B4268" s="1832">
        <f>('FP Info 3'!J10)*100000</f>
        <v>2711</v>
      </c>
      <c r="C4268" s="2" t="s">
        <v>569</v>
      </c>
      <c r="D4268" s="2" t="str">
        <f t="shared" si="65"/>
        <v>Error?</v>
      </c>
    </row>
    <row r="4269" spans="1:5" x14ac:dyDescent="0.2">
      <c r="A4269" s="12">
        <v>4208</v>
      </c>
      <c r="B4269" s="1832">
        <f>'FP Info 3'!J16</f>
        <v>15706616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77662</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86802</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63245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9246</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29036</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8.7449999999999992</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50000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1126881815</v>
      </c>
      <c r="D4995" s="2" t="str">
        <f t="shared" si="77"/>
        <v>Error?</v>
      </c>
    </row>
    <row r="4996" spans="1:4" x14ac:dyDescent="0.2">
      <c r="A4996" s="12">
        <v>4935</v>
      </c>
      <c r="B4996" s="1832">
        <f>'FP Info 3'!H31</f>
        <v>77754845.234999999</v>
      </c>
      <c r="D4996" s="2" t="str">
        <f t="shared" si="77"/>
        <v>Error?</v>
      </c>
    </row>
    <row r="4997" spans="1:4" x14ac:dyDescent="0.2">
      <c r="A4997" s="12">
        <v>4936</v>
      </c>
      <c r="B4997" s="1832">
        <f>'FP Info 3'!H37</f>
        <v>16156601</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23196864</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23196864</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135354</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135354</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237471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237471</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289548</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255636</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255636</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4701</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121555</v>
      </c>
      <c r="D5119" s="2" t="str">
        <f t="shared" ref="D5119:D5182" si="79">IF(ISBLANK(B5119),"OK",IF(A5119-B5119=0,"OK","Error?"))</f>
        <v>Error?</v>
      </c>
    </row>
    <row r="5120" spans="1:4" x14ac:dyDescent="0.2">
      <c r="A5120" s="5">
        <v>5059</v>
      </c>
      <c r="B5120" s="1832">
        <f>'Revenues 9-14'!C108</f>
        <v>226256</v>
      </c>
      <c r="C5120" s="2" t="s">
        <v>569</v>
      </c>
      <c r="D5120" s="2" t="str">
        <f t="shared" si="79"/>
        <v>Error?</v>
      </c>
    </row>
    <row r="5121" spans="1:4" x14ac:dyDescent="0.2">
      <c r="A5121" s="5">
        <v>5060</v>
      </c>
      <c r="B5121" s="1832">
        <f>'Revenues 9-14'!C109</f>
        <v>24341129</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1794378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1794378</v>
      </c>
      <c r="C5132" s="2" t="s">
        <v>569</v>
      </c>
      <c r="D5132" s="2" t="str">
        <f t="shared" si="79"/>
        <v>Error?</v>
      </c>
    </row>
    <row r="5133" spans="1:4" x14ac:dyDescent="0.2">
      <c r="A5133" s="5">
        <v>5072</v>
      </c>
      <c r="B5133" s="1832">
        <f>'Revenues 9-14'!C125</f>
        <v>120910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120910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120910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1915288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78460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9246</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78460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235443</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10388</v>
      </c>
      <c r="D5278" s="2" t="str">
        <f t="shared" si="81"/>
        <v>Error?</v>
      </c>
    </row>
    <row r="5279" spans="1:4" x14ac:dyDescent="0.2">
      <c r="A5279" s="5">
        <v>5218</v>
      </c>
      <c r="B5279" s="1832">
        <f>'Revenues 9-14'!C214</f>
        <v>9016</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254847</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434834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434834</v>
      </c>
      <c r="C5326" s="2" t="s">
        <v>569</v>
      </c>
      <c r="D5326" s="2" t="str">
        <f t="shared" si="82"/>
        <v>Error?</v>
      </c>
    </row>
    <row r="5327" spans="1:5" x14ac:dyDescent="0.2">
      <c r="A5327" s="5">
        <v>5266</v>
      </c>
      <c r="B5327" s="1832">
        <f>'Revenues 9-14'!C268</f>
        <v>26691251</v>
      </c>
      <c r="C5327" s="2" t="s">
        <v>569</v>
      </c>
      <c r="D5327" s="2" t="str">
        <f t="shared" si="82"/>
        <v>Error?</v>
      </c>
    </row>
    <row r="5328" spans="1:5" x14ac:dyDescent="0.2">
      <c r="A5328" s="5">
        <v>5267</v>
      </c>
      <c r="B5328" s="1832">
        <f>'Revenues 9-14'!D5</f>
        <v>3356810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3356810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36075</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36075</v>
      </c>
      <c r="C5339" s="2" t="s">
        <v>569</v>
      </c>
      <c r="D5339" s="2" t="str">
        <f t="shared" si="82"/>
        <v>Error?</v>
      </c>
    </row>
    <row r="5340" spans="1:4" x14ac:dyDescent="0.2">
      <c r="A5340" s="5">
        <v>5279</v>
      </c>
      <c r="B5340" s="1832">
        <f>'Revenues 9-14'!D65</f>
        <v>18182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18182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55623</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12064</v>
      </c>
      <c r="D5354" s="2" t="str">
        <f t="shared" si="82"/>
        <v>Error?</v>
      </c>
    </row>
    <row r="5355" spans="1:4" x14ac:dyDescent="0.2">
      <c r="A5355" s="5">
        <v>5294</v>
      </c>
      <c r="B5355" s="1832">
        <f>'Revenues 9-14'!D108</f>
        <v>546317</v>
      </c>
      <c r="C5355" s="2" t="s">
        <v>569</v>
      </c>
      <c r="D5355" s="2" t="str">
        <f t="shared" si="82"/>
        <v>Error?</v>
      </c>
    </row>
    <row r="5356" spans="1:4" x14ac:dyDescent="0.2">
      <c r="A5356" s="5">
        <v>5295</v>
      </c>
      <c r="B5356" s="1832">
        <f>'Revenues 9-14'!D109</f>
        <v>3957384</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4007384</v>
      </c>
      <c r="C5508" s="2" t="s">
        <v>569</v>
      </c>
      <c r="D5508" s="2" t="str">
        <f t="shared" si="85"/>
        <v>Error?</v>
      </c>
    </row>
    <row r="5509" spans="1:4" x14ac:dyDescent="0.2">
      <c r="A5509" s="5">
        <v>5448</v>
      </c>
      <c r="B5509" s="1832">
        <f>'Revenues 9-14'!E5</f>
        <v>803713</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803713</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1328</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1328</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590000</v>
      </c>
      <c r="C5526" s="2" t="s">
        <v>569</v>
      </c>
      <c r="D5526" s="2" t="str">
        <f t="shared" si="85"/>
        <v>Error?</v>
      </c>
    </row>
    <row r="5527" spans="1:4" x14ac:dyDescent="0.2">
      <c r="A5527" s="5">
        <v>5466</v>
      </c>
      <c r="B5527" s="1832">
        <f>'Revenues 9-14'!E109</f>
        <v>1395041</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1395041</v>
      </c>
      <c r="C5552" s="2" t="s">
        <v>569</v>
      </c>
      <c r="D5552" s="2" t="str">
        <f t="shared" si="85"/>
        <v>Error?</v>
      </c>
    </row>
    <row r="5553" spans="1:4" x14ac:dyDescent="0.2">
      <c r="A5553" s="5">
        <v>5492</v>
      </c>
      <c r="B5553" s="1832">
        <f>'Revenues 9-14'!F5</f>
        <v>1094871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1094871</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2550</v>
      </c>
      <c r="D5563" s="2" t="str">
        <f t="shared" si="85"/>
        <v>Error?</v>
      </c>
    </row>
    <row r="5564" spans="1:4" x14ac:dyDescent="0.2">
      <c r="A5564" s="5">
        <v>5503</v>
      </c>
      <c r="B5564" s="1832">
        <f>'Revenues 9-14'!F43</f>
        <v>461423</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463973</v>
      </c>
      <c r="C5579" s="2" t="s">
        <v>569</v>
      </c>
      <c r="D5579" s="2" t="str">
        <f t="shared" si="86"/>
        <v>Error?</v>
      </c>
    </row>
    <row r="5580" spans="1:4" x14ac:dyDescent="0.2">
      <c r="A5580" s="5">
        <v>5519</v>
      </c>
      <c r="B5580" s="1832">
        <f>'Revenues 9-14'!F65</f>
        <v>4262</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4262</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1563106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297120</v>
      </c>
      <c r="D5615" s="2" t="str">
        <f t="shared" si="86"/>
        <v>Error?</v>
      </c>
    </row>
    <row r="5616" spans="1:4" x14ac:dyDescent="0.2">
      <c r="A5616" s="10">
        <v>5555</v>
      </c>
      <c r="B5616" s="1832"/>
      <c r="D5616" s="2" t="str">
        <f t="shared" si="86"/>
        <v>OK</v>
      </c>
    </row>
    <row r="5617" spans="1:5" x14ac:dyDescent="0.2">
      <c r="A5617" s="5">
        <v>5556</v>
      </c>
      <c r="B5617" s="1832">
        <f>'Revenues 9-14'!F153</f>
        <v>423158</v>
      </c>
      <c r="D5617" s="2" t="str">
        <f t="shared" si="86"/>
        <v>Error?</v>
      </c>
    </row>
    <row r="5618" spans="1:5" x14ac:dyDescent="0.2">
      <c r="A5618" s="5">
        <v>5557</v>
      </c>
      <c r="B5618" s="1832">
        <f>'Revenues 9-14'!F155</f>
        <v>720278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720278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720278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2283384</v>
      </c>
      <c r="C5720" s="2" t="s">
        <v>569</v>
      </c>
      <c r="D5720" s="2" t="str">
        <f t="shared" si="88"/>
        <v>Error?</v>
      </c>
    </row>
    <row r="5721" spans="1:4" x14ac:dyDescent="0.2">
      <c r="A5721" s="5">
        <v>5660</v>
      </c>
      <c r="B5721" s="1832">
        <f>'Revenues 9-14'!G5</f>
        <v>251661</v>
      </c>
      <c r="D5721" s="2" t="str">
        <f t="shared" si="88"/>
        <v>Error?</v>
      </c>
    </row>
    <row r="5722" spans="1:4" x14ac:dyDescent="0.2">
      <c r="A5722" s="5">
        <v>5661</v>
      </c>
      <c r="B5722" s="1832">
        <f>'Revenues 9-14'!G7</f>
        <v>60613</v>
      </c>
      <c r="D5722" s="2" t="str">
        <f t="shared" si="88"/>
        <v>Error?</v>
      </c>
    </row>
    <row r="5723" spans="1:4" x14ac:dyDescent="0.2">
      <c r="A5723" s="5">
        <v>5662</v>
      </c>
      <c r="B5723" s="1832">
        <f>'Revenues 9-14'!G8</f>
        <v>251848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564122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372210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372210</v>
      </c>
      <c r="C5730" s="2" t="s">
        <v>569</v>
      </c>
      <c r="D5730" s="2" t="str">
        <f t="shared" si="88"/>
        <v>Error?</v>
      </c>
    </row>
    <row r="5731" spans="1:4" x14ac:dyDescent="0.2">
      <c r="A5731" s="5">
        <v>5670</v>
      </c>
      <c r="B5731" s="1832">
        <f>'Revenues 9-14'!G65</f>
        <v>5760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5760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942092</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25707</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25707</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25707</v>
      </c>
      <c r="C5915" s="2" t="s">
        <v>569</v>
      </c>
      <c r="D5915" s="2" t="str">
        <f t="shared" si="91"/>
        <v>Error?</v>
      </c>
    </row>
    <row r="5916" spans="1:4" x14ac:dyDescent="0.2">
      <c r="A5916" s="5">
        <v>5855</v>
      </c>
      <c r="B5916" s="1832">
        <f>'Revenues 9-14'!I5</f>
        <v>94003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94003</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109019</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109019</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203022</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942092</v>
      </c>
      <c r="C6024" s="2" t="s">
        <v>569</v>
      </c>
      <c r="D6024" s="2" t="str">
        <f t="shared" si="93"/>
        <v>Error?</v>
      </c>
    </row>
    <row r="6025" spans="1:5" x14ac:dyDescent="0.2">
      <c r="A6025" s="5">
        <v>5964</v>
      </c>
      <c r="B6025" s="1832">
        <f>'Revenues 9-14'!H109</f>
        <v>25707</v>
      </c>
      <c r="C6025" s="2" t="s">
        <v>569</v>
      </c>
      <c r="D6025" s="2" t="str">
        <f t="shared" si="93"/>
        <v>Error?</v>
      </c>
    </row>
    <row r="6026" spans="1:5" x14ac:dyDescent="0.2">
      <c r="A6026" s="5">
        <v>5965</v>
      </c>
      <c r="B6026" s="1832">
        <f>'Revenues 9-14'!I109</f>
        <v>203022</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289548</v>
      </c>
      <c r="D6031" s="2" t="str">
        <f t="shared" si="93"/>
        <v>Error?</v>
      </c>
    </row>
    <row r="6032" spans="1:5" x14ac:dyDescent="0.2">
      <c r="A6032" s="5">
        <v>5971</v>
      </c>
      <c r="B6032" s="1832">
        <f>'Acct Summary 7-8'!G15</f>
        <v>67935</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2262.1999999999998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-3082346</v>
      </c>
      <c r="D6267" s="2" t="str">
        <f t="shared" si="96"/>
        <v>Error?</v>
      </c>
      <c r="E6267" s="2" t="s">
        <v>189</v>
      </c>
    </row>
    <row r="6268" spans="1:5" x14ac:dyDescent="0.2">
      <c r="A6268">
        <v>6207</v>
      </c>
      <c r="B6268" s="1832">
        <f>'Acct Summary 7-8'!D82</f>
        <v>278457</v>
      </c>
      <c r="D6268" s="2" t="str">
        <f t="shared" si="96"/>
        <v>Error?</v>
      </c>
      <c r="E6268" s="2" t="s">
        <v>189</v>
      </c>
    </row>
    <row r="6269" spans="1:5" x14ac:dyDescent="0.2">
      <c r="A6269">
        <v>6208</v>
      </c>
      <c r="B6269" s="1832">
        <f>'Acct Summary 7-8'!E82</f>
        <v>24716</v>
      </c>
      <c r="D6269" s="2" t="str">
        <f t="shared" si="96"/>
        <v>Error?</v>
      </c>
      <c r="E6269" s="2" t="s">
        <v>189</v>
      </c>
    </row>
    <row r="6270" spans="1:5" x14ac:dyDescent="0.2">
      <c r="A6270">
        <v>6209</v>
      </c>
      <c r="B6270" s="1832">
        <f>'Acct Summary 7-8'!F82</f>
        <v>79273</v>
      </c>
      <c r="D6270" s="2" t="str">
        <f t="shared" si="96"/>
        <v>Error?</v>
      </c>
      <c r="E6270" s="2" t="s">
        <v>189</v>
      </c>
    </row>
    <row r="6271" spans="1:5" x14ac:dyDescent="0.2">
      <c r="A6271">
        <v>6210</v>
      </c>
      <c r="B6271" s="1832">
        <f>'Acct Summary 7-8'!G82</f>
        <v>-42306</v>
      </c>
      <c r="D6271" s="2" t="str">
        <f t="shared" ref="D6271:D6334" si="97">IF(ISBLANK(B6271),"OK",IF(A6271-B6271=0,"OK","Error?"))</f>
        <v>Error?</v>
      </c>
      <c r="E6271" s="2" t="s">
        <v>189</v>
      </c>
    </row>
    <row r="6272" spans="1:5" x14ac:dyDescent="0.2">
      <c r="A6272">
        <v>6211</v>
      </c>
      <c r="B6272" s="1832">
        <f>'Acct Summary 7-8'!H82</f>
        <v>-5924693</v>
      </c>
      <c r="D6272" s="2" t="str">
        <f t="shared" si="97"/>
        <v>Error?</v>
      </c>
      <c r="E6272" s="2" t="s">
        <v>189</v>
      </c>
    </row>
    <row r="6273" spans="1:5" x14ac:dyDescent="0.2">
      <c r="A6273">
        <v>6212</v>
      </c>
      <c r="B6273" s="1832">
        <f>'Acct Summary 7-8'!I82</f>
        <v>101022</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-0.38768697476481351</v>
      </c>
      <c r="D6276" s="2" t="str">
        <f t="shared" si="97"/>
        <v>Error?</v>
      </c>
      <c r="E6276" s="2" t="s">
        <v>189</v>
      </c>
    </row>
    <row r="6277" spans="1:5" x14ac:dyDescent="0.2">
      <c r="A6277">
        <v>6216</v>
      </c>
      <c r="B6277" s="1832">
        <f>'Acct Summary 7-8'!D83</f>
        <v>0.16552514944146698</v>
      </c>
      <c r="D6277" s="2" t="str">
        <f t="shared" si="97"/>
        <v>Error?</v>
      </c>
      <c r="E6277" s="2" t="s">
        <v>189</v>
      </c>
    </row>
    <row r="6278" spans="1:5" x14ac:dyDescent="0.2">
      <c r="A6278">
        <v>6217</v>
      </c>
      <c r="B6278" s="1832">
        <f>'Acct Summary 7-8'!E83</f>
        <v>0.95377016284633787</v>
      </c>
      <c r="D6278" s="2" t="str">
        <f t="shared" si="97"/>
        <v>Error?</v>
      </c>
      <c r="E6278" s="2" t="s">
        <v>189</v>
      </c>
    </row>
    <row r="6279" spans="1:5" x14ac:dyDescent="0.2">
      <c r="A6279">
        <v>6218</v>
      </c>
      <c r="B6279" s="1832">
        <f>'Acct Summary 7-8'!F83</f>
        <v>0.23163729549512169</v>
      </c>
      <c r="D6279" s="2" t="str">
        <f t="shared" si="97"/>
        <v>Error?</v>
      </c>
      <c r="E6279" s="2" t="s">
        <v>189</v>
      </c>
    </row>
    <row r="6280" spans="1:5" x14ac:dyDescent="0.2">
      <c r="A6280">
        <v>6219</v>
      </c>
      <c r="B6280" s="1832">
        <f>'Acct Summary 7-8'!G83</f>
        <v>-0.17277416351184133</v>
      </c>
      <c r="D6280" s="2" t="str">
        <f t="shared" si="97"/>
        <v>Error?</v>
      </c>
      <c r="E6280" s="2" t="s">
        <v>189</v>
      </c>
    </row>
    <row r="6281" spans="1:5" x14ac:dyDescent="0.2">
      <c r="A6281">
        <v>6220</v>
      </c>
      <c r="B6281" s="1832">
        <f>'Acct Summary 7-8'!H83</f>
        <v>-73.325408415841579</v>
      </c>
      <c r="D6281" s="2" t="str">
        <f t="shared" si="97"/>
        <v>Error?</v>
      </c>
      <c r="E6281" s="2" t="s">
        <v>189</v>
      </c>
    </row>
    <row r="6282" spans="1:5" x14ac:dyDescent="0.2">
      <c r="A6282">
        <v>6221</v>
      </c>
      <c r="B6282" s="1832">
        <f>'Acct Summary 7-8'!I83</f>
        <v>1.7625697066640984E-2</v>
      </c>
      <c r="D6282" s="2" t="str">
        <f t="shared" si="97"/>
        <v>Error?</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871493</v>
      </c>
      <c r="D6285" s="2" t="str">
        <f t="shared" si="97"/>
        <v>Error?</v>
      </c>
      <c r="E6285" s="2" t="s">
        <v>189</v>
      </c>
    </row>
    <row r="6286" spans="1:5" x14ac:dyDescent="0.2">
      <c r="A6286">
        <v>6225</v>
      </c>
      <c r="B6286" s="1832">
        <f>'Acct Summary 7-8'!E38</f>
        <v>262850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70973</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100000</v>
      </c>
      <c r="D6330" s="2" t="str">
        <f t="shared" si="97"/>
        <v>Error?</v>
      </c>
      <c r="E6330" s="2" t="s">
        <v>189</v>
      </c>
    </row>
    <row r="6331" spans="1:5" x14ac:dyDescent="0.2">
      <c r="A6331">
        <v>6270</v>
      </c>
      <c r="B6331" s="1832">
        <f>'Revenues 9-14'!D100</f>
        <v>407657</v>
      </c>
      <c r="D6331" s="2" t="str">
        <f t="shared" si="97"/>
        <v>Error?</v>
      </c>
      <c r="E6331" s="2" t="s">
        <v>189</v>
      </c>
    </row>
    <row r="6332" spans="1:5" x14ac:dyDescent="0.2">
      <c r="A6332">
        <v>6271</v>
      </c>
      <c r="B6332" s="1832">
        <f>'Revenues 9-14'!E100</f>
        <v>590000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142376</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279041</v>
      </c>
      <c r="D6880" s="2" t="str">
        <f t="shared" si="106"/>
        <v>Error?</v>
      </c>
    </row>
    <row r="6881" spans="1:4" x14ac:dyDescent="0.2">
      <c r="A6881">
        <v>6820</v>
      </c>
      <c r="B6881" s="1832">
        <f>'Expenditures 15-22'!K22</f>
        <v>279041</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1615</v>
      </c>
      <c r="D7075" s="2" t="str">
        <f t="shared" si="109"/>
        <v>Error?</v>
      </c>
    </row>
    <row r="7076" spans="1:4" x14ac:dyDescent="0.2">
      <c r="A7076">
        <v>7015</v>
      </c>
      <c r="B7076" s="1832">
        <f>'Expenditures 15-22'!K218</f>
        <v>1615</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112899</v>
      </c>
      <c r="D7251" s="2" t="str">
        <f t="shared" si="112"/>
        <v>Error?</v>
      </c>
    </row>
    <row r="7252" spans="1:4" x14ac:dyDescent="0.2">
      <c r="A7252">
        <f t="shared" si="113"/>
        <v>7191</v>
      </c>
      <c r="B7252" s="1832">
        <f>'Expenditures 15-22'!D9</f>
        <v>21343</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8134</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2028496</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211493</v>
      </c>
      <c r="D7654" s="2" t="str">
        <f t="shared" si="124"/>
        <v>Error?</v>
      </c>
      <c r="E7654" s="2" t="s">
        <v>822</v>
      </c>
    </row>
    <row r="7655" spans="1:5" x14ac:dyDescent="0.2">
      <c r="A7655">
        <v>7594</v>
      </c>
      <c r="B7655" s="1832">
        <f>'Acct Summary 7-8'!D56</f>
        <v>660000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21155</v>
      </c>
      <c r="D7663" s="2" t="str">
        <f t="shared" si="124"/>
        <v>Error?</v>
      </c>
      <c r="E7663" s="2" t="s">
        <v>822</v>
      </c>
    </row>
    <row r="7664" spans="1:5" x14ac:dyDescent="0.2">
      <c r="A7664">
        <v>7603</v>
      </c>
      <c r="B7664" s="1832">
        <f>'Acct Summary 7-8'!D60</f>
        <v>241695</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26535000</v>
      </c>
      <c r="D7817" s="2" t="str">
        <f t="shared" si="128"/>
        <v>Error?</v>
      </c>
      <c r="E7817" s="4" t="s">
        <v>1966</v>
      </c>
    </row>
    <row r="7818" spans="1:5" x14ac:dyDescent="0.2">
      <c r="A7818">
        <v>7757</v>
      </c>
      <c r="B7818" s="1832">
        <f>'PCTC-OEPP 27-28'!F172</f>
        <v>764110.4</v>
      </c>
      <c r="D7818" s="2" t="str">
        <f t="shared" si="128"/>
        <v>Error?</v>
      </c>
      <c r="E7818" s="4" t="s">
        <v>1980</v>
      </c>
    </row>
    <row r="7819" spans="1:5" x14ac:dyDescent="0.2">
      <c r="A7819">
        <v>7758</v>
      </c>
      <c r="B7819" s="1832">
        <f>'PCTC-OEPP 27-28'!F173</f>
        <v>61.33</v>
      </c>
      <c r="D7819" s="2" t="str">
        <f t="shared" si="128"/>
        <v>Error?</v>
      </c>
      <c r="E7819" s="4" t="s">
        <v>1980</v>
      </c>
    </row>
    <row r="7820" spans="1:5" x14ac:dyDescent="0.2">
      <c r="A7820">
        <v>7759</v>
      </c>
      <c r="B7820" s="1832">
        <f>'ICR Computation 30'!E40</f>
        <v>-2414576</v>
      </c>
      <c r="D7820" s="2" t="str">
        <f t="shared" si="128"/>
        <v>Error?</v>
      </c>
    </row>
    <row r="7821" spans="1:5" x14ac:dyDescent="0.2">
      <c r="A7821">
        <v>7760</v>
      </c>
      <c r="B7821" s="1832">
        <f>'ICR Computation 30'!G40</f>
        <v>-2414576</v>
      </c>
      <c r="D7821" s="2" t="str">
        <f t="shared" si="128"/>
        <v>Error?</v>
      </c>
    </row>
    <row r="7822" spans="1:5" x14ac:dyDescent="0.2">
      <c r="A7822" s="1">
        <v>7761</v>
      </c>
      <c r="B7822" s="1832">
        <f>'PCTC-OEPP 27-28'!F14</f>
        <v>38163358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142376</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168045</v>
      </c>
      <c r="D7830" s="2" t="str">
        <f t="shared" si="129"/>
        <v>Error?</v>
      </c>
      <c r="E7830" s="4" t="s">
        <v>1998</v>
      </c>
    </row>
    <row r="7831" spans="1:5" x14ac:dyDescent="0.2">
      <c r="A7831">
        <v>7770</v>
      </c>
      <c r="B7831" s="1832">
        <f>'PCTC-OEPP 27-28'!F52</f>
        <v>66273</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4283228</v>
      </c>
      <c r="D7834" s="2" t="str">
        <f t="shared" si="129"/>
        <v>Error?</v>
      </c>
      <c r="E7834" s="4" t="s">
        <v>1998</v>
      </c>
    </row>
    <row r="7835" spans="1:5" x14ac:dyDescent="0.2">
      <c r="A7835">
        <v>7774</v>
      </c>
      <c r="B7835" s="1832">
        <f>'PCTC-OEPP 27-28'!F78</f>
        <v>33880130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14976.628945274513</v>
      </c>
      <c r="D7837" s="2" t="str">
        <f t="shared" si="129"/>
        <v>Error?</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55623</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120910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720278</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50000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78460</v>
      </c>
      <c r="D7859" s="2" t="str">
        <f t="shared" si="129"/>
        <v>Error?</v>
      </c>
      <c r="E7859" s="4" t="s">
        <v>1998</v>
      </c>
    </row>
    <row r="7860" spans="1:5" x14ac:dyDescent="0.2">
      <c r="A7860">
        <v>7799</v>
      </c>
      <c r="B7860" s="1832">
        <f>'PCTC-OEPP 27-28'!F128</f>
        <v>9246</v>
      </c>
      <c r="D7860" s="2" t="str">
        <f t="shared" si="129"/>
        <v>Error?</v>
      </c>
      <c r="E7860" s="4" t="s">
        <v>1998</v>
      </c>
    </row>
    <row r="7861" spans="1:5" x14ac:dyDescent="0.2">
      <c r="A7861">
        <v>7800</v>
      </c>
      <c r="B7861" s="1832">
        <f>'PCTC-OEPP 27-28'!F129</f>
        <v>10388</v>
      </c>
      <c r="D7861" s="2" t="str">
        <f t="shared" si="129"/>
        <v>Error?</v>
      </c>
      <c r="E7861" s="4" t="s">
        <v>1998</v>
      </c>
    </row>
    <row r="7862" spans="1:5" x14ac:dyDescent="0.2">
      <c r="A7862">
        <v>7801</v>
      </c>
      <c r="B7862" s="1832">
        <f>'PCTC-OEPP 27-28'!F130</f>
        <v>9016</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29036</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63245</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2458107.73</v>
      </c>
      <c r="D7877" s="2" t="str">
        <f t="shared" si="129"/>
        <v>Error?</v>
      </c>
      <c r="E7877" s="4" t="s">
        <v>1998</v>
      </c>
    </row>
    <row r="7878" spans="1:5" x14ac:dyDescent="0.2">
      <c r="A7878">
        <v>7817</v>
      </c>
      <c r="B7878" s="1832">
        <f>'PCTC-OEPP 27-28'!F176</f>
        <v>31422022.27</v>
      </c>
      <c r="D7878" s="2" t="str">
        <f t="shared" si="129"/>
        <v>Error?</v>
      </c>
      <c r="E7878" s="4" t="s">
        <v>1998</v>
      </c>
    </row>
    <row r="7879" spans="1:5" x14ac:dyDescent="0.2">
      <c r="A7879">
        <v>7818</v>
      </c>
      <c r="B7879" s="1832">
        <f>'PCTC-OEPP 27-28'!F178</f>
        <v>33450518.27</v>
      </c>
      <c r="D7879" s="2" t="str">
        <f t="shared" si="129"/>
        <v>Error?</v>
      </c>
      <c r="E7879" s="4" t="s">
        <v>1998</v>
      </c>
    </row>
    <row r="7880" spans="1:5" x14ac:dyDescent="0.2">
      <c r="A7880">
        <v>7819</v>
      </c>
      <c r="B7880" s="1832">
        <f>'PCTC-OEPP 27-28'!F180</f>
        <v>14786.720126425604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3" t="s">
        <v>1181</v>
      </c>
      <c r="B2" s="2513"/>
      <c r="C2" s="2513"/>
      <c r="D2" s="2513"/>
      <c r="E2" s="2513"/>
      <c r="F2" s="2513"/>
      <c r="G2" s="2513"/>
      <c r="H2" s="2513"/>
      <c r="I2" s="2513"/>
      <c r="J2" s="2513"/>
      <c r="K2" s="2513"/>
      <c r="L2" s="2513"/>
    </row>
    <row r="3" spans="1:29" ht="13.5" customHeight="1" x14ac:dyDescent="0.2">
      <c r="A3" s="2545" t="s">
        <v>1180</v>
      </c>
      <c r="B3" s="2545"/>
      <c r="C3" s="2545"/>
      <c r="D3" s="2545"/>
      <c r="E3" s="2545"/>
      <c r="F3" s="2545"/>
      <c r="G3" s="2545"/>
      <c r="H3" s="2545"/>
      <c r="I3" s="2545"/>
      <c r="J3" s="2545"/>
      <c r="K3" s="2545"/>
      <c r="L3" s="2545"/>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6" t="str">
        <f>COVER!A17</f>
        <v>LIBERTYVILLE SCHOOL DISTRICT NO. 70</v>
      </c>
      <c r="B7" s="2537"/>
      <c r="C7" s="2537"/>
      <c r="D7" s="2538"/>
      <c r="E7" s="2539" t="str">
        <f>COVER!A13</f>
        <v>34-049-0700-02</v>
      </c>
      <c r="F7" s="2540"/>
      <c r="G7" s="2546" t="str">
        <f>COVER!T23</f>
        <v>066-003289</v>
      </c>
      <c r="H7" s="2547"/>
      <c r="I7" s="2547"/>
      <c r="J7" s="2547"/>
      <c r="K7" s="2547"/>
      <c r="L7" s="254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9"/>
      <c r="B9" s="2550"/>
      <c r="C9" s="2550"/>
      <c r="D9" s="2550"/>
      <c r="E9" s="2550"/>
      <c r="F9" s="2551"/>
      <c r="G9" s="2519" t="str">
        <f>COVER!T13</f>
        <v>EVOY, KAMSCHULTE, JACOBS &amp; CO. LLP</v>
      </c>
      <c r="H9" s="2552"/>
      <c r="I9" s="2552"/>
      <c r="J9" s="2552"/>
      <c r="K9" s="2552"/>
      <c r="L9" s="2553"/>
    </row>
    <row r="10" spans="1:29" ht="13.5" customHeight="1" x14ac:dyDescent="0.2">
      <c r="A10" s="2525" t="str">
        <f>COVER!A38</f>
        <v>Dr. Matt Barbini</v>
      </c>
      <c r="B10" s="2526"/>
      <c r="C10" s="2526"/>
      <c r="D10" s="2526"/>
      <c r="E10" s="2526"/>
      <c r="F10" s="2527"/>
      <c r="G10" s="2519" t="str">
        <f>COVER!T17</f>
        <v>2122 Yeoman Street</v>
      </c>
      <c r="H10" s="2520"/>
      <c r="I10" s="2520"/>
      <c r="J10" s="2520"/>
      <c r="K10" s="2520"/>
      <c r="L10" s="2521"/>
    </row>
    <row r="11" spans="1:29" ht="13.5" customHeight="1" x14ac:dyDescent="0.2">
      <c r="A11" s="963" t="s">
        <v>1502</v>
      </c>
      <c r="B11" s="964"/>
      <c r="C11" s="965"/>
      <c r="D11" s="970"/>
      <c r="E11" s="965"/>
      <c r="F11" s="969"/>
      <c r="G11" s="2519" t="str">
        <f>COVER!T19</f>
        <v>Waukegan</v>
      </c>
      <c r="H11" s="2520"/>
      <c r="I11" s="2520"/>
      <c r="J11" s="2520"/>
      <c r="K11" s="2520"/>
      <c r="L11" s="2521"/>
    </row>
    <row r="12" spans="1:29" ht="13.5" customHeight="1" x14ac:dyDescent="0.2">
      <c r="A12" s="2528" t="s">
        <v>1501</v>
      </c>
      <c r="B12" s="2529"/>
      <c r="C12" s="2529"/>
      <c r="D12" s="2529"/>
      <c r="E12" s="2529"/>
      <c r="F12" s="2530"/>
      <c r="G12" s="2522"/>
      <c r="H12" s="2523"/>
      <c r="I12" s="2523"/>
      <c r="J12" s="2523"/>
      <c r="K12" s="2523"/>
      <c r="L12" s="2524"/>
    </row>
    <row r="13" spans="1:29" ht="13.5" customHeight="1" x14ac:dyDescent="0.2">
      <c r="A13" s="2519"/>
      <c r="B13" s="2520"/>
      <c r="C13" s="2520"/>
      <c r="D13" s="2520"/>
      <c r="E13" s="2520"/>
      <c r="F13" s="2521"/>
      <c r="G13" s="2514" t="s">
        <v>1503</v>
      </c>
      <c r="H13" s="2515"/>
      <c r="I13" s="2531" t="str">
        <f>COVER!T25</f>
        <v>jaceto@ekjllp.com</v>
      </c>
      <c r="J13" s="2532"/>
      <c r="K13" s="2532"/>
      <c r="L13" s="2533"/>
    </row>
    <row r="14" spans="1:29" ht="13.5" customHeight="1" x14ac:dyDescent="0.2">
      <c r="A14" s="2519" t="str">
        <f>COVER!A19</f>
        <v>1381 WEST LAKE STREET</v>
      </c>
      <c r="B14" s="2520"/>
      <c r="C14" s="2520"/>
      <c r="D14" s="2520"/>
      <c r="E14" s="2520"/>
      <c r="F14" s="2521"/>
      <c r="G14" s="974" t="s">
        <v>1175</v>
      </c>
      <c r="H14" s="972"/>
      <c r="I14" s="972"/>
      <c r="J14" s="972"/>
      <c r="K14" s="972"/>
      <c r="L14" s="973"/>
    </row>
    <row r="15" spans="1:29" ht="13.5" customHeight="1" x14ac:dyDescent="0.2">
      <c r="A15" s="2519" t="str">
        <f>COVER!A21</f>
        <v xml:space="preserve">LIBERTYVILLE  </v>
      </c>
      <c r="B15" s="2520"/>
      <c r="C15" s="2520"/>
      <c r="D15" s="2520"/>
      <c r="E15" s="2520"/>
      <c r="F15" s="2521"/>
      <c r="G15" s="2516" t="str">
        <f>COVER!T15</f>
        <v>John D. Aceto, Jr., CPA</v>
      </c>
      <c r="H15" s="2517"/>
      <c r="I15" s="2517"/>
      <c r="J15" s="2517"/>
      <c r="K15" s="2517"/>
      <c r="L15" s="2518"/>
    </row>
    <row r="16" spans="1:29" ht="12.2" customHeight="1" x14ac:dyDescent="0.2">
      <c r="A16" s="2542">
        <f>COVER!A25</f>
        <v>60048</v>
      </c>
      <c r="B16" s="2543"/>
      <c r="C16" s="2543"/>
      <c r="D16" s="2543"/>
      <c r="E16" s="2543"/>
      <c r="F16" s="2544"/>
      <c r="G16" s="2554"/>
      <c r="H16" s="2555"/>
      <c r="I16" s="2555"/>
      <c r="J16" s="2555"/>
      <c r="K16" s="2555"/>
      <c r="L16" s="2556"/>
    </row>
    <row r="17" spans="1:13" ht="12.2" customHeight="1" x14ac:dyDescent="0.2">
      <c r="A17" s="2557"/>
      <c r="B17" s="2543"/>
      <c r="C17" s="2543"/>
      <c r="D17" s="2543"/>
      <c r="E17" s="2543"/>
      <c r="F17" s="2544"/>
      <c r="G17" s="974" t="s">
        <v>1174</v>
      </c>
      <c r="H17" s="972"/>
      <c r="I17" s="972"/>
      <c r="J17" s="972"/>
      <c r="K17" s="976" t="s">
        <v>1173</v>
      </c>
      <c r="L17" s="969"/>
      <c r="M17" s="962"/>
    </row>
    <row r="18" spans="1:13" ht="12.2" customHeight="1" x14ac:dyDescent="0.2">
      <c r="A18" s="2525"/>
      <c r="B18" s="2526"/>
      <c r="C18" s="2526"/>
      <c r="D18" s="2526"/>
      <c r="E18" s="2526"/>
      <c r="F18" s="2527"/>
      <c r="G18" s="2536" t="str">
        <f>COVER!T21</f>
        <v>847-662-8300</v>
      </c>
      <c r="H18" s="2537"/>
      <c r="I18" s="2537"/>
      <c r="J18" s="2537"/>
      <c r="K18" s="2536" t="str">
        <f>COVER!X21</f>
        <v>847-662-8305</v>
      </c>
      <c r="L18" s="254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LIBERTYVILLE SCHOOL DISTRICT NO. 70</v>
      </c>
      <c r="B1" s="2559"/>
      <c r="C1" s="2559"/>
      <c r="D1" s="2559"/>
    </row>
    <row r="2" spans="1:11" s="991" customFormat="1" ht="12.75" x14ac:dyDescent="0.2">
      <c r="A2" s="2560" t="str">
        <f>'Single Audit Cover'!E7</f>
        <v>34-049-0700-02</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LIBERTYVILLE SCHOOL DISTRICT NO. 70</v>
      </c>
      <c r="B1" s="2563"/>
      <c r="C1" s="2563"/>
      <c r="D1" s="2563"/>
      <c r="E1" s="2563"/>
    </row>
    <row r="2" spans="1:5" x14ac:dyDescent="0.2">
      <c r="A2" s="2564" t="str">
        <f>'Single Audit Cover'!E7</f>
        <v>34-049-0700-02</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434834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434834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434834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434834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LIBERTYVILLE SCHOOL DISTRICT NO. 70</v>
      </c>
      <c r="C1" s="2567"/>
      <c r="D1" s="2567"/>
      <c r="E1" s="2567"/>
      <c r="F1" s="2567"/>
      <c r="G1" s="2567"/>
      <c r="H1" s="2567"/>
      <c r="I1" s="2567"/>
      <c r="J1" s="2567"/>
      <c r="K1" s="2567"/>
      <c r="L1" s="2567"/>
      <c r="M1" s="2567"/>
    </row>
    <row r="2" spans="2:14" ht="15" x14ac:dyDescent="0.2">
      <c r="B2" s="2568" t="str">
        <f>'Single Audit Cover'!E7</f>
        <v>34-049-0700-02</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LIBERTYVILLE SCHOOL DISTRICT NO. 70</v>
      </c>
      <c r="B1" s="2580"/>
      <c r="C1" s="2580"/>
      <c r="D1" s="2580"/>
      <c r="E1" s="2580"/>
      <c r="F1" s="2580"/>
    </row>
    <row r="2" spans="1:7" ht="13.5" customHeight="1" x14ac:dyDescent="0.2">
      <c r="A2" s="2568" t="str">
        <f>'Single Audit Cover'!E7</f>
        <v>34-049-0700-02</v>
      </c>
      <c r="B2" s="2568"/>
      <c r="C2" s="2568"/>
      <c r="D2" s="2568"/>
      <c r="E2" s="2568"/>
      <c r="F2" s="2568"/>
      <c r="G2" s="1051"/>
    </row>
    <row r="3" spans="1:7" ht="15.75" customHeight="1" x14ac:dyDescent="0.2">
      <c r="A3" s="2581" t="s">
        <v>1260</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1705</v>
      </c>
      <c r="C6" s="295"/>
      <c r="D6" s="295"/>
    </row>
    <row r="7" spans="1:7" ht="60.95" customHeight="1" x14ac:dyDescent="0.2">
      <c r="A7" s="2579" t="s">
        <v>1706</v>
      </c>
      <c r="B7" s="2579"/>
      <c r="C7" s="2579"/>
      <c r="D7" s="2579"/>
      <c r="E7" s="2579"/>
      <c r="F7" s="257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9" t="s">
        <v>1708</v>
      </c>
      <c r="B13" s="2579"/>
      <c r="C13" s="2579"/>
      <c r="D13" s="2579"/>
      <c r="E13" s="2579"/>
      <c r="F13" s="2579"/>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c r="C17" s="1061"/>
      <c r="D17" s="2572"/>
      <c r="E17" s="2572"/>
      <c r="F17" s="2572"/>
    </row>
    <row r="18" spans="1:6" ht="20.65" customHeight="1" x14ac:dyDescent="0.2">
      <c r="A18" s="1059"/>
      <c r="B18" s="1060"/>
      <c r="C18" s="1061"/>
      <c r="D18" s="2572"/>
      <c r="E18" s="2572"/>
      <c r="F18" s="2572"/>
    </row>
    <row r="19" spans="1:6" ht="20.65" customHeight="1" x14ac:dyDescent="0.2">
      <c r="A19" s="1059"/>
      <c r="B19" s="1060"/>
      <c r="C19" s="1061"/>
      <c r="D19" s="2572"/>
      <c r="E19" s="2572"/>
      <c r="F19" s="2572"/>
    </row>
    <row r="20" spans="1:6" ht="20.65" customHeight="1" x14ac:dyDescent="0.2">
      <c r="A20" s="1059"/>
      <c r="B20" s="1060"/>
      <c r="C20" s="1061"/>
      <c r="D20" s="2572"/>
      <c r="E20" s="2572"/>
      <c r="F20" s="2572"/>
    </row>
    <row r="21" spans="1:6" ht="20.65" customHeight="1" x14ac:dyDescent="0.2">
      <c r="A21" s="1059"/>
      <c r="B21" s="1060"/>
      <c r="C21" s="1061"/>
      <c r="D21" s="2572"/>
      <c r="E21" s="2572"/>
      <c r="F21" s="2572"/>
    </row>
    <row r="22" spans="1:6" ht="20.65" customHeight="1" x14ac:dyDescent="0.2">
      <c r="A22" s="1059"/>
      <c r="B22" s="1060"/>
      <c r="C22" s="1061"/>
      <c r="D22" s="2572"/>
      <c r="E22" s="2572"/>
      <c r="F22" s="2572"/>
    </row>
    <row r="23" spans="1:6" ht="20.65" customHeight="1" x14ac:dyDescent="0.2">
      <c r="A23" s="1059"/>
      <c r="B23" s="1060"/>
      <c r="C23" s="1061"/>
      <c r="D23" s="2572"/>
      <c r="E23" s="2572"/>
      <c r="F23" s="2572"/>
    </row>
    <row r="24" spans="1:6" ht="20.65" customHeight="1" x14ac:dyDescent="0.2">
      <c r="A24" s="1059"/>
      <c r="B24" s="1060"/>
      <c r="C24" s="1061"/>
      <c r="D24" s="2572"/>
      <c r="E24" s="2572"/>
      <c r="F24" s="2572"/>
    </row>
    <row r="25" spans="1:6" ht="20.65" customHeight="1" x14ac:dyDescent="0.2">
      <c r="A25" s="1059"/>
      <c r="B25" s="1060"/>
      <c r="C25" s="1061"/>
      <c r="D25" s="2572"/>
      <c r="E25" s="2572"/>
      <c r="F25" s="2572"/>
    </row>
    <row r="26" spans="1:6" ht="20.65" customHeight="1" x14ac:dyDescent="0.2">
      <c r="A26" s="1059"/>
      <c r="B26" s="1060"/>
      <c r="C26" s="1061"/>
      <c r="D26" s="2572"/>
      <c r="E26" s="2572"/>
      <c r="F26" s="2572"/>
    </row>
    <row r="27" spans="1:6" ht="20.65" customHeight="1" x14ac:dyDescent="0.2">
      <c r="A27" s="1059"/>
      <c r="B27" s="1060"/>
      <c r="C27" s="1061"/>
      <c r="D27" s="2572"/>
      <c r="E27" s="2572"/>
      <c r="F27" s="2572"/>
    </row>
    <row r="28" spans="1:6" ht="20.65" customHeight="1" x14ac:dyDescent="0.2">
      <c r="A28" s="1059"/>
      <c r="B28" s="1060"/>
      <c r="C28" s="1061"/>
      <c r="D28" s="2572"/>
      <c r="E28" s="2572"/>
      <c r="F28" s="2572"/>
    </row>
    <row r="29" spans="1:6" ht="20.65" customHeight="1" x14ac:dyDescent="0.2">
      <c r="A29" s="1059"/>
      <c r="B29" s="1060"/>
      <c r="C29" s="1061"/>
      <c r="D29" s="2572"/>
      <c r="E29" s="2572"/>
      <c r="F29" s="257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3" t="s">
        <v>1709</v>
      </c>
      <c r="B32" s="2573"/>
      <c r="C32" s="2573"/>
      <c r="D32" s="2573"/>
      <c r="E32" s="2573"/>
      <c r="F32" s="2573"/>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4">
        <f>+C33+C34</f>
        <v>0</v>
      </c>
      <c r="F34" s="2575"/>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6" t="s">
        <v>1573</v>
      </c>
      <c r="C49" s="2576"/>
      <c r="D49" s="2576"/>
      <c r="E49" s="1168"/>
    </row>
    <row r="50" spans="1:5" s="1076" customFormat="1" ht="3.75" customHeight="1" x14ac:dyDescent="0.2">
      <c r="A50" s="1075"/>
      <c r="B50" s="1475"/>
      <c r="C50" s="1475"/>
      <c r="D50" s="1475"/>
      <c r="E50" s="1168"/>
    </row>
    <row r="51" spans="1:5" s="1076" customFormat="1" ht="20.25" customHeight="1" x14ac:dyDescent="0.2">
      <c r="A51" s="1077">
        <v>6</v>
      </c>
      <c r="B51" s="2571" t="s">
        <v>1534</v>
      </c>
      <c r="C51" s="2571"/>
      <c r="D51" s="2571"/>
    </row>
    <row r="52" spans="1:5" ht="14.25" customHeight="1" x14ac:dyDescent="0.2">
      <c r="A52" s="1077"/>
      <c r="B52" s="2571"/>
      <c r="C52" s="2571"/>
      <c r="D52" s="257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6"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33604</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2068</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LIBERTYVILLE SCHOOL DISTRICT NO. 70</v>
      </c>
      <c r="C1" s="2595"/>
      <c r="D1" s="2595"/>
      <c r="E1" s="2595"/>
      <c r="F1" s="2595"/>
      <c r="G1" s="2595"/>
      <c r="H1" s="2595"/>
      <c r="I1" s="2595"/>
      <c r="J1" s="1178"/>
    </row>
    <row r="2" spans="2:10" s="295" customFormat="1" ht="12.75" customHeight="1" x14ac:dyDescent="0.2">
      <c r="B2" s="2596" t="str">
        <f>'Single Audit Cover'!E7</f>
        <v>34-049-0700-02</v>
      </c>
      <c r="C2" s="2597"/>
      <c r="D2" s="2597"/>
      <c r="E2" s="2597"/>
      <c r="F2" s="2597"/>
      <c r="G2" s="2597"/>
      <c r="H2" s="2597"/>
      <c r="I2" s="2597"/>
      <c r="J2" s="1178"/>
    </row>
    <row r="3" spans="2:10" s="295" customFormat="1" ht="12.75" customHeight="1" x14ac:dyDescent="0.2">
      <c r="B3" s="2598" t="s">
        <v>1274</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1273</v>
      </c>
      <c r="C7" s="2599"/>
      <c r="D7" s="2599"/>
      <c r="E7" s="2599"/>
      <c r="F7" s="2599"/>
      <c r="G7" s="2599"/>
      <c r="H7" s="2599"/>
      <c r="I7" s="259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0"/>
      <c r="D11" s="260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1"/>
      <c r="E29" s="2601"/>
      <c r="F29" s="2601"/>
      <c r="G29" s="2601"/>
      <c r="H29" s="2601"/>
      <c r="I29" s="2601"/>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2" t="s">
        <v>1728</v>
      </c>
      <c r="D37" s="2603"/>
      <c r="E37" s="2603"/>
      <c r="F37" s="2604"/>
      <c r="G37" s="2602" t="s">
        <v>1575</v>
      </c>
      <c r="H37" s="2603"/>
      <c r="I37" s="2604"/>
    </row>
    <row r="38" spans="2:9" ht="16.5" customHeight="1" x14ac:dyDescent="0.2">
      <c r="B38" s="1200"/>
      <c r="C38" s="2590"/>
      <c r="D38" s="2591"/>
      <c r="E38" s="2591"/>
      <c r="F38" s="2592"/>
      <c r="G38" s="2605"/>
      <c r="H38" s="2606"/>
      <c r="I38" s="2607"/>
    </row>
    <row r="39" spans="2:9" ht="16.5" customHeight="1" x14ac:dyDescent="0.2">
      <c r="B39" s="1200"/>
      <c r="C39" s="2590"/>
      <c r="D39" s="2591"/>
      <c r="E39" s="2591"/>
      <c r="F39" s="2592"/>
      <c r="G39" s="2593"/>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583" t="s">
        <v>1576</v>
      </c>
      <c r="D43" s="2584"/>
      <c r="E43" s="2584"/>
      <c r="F43" s="2585"/>
      <c r="G43" s="2586">
        <f>SUM(G38:I42)</f>
        <v>0</v>
      </c>
      <c r="H43" s="2586"/>
      <c r="I43" s="2586"/>
    </row>
    <row r="44" spans="2:9" ht="12.75" customHeight="1" x14ac:dyDescent="0.2"/>
    <row r="45" spans="2:9" ht="12.75" customHeight="1" x14ac:dyDescent="0.2">
      <c r="B45" s="1917" t="str">
        <f>"Total Federal Expenditures for 7/1/"&amp;MID('AFR20'!E2,3,2)-1&amp;"-6/30/"&amp;MID('AFR20'!E2,3,2)</f>
        <v>Total Federal Expenditures for 7/1/19-6/30/20</v>
      </c>
      <c r="C45" s="1918"/>
      <c r="D45" s="2587">
        <v>0</v>
      </c>
      <c r="E45" s="258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9"/>
      <c r="F49" s="2589"/>
      <c r="G49" s="258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LIBERTYVILLE SCHOOL DISTRICT NO. 70</v>
      </c>
      <c r="C1" s="2594"/>
      <c r="D1" s="2594"/>
      <c r="E1" s="2594"/>
      <c r="F1" s="2594"/>
      <c r="G1" s="2594"/>
      <c r="H1" s="2594"/>
      <c r="I1" s="2594"/>
      <c r="J1" s="2594"/>
      <c r="K1" s="2594"/>
      <c r="L1" s="1144"/>
      <c r="M1" s="1144"/>
    </row>
    <row r="2" spans="1:13" ht="12" customHeight="1" x14ac:dyDescent="0.2">
      <c r="B2" s="2596" t="str">
        <f>'Single Audit Cover'!E7</f>
        <v>34-049-0700-02</v>
      </c>
      <c r="C2" s="2596"/>
      <c r="D2" s="2596"/>
      <c r="E2" s="2596"/>
      <c r="F2" s="2596"/>
      <c r="G2" s="2596"/>
      <c r="H2" s="2596"/>
      <c r="I2" s="2596"/>
      <c r="J2" s="2596"/>
      <c r="K2" s="2596"/>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LIBERTYVILLE SCHOOL DISTRICT NO. 70</v>
      </c>
      <c r="C1" s="2617"/>
      <c r="D1" s="2617"/>
      <c r="E1" s="2617"/>
      <c r="F1" s="2617"/>
      <c r="G1" s="2617"/>
      <c r="H1" s="2617"/>
      <c r="I1" s="2617"/>
      <c r="J1" s="2617"/>
      <c r="K1" s="2617"/>
      <c r="L1" s="1221"/>
    </row>
    <row r="2" spans="1:12" ht="12.75" customHeight="1" x14ac:dyDescent="0.2">
      <c r="B2" s="2618" t="str">
        <f>'Single Audit Cover'!E7</f>
        <v>34-049-0700-02</v>
      </c>
      <c r="C2" s="2618"/>
      <c r="D2" s="2618"/>
      <c r="E2" s="2618"/>
      <c r="F2" s="2618"/>
      <c r="G2" s="2618"/>
      <c r="H2" s="2618"/>
      <c r="I2" s="2618"/>
      <c r="J2" s="2618"/>
      <c r="K2" s="2618"/>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9" t="s">
        <v>1297</v>
      </c>
      <c r="C6" s="2619"/>
      <c r="D6" s="2619"/>
      <c r="E6" s="2619"/>
      <c r="F6" s="2619"/>
      <c r="G6" s="2619"/>
      <c r="H6" s="2619"/>
      <c r="I6" s="2619"/>
      <c r="J6" s="2619"/>
      <c r="K6" s="2619"/>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4"/>
      <c r="E14" s="2614"/>
      <c r="F14" s="2614"/>
      <c r="H14" s="1230" t="s">
        <v>1292</v>
      </c>
      <c r="I14" s="2615"/>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5"/>
      <c r="E16" s="2615"/>
      <c r="F16" s="2615"/>
      <c r="G16" s="2615"/>
      <c r="H16" s="2615"/>
      <c r="I16" s="2615"/>
      <c r="J16" s="2615"/>
      <c r="K16" s="2615"/>
      <c r="L16" s="300"/>
    </row>
    <row r="17" spans="2:12" ht="13.5" customHeight="1" x14ac:dyDescent="0.2">
      <c r="B17" s="1156" t="s">
        <v>1290</v>
      </c>
      <c r="C17" s="1156"/>
      <c r="D17" s="2616"/>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LIBERTYVILLE SCHOOL DISTRICT NO. 70</v>
      </c>
      <c r="C1" s="2594"/>
      <c r="D1" s="2594"/>
      <c r="E1" s="1240"/>
    </row>
    <row r="2" spans="2:5" s="1058" customFormat="1" ht="12.75" customHeight="1" x14ac:dyDescent="0.2">
      <c r="B2" s="2596" t="str">
        <f>'Single Audit Cover'!E7</f>
        <v>34-049-0700-02</v>
      </c>
      <c r="C2" s="2596"/>
      <c r="D2" s="2596"/>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1126881815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2.2733719999999999E-2</v>
      </c>
      <c r="E10" s="333" t="s">
        <v>998</v>
      </c>
      <c r="F10" s="332">
        <v>3.3226200000000001E-3</v>
      </c>
      <c r="G10" s="333" t="s">
        <v>998</v>
      </c>
      <c r="H10" s="332">
        <v>1.0492500000000001E-3</v>
      </c>
      <c r="I10" s="333" t="s">
        <v>999</v>
      </c>
      <c r="J10" s="1424">
        <f>ROUND(D10+F10+H10,5)</f>
        <v>2.7109999999999999E-2</v>
      </c>
      <c r="K10" s="217"/>
      <c r="L10" s="332">
        <v>8.7449999999999998E-5</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33185041</v>
      </c>
      <c r="E16" s="1547"/>
      <c r="F16" s="1546">
        <f>SUM('Acct Summary 7-8'!C17,'Acct Summary 7-8'!D17,'Acct Summary 7-8'!F17)</f>
        <v>34674292</v>
      </c>
      <c r="G16" s="1547"/>
      <c r="H16" s="1546">
        <f>SUM(D16-F16)</f>
        <v>-1489251</v>
      </c>
      <c r="I16" s="1548"/>
      <c r="J16" s="1546">
        <f>SUM('Acct Summary 7-8'!C81,'Acct Summary 7-8'!D81,'Acct Summary 7-8'!F81,'Acct Summary 7-8'!I81)</f>
        <v>15706616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77754845.234999999</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16156601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LIBERTYVILLE SCHOOL DISTRICT NO. 70</v>
      </c>
      <c r="E7" s="368"/>
      <c r="G7" s="247"/>
      <c r="H7" s="364"/>
      <c r="I7" s="364"/>
      <c r="J7" s="364"/>
      <c r="K7" s="364"/>
      <c r="L7" s="307"/>
      <c r="M7" s="307"/>
      <c r="N7" s="307"/>
      <c r="O7" s="307"/>
      <c r="P7" s="307"/>
    </row>
    <row r="8" spans="1:18" ht="12.75" x14ac:dyDescent="0.2">
      <c r="A8" s="307"/>
      <c r="B8" s="307"/>
      <c r="C8" s="366" t="s">
        <v>1115</v>
      </c>
      <c r="D8" s="369" t="str">
        <f>COVER!A13</f>
        <v>34-049-0700-02</v>
      </c>
      <c r="E8" s="370"/>
      <c r="G8" s="307"/>
      <c r="H8" s="307"/>
      <c r="I8" s="307"/>
      <c r="J8" s="307"/>
      <c r="K8" s="307"/>
      <c r="L8" s="307"/>
      <c r="M8" s="307"/>
      <c r="N8" s="307"/>
      <c r="O8" s="307"/>
      <c r="P8" s="307"/>
    </row>
    <row r="9" spans="1:18" ht="12.75" x14ac:dyDescent="0.2">
      <c r="A9" s="307"/>
      <c r="B9" s="307"/>
      <c r="C9" s="366" t="s">
        <v>708</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15706616</v>
      </c>
      <c r="I12" s="380"/>
      <c r="J12" s="380"/>
      <c r="K12" s="1559">
        <f>TRUNC((H12/H13*100000),5)/100000</f>
        <v>0.49005534910000004</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32050698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-1134343</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34674292</v>
      </c>
      <c r="I17" s="380"/>
      <c r="J17" s="389"/>
      <c r="K17" s="1559">
        <f>TRUNC((H17/H18*100000),5)/100000</f>
        <v>1.0818576244</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32050698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-1134343</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4.7650459999999999</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17341782</v>
      </c>
      <c r="I24" s="394"/>
      <c r="J24" s="394"/>
      <c r="K24" s="1555">
        <f>TRUNC(((H24/H25*100000)/100000),2)</f>
        <v>180.04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96317.477780000001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25967301.103950001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16156601</v>
      </c>
      <c r="I32" s="392"/>
      <c r="J32" s="392"/>
      <c r="K32" s="1555">
        <f>TRUNC(100-((((H32/H33*100))*100)/100),2)</f>
        <v>79.22</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77754845.234999999</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L34" sqref="L3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9560441</v>
      </c>
      <c r="D4" s="1573">
        <v>1707594</v>
      </c>
      <c r="E4" s="1573">
        <v>25914</v>
      </c>
      <c r="F4" s="1573">
        <v>342229</v>
      </c>
      <c r="G4" s="1573">
        <v>322637</v>
      </c>
      <c r="H4" s="1573">
        <v>80800</v>
      </c>
      <c r="I4" s="1573">
        <v>5731518</v>
      </c>
      <c r="J4" s="1574"/>
      <c r="K4" s="1573"/>
      <c r="L4" s="1573">
        <v>153923</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9560441</v>
      </c>
      <c r="D13" s="1587">
        <f t="shared" ref="D13:L13" si="0">SUM(D4:D12)</f>
        <v>1707594</v>
      </c>
      <c r="E13" s="1587">
        <f t="shared" si="0"/>
        <v>25914</v>
      </c>
      <c r="F13" s="1587">
        <f t="shared" si="0"/>
        <v>342229</v>
      </c>
      <c r="G13" s="1587">
        <f t="shared" si="0"/>
        <v>322637</v>
      </c>
      <c r="H13" s="1587">
        <f t="shared" si="0"/>
        <v>80800</v>
      </c>
      <c r="I13" s="1587">
        <f t="shared" si="0"/>
        <v>5731518</v>
      </c>
      <c r="J13" s="1587">
        <f t="shared" si="0"/>
        <v>0</v>
      </c>
      <c r="K13" s="1587">
        <f t="shared" si="0"/>
        <v>0</v>
      </c>
      <c r="L13" s="1587">
        <f t="shared" si="0"/>
        <v>153923</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313824</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69541661</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1802502</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14516085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25914</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16130687</v>
      </c>
    </row>
    <row r="23" spans="1:14" ht="13.5" customHeight="1" thickBot="1" x14ac:dyDescent="0.25">
      <c r="A23" s="1426" t="s">
        <v>638</v>
      </c>
      <c r="B23" s="1429"/>
      <c r="C23" s="1575"/>
      <c r="D23" s="1575"/>
      <c r="E23" s="1575"/>
      <c r="F23" s="1575"/>
      <c r="G23" s="1575"/>
      <c r="H23" s="1575"/>
      <c r="I23" s="1575"/>
      <c r="J23" s="1575"/>
      <c r="K23" s="1575"/>
      <c r="L23" s="1575"/>
      <c r="M23" s="1594">
        <f>SUM(M15:M22)</f>
        <v>86174072</v>
      </c>
      <c r="N23" s="1594">
        <f>SUM(N21:N22)</f>
        <v>16156601</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1609836</v>
      </c>
      <c r="D31" s="1574">
        <v>25330</v>
      </c>
      <c r="E31" s="1574"/>
      <c r="F31" s="1573"/>
      <c r="G31" s="1574">
        <v>77774</v>
      </c>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153923</v>
      </c>
      <c r="M33" s="1575"/>
      <c r="N33" s="1576"/>
    </row>
    <row r="34" spans="1:14" ht="13.5" customHeight="1" thickBot="1" x14ac:dyDescent="0.25">
      <c r="A34" s="1427" t="s">
        <v>649</v>
      </c>
      <c r="B34" s="1428"/>
      <c r="C34" s="1600">
        <f>SUM(C25:C33)</f>
        <v>1609836</v>
      </c>
      <c r="D34" s="1600">
        <f t="shared" ref="D34:K34" si="1">SUM(D25:D33)</f>
        <v>25330</v>
      </c>
      <c r="E34" s="1600">
        <f t="shared" si="1"/>
        <v>0</v>
      </c>
      <c r="F34" s="1600">
        <f t="shared" si="1"/>
        <v>0</v>
      </c>
      <c r="G34" s="1600">
        <f t="shared" si="1"/>
        <v>77774</v>
      </c>
      <c r="H34" s="1600">
        <f t="shared" si="1"/>
        <v>0</v>
      </c>
      <c r="I34" s="1600">
        <f t="shared" si="1"/>
        <v>0</v>
      </c>
      <c r="J34" s="1600">
        <f t="shared" si="1"/>
        <v>0</v>
      </c>
      <c r="K34" s="1600">
        <f t="shared" si="1"/>
        <v>0</v>
      </c>
      <c r="L34" s="1601">
        <f>SUM(L33)</f>
        <v>153923</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16156601</v>
      </c>
    </row>
    <row r="37" spans="1:14" ht="13.5" thickBot="1" x14ac:dyDescent="0.25">
      <c r="A37" s="1426" t="s">
        <v>648</v>
      </c>
      <c r="B37" s="1429"/>
      <c r="C37" s="1582"/>
      <c r="D37" s="1582"/>
      <c r="E37" s="1582"/>
      <c r="F37" s="1582"/>
      <c r="G37" s="1582"/>
      <c r="H37" s="1582"/>
      <c r="I37" s="1582"/>
      <c r="J37" s="1582"/>
      <c r="K37" s="1582"/>
      <c r="L37" s="1585"/>
      <c r="M37" s="1575"/>
      <c r="N37" s="1594">
        <f>SUM(N36:N36)</f>
        <v>16156601</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7950605</v>
      </c>
      <c r="D39" s="1573">
        <v>1682264</v>
      </c>
      <c r="E39" s="1573">
        <v>25914</v>
      </c>
      <c r="F39" s="1573">
        <v>342229</v>
      </c>
      <c r="G39" s="1573">
        <v>244863</v>
      </c>
      <c r="H39" s="1573">
        <v>80800</v>
      </c>
      <c r="I39" s="1573">
        <v>5731518</v>
      </c>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86174072</v>
      </c>
      <c r="N40" s="1604"/>
    </row>
    <row r="41" spans="1:14" ht="13.5" customHeight="1" thickBot="1" x14ac:dyDescent="0.25">
      <c r="A41" s="1426" t="s">
        <v>650</v>
      </c>
      <c r="B41" s="1405"/>
      <c r="C41" s="1594">
        <f>(SUM(C34,C37,C38,C39))</f>
        <v>9560441</v>
      </c>
      <c r="D41" s="1594">
        <f t="shared" ref="D41:L41" si="2">SUM(D34,D37,D38:D39)</f>
        <v>1707594</v>
      </c>
      <c r="E41" s="1594">
        <f t="shared" si="2"/>
        <v>25914</v>
      </c>
      <c r="F41" s="1594">
        <f t="shared" si="2"/>
        <v>342229</v>
      </c>
      <c r="G41" s="1594">
        <f t="shared" si="2"/>
        <v>322637</v>
      </c>
      <c r="H41" s="1594">
        <f t="shared" si="2"/>
        <v>80800</v>
      </c>
      <c r="I41" s="1594">
        <f t="shared" si="2"/>
        <v>5731518</v>
      </c>
      <c r="J41" s="1594">
        <f t="shared" si="2"/>
        <v>0</v>
      </c>
      <c r="K41" s="1594">
        <f t="shared" si="2"/>
        <v>0</v>
      </c>
      <c r="L41" s="1594">
        <f t="shared" si="2"/>
        <v>153923</v>
      </c>
      <c r="M41" s="1594">
        <f>SUM(M40)</f>
        <v>86174072</v>
      </c>
      <c r="N41" s="1594">
        <f>SUM(N37)</f>
        <v>16156601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24341129</v>
      </c>
      <c r="D4" s="1606">
        <f>'Revenues 9-14'!D109</f>
        <v>3957384</v>
      </c>
      <c r="E4" s="1606">
        <f>'Revenues 9-14'!E109</f>
        <v>1395041</v>
      </c>
      <c r="F4" s="1606">
        <f>'Revenues 9-14'!F109</f>
        <v>1563106</v>
      </c>
      <c r="G4" s="1606">
        <f>'Revenues 9-14'!G109</f>
        <v>942092</v>
      </c>
      <c r="H4" s="1606">
        <f>'Revenues 9-14'!H109</f>
        <v>25707</v>
      </c>
      <c r="I4" s="1606">
        <f>'Revenues 9-14'!I109</f>
        <v>203022</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1915288</v>
      </c>
      <c r="D6" s="1607">
        <f>'Revenues 9-14'!D170</f>
        <v>50000</v>
      </c>
      <c r="E6" s="1607">
        <f>'Revenues 9-14'!E170</f>
        <v>0</v>
      </c>
      <c r="F6" s="1607">
        <f>'Revenues 9-14'!F170</f>
        <v>720278</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434834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26691251</v>
      </c>
      <c r="D8" s="1594">
        <f t="shared" ref="D8:K8" si="0">SUM(D4:D7)</f>
        <v>4007384</v>
      </c>
      <c r="E8" s="1594">
        <f t="shared" si="0"/>
        <v>1395041</v>
      </c>
      <c r="F8" s="1594">
        <f t="shared" si="0"/>
        <v>2283384</v>
      </c>
      <c r="G8" s="1594">
        <f t="shared" si="0"/>
        <v>942092</v>
      </c>
      <c r="H8" s="1594">
        <f t="shared" si="0"/>
        <v>25707</v>
      </c>
      <c r="I8" s="1594">
        <f t="shared" si="0"/>
        <v>203022</v>
      </c>
      <c r="J8" s="1594">
        <f t="shared" si="0"/>
        <v>0</v>
      </c>
      <c r="K8" s="1594">
        <f t="shared" si="0"/>
        <v>0</v>
      </c>
      <c r="L8" s="325"/>
    </row>
    <row r="9" spans="1:13" ht="15.75" thickTop="1" x14ac:dyDescent="0.2">
      <c r="A9" s="449" t="s">
        <v>1634</v>
      </c>
      <c r="B9" s="450">
        <v>3998</v>
      </c>
      <c r="C9" s="1586">
        <v>15543601</v>
      </c>
      <c r="D9" s="1613"/>
      <c r="E9" s="1586"/>
      <c r="F9" s="1586"/>
      <c r="G9" s="1614"/>
      <c r="H9" s="1586"/>
      <c r="I9" s="1609" t="s">
        <v>1159</v>
      </c>
      <c r="J9" s="1583"/>
      <c r="K9" s="1586"/>
      <c r="L9" s="325"/>
    </row>
    <row r="10" spans="1:13" s="452" customFormat="1" ht="13.5" thickBot="1" x14ac:dyDescent="0.25">
      <c r="A10" s="1426" t="s">
        <v>1163</v>
      </c>
      <c r="B10" s="1407"/>
      <c r="C10" s="1594">
        <f>SUM(C8:C9)</f>
        <v>42234852</v>
      </c>
      <c r="D10" s="1594">
        <f t="shared" ref="D10:K10" si="1">SUM(D8:D9)</f>
        <v>4007384</v>
      </c>
      <c r="E10" s="1594">
        <f t="shared" si="1"/>
        <v>1395041</v>
      </c>
      <c r="F10" s="1594">
        <f t="shared" si="1"/>
        <v>2283384</v>
      </c>
      <c r="G10" s="1594">
        <f t="shared" si="1"/>
        <v>942092</v>
      </c>
      <c r="H10" s="1594">
        <f t="shared" si="1"/>
        <v>25707</v>
      </c>
      <c r="I10" s="1594">
        <f t="shared" si="1"/>
        <v>203022</v>
      </c>
      <c r="J10" s="1594">
        <f t="shared" si="1"/>
        <v>0</v>
      </c>
      <c r="K10" s="1594">
        <f t="shared" si="1"/>
        <v>0</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19304227</v>
      </c>
      <c r="D12" s="1616" t="s">
        <v>1159</v>
      </c>
      <c r="E12" s="1575" t="s">
        <v>1159</v>
      </c>
      <c r="F12" s="1575" t="s">
        <v>1159</v>
      </c>
      <c r="G12" s="1606">
        <f>'Expenditures 15-22'!K229</f>
        <v>337156</v>
      </c>
      <c r="H12" s="1617"/>
      <c r="I12" s="1575" t="s">
        <v>1159</v>
      </c>
      <c r="J12" s="1575" t="s">
        <v>1159</v>
      </c>
      <c r="K12" s="1617" t="s">
        <v>1159</v>
      </c>
      <c r="L12" s="325"/>
    </row>
    <row r="13" spans="1:13" ht="15.75" customHeight="1" x14ac:dyDescent="0.2">
      <c r="A13" s="1314" t="s">
        <v>454</v>
      </c>
      <c r="B13" s="1316">
        <v>2000</v>
      </c>
      <c r="C13" s="1607">
        <f>'Expenditures 15-22'!K74</f>
        <v>9715563</v>
      </c>
      <c r="D13" s="1607">
        <f>'Expenditures 15-22'!K129</f>
        <v>2824516</v>
      </c>
      <c r="E13" s="1576" t="s">
        <v>1159</v>
      </c>
      <c r="F13" s="1607">
        <f>'Expenditures 15-22'!K184</f>
        <v>2204111</v>
      </c>
      <c r="G13" s="1607">
        <f>'Expenditures 15-22'!K279</f>
        <v>579020</v>
      </c>
      <c r="H13" s="1607">
        <f>'Expenditures 15-22'!K303</f>
        <v>5950400</v>
      </c>
      <c r="I13" s="1575" t="s">
        <v>1159</v>
      </c>
      <c r="J13" s="1607">
        <f>'Expenditures 15-22'!K330</f>
        <v>0</v>
      </c>
      <c r="K13" s="1618">
        <f>'Expenditures 15-22'!K352</f>
        <v>0</v>
      </c>
      <c r="L13" s="325"/>
    </row>
    <row r="14" spans="1:13" ht="15.75" customHeight="1" x14ac:dyDescent="0.2">
      <c r="A14" s="1314" t="s">
        <v>446</v>
      </c>
      <c r="B14" s="1316">
        <v>3000</v>
      </c>
      <c r="C14" s="1607">
        <f>'Expenditures 15-22'!K75</f>
        <v>66273</v>
      </c>
      <c r="D14" s="1607">
        <f>'Expenditures 15-22'!K130</f>
        <v>0</v>
      </c>
      <c r="E14" s="1616" t="s">
        <v>1159</v>
      </c>
      <c r="F14" s="1607">
        <f>'Expenditures 15-22'!K185</f>
        <v>0</v>
      </c>
      <c r="G14" s="1607">
        <f>'Expenditures 15-22'!K280</f>
        <v>287</v>
      </c>
      <c r="H14" s="1612"/>
      <c r="I14" s="1575" t="s">
        <v>1159</v>
      </c>
      <c r="J14" s="1575" t="s">
        <v>1159</v>
      </c>
      <c r="K14" s="1612" t="s">
        <v>1159</v>
      </c>
      <c r="L14" s="325"/>
    </row>
    <row r="15" spans="1:13" ht="15.75" customHeight="1" x14ac:dyDescent="0.2">
      <c r="A15" s="1314" t="s">
        <v>107</v>
      </c>
      <c r="B15" s="1316">
        <v>4000</v>
      </c>
      <c r="C15" s="1607">
        <f>'Expenditures 15-22'!K102</f>
        <v>454886</v>
      </c>
      <c r="D15" s="1607">
        <f>'Expenditures 15-22'!K139</f>
        <v>104716</v>
      </c>
      <c r="E15" s="1607">
        <f>'Expenditures 15-22'!K160</f>
        <v>0</v>
      </c>
      <c r="F15" s="1607">
        <f>'Expenditures 15-22'!K196</f>
        <v>0</v>
      </c>
      <c r="G15" s="1607">
        <f>'Expenditures 15-22'!K285</f>
        <v>67935</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2504668</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29540949</v>
      </c>
      <c r="D17" s="1594">
        <f t="shared" si="2"/>
        <v>2929232</v>
      </c>
      <c r="E17" s="1594">
        <f t="shared" si="2"/>
        <v>2504668</v>
      </c>
      <c r="F17" s="1594">
        <f t="shared" si="2"/>
        <v>2204111</v>
      </c>
      <c r="G17" s="1594">
        <f t="shared" si="2"/>
        <v>984398</v>
      </c>
      <c r="H17" s="1594">
        <f t="shared" si="2"/>
        <v>5950400</v>
      </c>
      <c r="I17" s="1575"/>
      <c r="J17" s="1594">
        <f>SUM(J12:J16)</f>
        <v>0</v>
      </c>
      <c r="K17" s="1594">
        <f>SUM(K12:K16)</f>
        <v>0</v>
      </c>
      <c r="L17" s="325"/>
    </row>
    <row r="18" spans="1:12" ht="15" customHeight="1" thickTop="1" x14ac:dyDescent="0.2">
      <c r="A18" s="1430" t="s">
        <v>1635</v>
      </c>
      <c r="B18" s="1431">
        <v>4180</v>
      </c>
      <c r="C18" s="1606">
        <f t="shared" ref="C18:H18" si="3">C9</f>
        <v>15543601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45084550</v>
      </c>
      <c r="D19" s="1594">
        <f t="shared" si="4"/>
        <v>2929232</v>
      </c>
      <c r="E19" s="1594">
        <f t="shared" si="4"/>
        <v>2504668</v>
      </c>
      <c r="F19" s="1594">
        <f t="shared" si="4"/>
        <v>2204111</v>
      </c>
      <c r="G19" s="1594">
        <f t="shared" si="4"/>
        <v>984398</v>
      </c>
      <c r="H19" s="1594">
        <f t="shared" si="4"/>
        <v>5950400</v>
      </c>
      <c r="I19" s="1575"/>
      <c r="J19" s="1594">
        <f>SUM(J17:J18)</f>
        <v>0</v>
      </c>
      <c r="K19" s="1594">
        <f>SUM(K17:K18)</f>
        <v>0</v>
      </c>
      <c r="L19" s="325"/>
    </row>
    <row r="20" spans="1:12" ht="16.5" thickTop="1" thickBot="1" x14ac:dyDescent="0.25">
      <c r="A20" s="2232" t="s">
        <v>1636</v>
      </c>
      <c r="B20" s="2233"/>
      <c r="C20" s="1622">
        <f>C8-C17</f>
        <v>-2849698</v>
      </c>
      <c r="D20" s="1622">
        <f t="shared" ref="D20:K20" si="5">D8-D17</f>
        <v>1078152</v>
      </c>
      <c r="E20" s="1622">
        <f t="shared" si="5"/>
        <v>-1109627</v>
      </c>
      <c r="F20" s="1622">
        <f t="shared" si="5"/>
        <v>79273</v>
      </c>
      <c r="G20" s="1622">
        <f t="shared" si="5"/>
        <v>-42306</v>
      </c>
      <c r="H20" s="1622">
        <f t="shared" si="5"/>
        <v>-5924693</v>
      </c>
      <c r="I20" s="1622">
        <f t="shared" si="5"/>
        <v>203022</v>
      </c>
      <c r="J20" s="1622">
        <f t="shared" si="5"/>
        <v>0</v>
      </c>
      <c r="K20" s="1622">
        <f t="shared" si="5"/>
        <v>0</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v>102000</v>
      </c>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871493</v>
      </c>
      <c r="F37" s="1580"/>
      <c r="G37" s="1580"/>
      <c r="H37" s="1580"/>
      <c r="I37" s="1582"/>
      <c r="J37" s="1580"/>
      <c r="K37" s="1580"/>
      <c r="L37" s="453"/>
    </row>
    <row r="38" spans="1:12" s="433" customFormat="1" x14ac:dyDescent="0.2">
      <c r="A38" s="1260" t="s">
        <v>439</v>
      </c>
      <c r="B38" s="454">
        <v>7500</v>
      </c>
      <c r="C38" s="1582"/>
      <c r="D38" s="1582"/>
      <c r="E38" s="1607">
        <f>SUM(C58:D61,H58:H61)</f>
        <v>262850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102000</v>
      </c>
      <c r="E44" s="1624">
        <f t="shared" si="6"/>
        <v>1134343</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102000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v>211493</v>
      </c>
      <c r="D56" s="1627">
        <v>660000</v>
      </c>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v>21155</v>
      </c>
      <c r="D60" s="1627">
        <v>241695</v>
      </c>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232648</v>
      </c>
      <c r="D76" s="1624">
        <f t="shared" si="7"/>
        <v>901695</v>
      </c>
      <c r="E76" s="1624">
        <f t="shared" si="7"/>
        <v>0</v>
      </c>
      <c r="F76" s="1624">
        <f t="shared" si="7"/>
        <v>0</v>
      </c>
      <c r="G76" s="1624">
        <f t="shared" si="7"/>
        <v>0</v>
      </c>
      <c r="H76" s="1624">
        <f t="shared" si="7"/>
        <v>0</v>
      </c>
      <c r="I76" s="1624">
        <f t="shared" si="7"/>
        <v>102000</v>
      </c>
      <c r="J76" s="1624">
        <f t="shared" si="7"/>
        <v>0</v>
      </c>
      <c r="K76" s="1624">
        <f t="shared" si="7"/>
        <v>0</v>
      </c>
      <c r="L76" s="453"/>
    </row>
    <row r="77" spans="1:12" ht="14.25" thickTop="1" thickBot="1" x14ac:dyDescent="0.25">
      <c r="A77" s="2224" t="s">
        <v>1167</v>
      </c>
      <c r="B77" s="2225"/>
      <c r="C77" s="1624">
        <f t="shared" ref="C77:K77" si="8">C44-C76</f>
        <v>-232648</v>
      </c>
      <c r="D77" s="1624">
        <f t="shared" si="8"/>
        <v>-799695</v>
      </c>
      <c r="E77" s="1624">
        <f t="shared" si="8"/>
        <v>1134343</v>
      </c>
      <c r="F77" s="1624">
        <f t="shared" si="8"/>
        <v>0</v>
      </c>
      <c r="G77" s="1624">
        <f t="shared" si="8"/>
        <v>0</v>
      </c>
      <c r="H77" s="1624">
        <f t="shared" si="8"/>
        <v>0</v>
      </c>
      <c r="I77" s="1624">
        <f t="shared" si="8"/>
        <v>-102000</v>
      </c>
      <c r="J77" s="1624">
        <f t="shared" si="8"/>
        <v>0</v>
      </c>
      <c r="K77" s="1624">
        <f t="shared" si="8"/>
        <v>0</v>
      </c>
      <c r="L77" s="325"/>
    </row>
    <row r="78" spans="1:12" ht="21.75" customHeight="1" thickTop="1" thickBot="1" x14ac:dyDescent="0.25">
      <c r="A78" s="2228" t="s">
        <v>593</v>
      </c>
      <c r="B78" s="2229"/>
      <c r="C78" s="1629">
        <f t="shared" ref="C78:K78" si="9">C20+C77</f>
        <v>-3082346</v>
      </c>
      <c r="D78" s="1629">
        <f t="shared" si="9"/>
        <v>278457</v>
      </c>
      <c r="E78" s="1629">
        <f t="shared" si="9"/>
        <v>24716</v>
      </c>
      <c r="F78" s="1629">
        <f t="shared" si="9"/>
        <v>79273</v>
      </c>
      <c r="G78" s="1629">
        <f t="shared" si="9"/>
        <v>-42306</v>
      </c>
      <c r="H78" s="1629">
        <f t="shared" si="9"/>
        <v>-5924693</v>
      </c>
      <c r="I78" s="1629">
        <f t="shared" si="9"/>
        <v>101022</v>
      </c>
      <c r="J78" s="1629">
        <f t="shared" si="9"/>
        <v>0</v>
      </c>
      <c r="K78" s="1629">
        <f t="shared" si="9"/>
        <v>0</v>
      </c>
      <c r="L78" s="457"/>
    </row>
    <row r="79" spans="1:12" ht="13.5" thickTop="1" x14ac:dyDescent="0.2">
      <c r="A79" s="1844" t="str">
        <f>"Fund Balances - July 1, "&amp;'AFR20'!E2-1</f>
        <v>Fund Balances - July 1, 2019</v>
      </c>
      <c r="B79" s="458"/>
      <c r="C79" s="1583">
        <v>11032951</v>
      </c>
      <c r="D79" s="1630">
        <v>1403807</v>
      </c>
      <c r="E79" s="1630">
        <v>1198</v>
      </c>
      <c r="F79" s="1630">
        <v>262956</v>
      </c>
      <c r="G79" s="1630">
        <v>287169</v>
      </c>
      <c r="H79" s="1630">
        <v>6005493</v>
      </c>
      <c r="I79" s="1630">
        <v>5630496</v>
      </c>
      <c r="J79" s="1630"/>
      <c r="K79" s="1630"/>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7950605</v>
      </c>
      <c r="D81" s="1594">
        <f>SUM(D78:D80)</f>
        <v>1682264</v>
      </c>
      <c r="E81" s="1594">
        <f t="shared" ref="E81:K81" si="10">SUM(E78:E80)</f>
        <v>25914</v>
      </c>
      <c r="F81" s="1594">
        <f t="shared" si="10"/>
        <v>342229</v>
      </c>
      <c r="G81" s="1594">
        <f t="shared" si="10"/>
        <v>244863</v>
      </c>
      <c r="H81" s="1594">
        <f t="shared" si="10"/>
        <v>80800</v>
      </c>
      <c r="I81" s="1594">
        <f t="shared" si="10"/>
        <v>5731518</v>
      </c>
      <c r="J81" s="1594">
        <f t="shared" si="10"/>
        <v>0</v>
      </c>
      <c r="K81" s="1594">
        <f t="shared" si="10"/>
        <v>0</v>
      </c>
      <c r="L81" s="325"/>
    </row>
    <row r="82" spans="1:12" ht="0.75" customHeight="1" thickTop="1" thickBot="1" x14ac:dyDescent="0.25">
      <c r="A82" s="459" t="s">
        <v>340</v>
      </c>
      <c r="B82" s="460"/>
      <c r="C82" s="461">
        <f>(C81-C79)</f>
        <v>-3082346</v>
      </c>
      <c r="D82" s="461">
        <f t="shared" ref="D82:K82" si="11">(D81-D79)</f>
        <v>278457</v>
      </c>
      <c r="E82" s="461">
        <f t="shared" si="11"/>
        <v>24716</v>
      </c>
      <c r="F82" s="461">
        <f t="shared" si="11"/>
        <v>79273</v>
      </c>
      <c r="G82" s="461">
        <f t="shared" si="11"/>
        <v>-42306</v>
      </c>
      <c r="H82" s="461">
        <f t="shared" si="11"/>
        <v>-5924693</v>
      </c>
      <c r="I82" s="461">
        <f t="shared" si="11"/>
        <v>101022</v>
      </c>
      <c r="J82" s="461">
        <f t="shared" si="11"/>
        <v>0</v>
      </c>
      <c r="K82" s="461">
        <f t="shared" si="11"/>
        <v>0</v>
      </c>
    </row>
    <row r="83" spans="1:12" ht="14.25" hidden="1" thickTop="1" thickBot="1" x14ac:dyDescent="0.25">
      <c r="A83" s="462" t="s">
        <v>341</v>
      </c>
      <c r="B83" s="428"/>
      <c r="C83" s="463">
        <f>C82/C81</f>
        <v>-0.38768697476481351</v>
      </c>
      <c r="D83" s="463">
        <f t="shared" ref="D83:K83" si="12">D82/D81</f>
        <v>0.16552514944146698</v>
      </c>
      <c r="E83" s="463">
        <f t="shared" si="12"/>
        <v>0.95377016284633787</v>
      </c>
      <c r="F83" s="463">
        <f t="shared" si="12"/>
        <v>0.23163729549512169</v>
      </c>
      <c r="G83" s="463">
        <f t="shared" si="12"/>
        <v>-0.17277416351184133</v>
      </c>
      <c r="H83" s="463">
        <f t="shared" si="12"/>
        <v>-73.325408415841579</v>
      </c>
      <c r="I83" s="463">
        <f t="shared" si="12"/>
        <v>1.7625697066640984E-2</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79" activePane="bottomLeft" state="frozen"/>
      <selection pane="bottomLeft" activeCell="C96" sqref="C9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23196864</v>
      </c>
      <c r="D5" s="1586">
        <v>3356810</v>
      </c>
      <c r="E5" s="1573">
        <v>803713</v>
      </c>
      <c r="F5" s="1631">
        <v>1094871</v>
      </c>
      <c r="G5" s="1573">
        <v>251661</v>
      </c>
      <c r="H5" s="1573"/>
      <c r="I5" s="1573">
        <v>94003</v>
      </c>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v>60613</v>
      </c>
      <c r="H7" s="1574"/>
      <c r="I7" s="1575"/>
      <c r="J7" s="1575"/>
      <c r="K7" s="1575"/>
    </row>
    <row r="8" spans="1:12" x14ac:dyDescent="0.2">
      <c r="A8" s="427" t="s">
        <v>410</v>
      </c>
      <c r="B8" s="429">
        <v>1150</v>
      </c>
      <c r="C8" s="1580"/>
      <c r="D8" s="1580"/>
      <c r="E8" s="1582"/>
      <c r="F8" s="1582"/>
      <c r="G8" s="1586">
        <v>251848</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23196864</v>
      </c>
      <c r="D12" s="1633">
        <f t="shared" si="0"/>
        <v>3356810</v>
      </c>
      <c r="E12" s="1633">
        <f t="shared" si="0"/>
        <v>803713</v>
      </c>
      <c r="F12" s="1633">
        <f t="shared" si="0"/>
        <v>1094871</v>
      </c>
      <c r="G12" s="1633">
        <f t="shared" si="0"/>
        <v>564122</v>
      </c>
      <c r="H12" s="1633">
        <f t="shared" si="0"/>
        <v>0</v>
      </c>
      <c r="I12" s="1633">
        <f t="shared" si="0"/>
        <v>94003</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135354</v>
      </c>
      <c r="D16" s="1573">
        <v>36075</v>
      </c>
      <c r="E16" s="1573"/>
      <c r="F16" s="1573"/>
      <c r="G16" s="1573">
        <v>372210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135354</v>
      </c>
      <c r="D18" s="1635">
        <f t="shared" ref="D18:K18" si="1">SUM(D14:D17)</f>
        <v>36075</v>
      </c>
      <c r="E18" s="1635">
        <f t="shared" si="1"/>
        <v>0</v>
      </c>
      <c r="F18" s="1635">
        <f t="shared" si="1"/>
        <v>0</v>
      </c>
      <c r="G18" s="1635">
        <f t="shared" si="1"/>
        <v>372210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2550</v>
      </c>
      <c r="G42" s="1575"/>
      <c r="H42" s="1575"/>
      <c r="I42" s="1575"/>
      <c r="J42" s="1575"/>
      <c r="K42" s="1575"/>
    </row>
    <row r="43" spans="1:11" ht="12.75" customHeight="1" x14ac:dyDescent="0.2">
      <c r="A43" s="427" t="s">
        <v>832</v>
      </c>
      <c r="B43" s="429">
        <v>1412</v>
      </c>
      <c r="C43" s="1575"/>
      <c r="D43" s="1575"/>
      <c r="E43" s="1575"/>
      <c r="F43" s="1573">
        <v>461423</v>
      </c>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463973</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237471</v>
      </c>
      <c r="D65" s="1573">
        <v>18182</v>
      </c>
      <c r="E65" s="1573">
        <v>1328</v>
      </c>
      <c r="F65" s="1574">
        <v>4262</v>
      </c>
      <c r="G65" s="1573">
        <v>5760</v>
      </c>
      <c r="H65" s="1573">
        <v>25707</v>
      </c>
      <c r="I65" s="1573">
        <v>109019</v>
      </c>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237471</v>
      </c>
      <c r="D67" s="1594">
        <f t="shared" ref="D67:K67" si="2">SUM(D65:D66)</f>
        <v>18182</v>
      </c>
      <c r="E67" s="1594">
        <f t="shared" si="2"/>
        <v>1328</v>
      </c>
      <c r="F67" s="1594">
        <f t="shared" si="2"/>
        <v>4262</v>
      </c>
      <c r="G67" s="1594">
        <f t="shared" si="2"/>
        <v>5760</v>
      </c>
      <c r="H67" s="1594">
        <f t="shared" si="2"/>
        <v>25707</v>
      </c>
      <c r="I67" s="1594">
        <f t="shared" si="2"/>
        <v>109019</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289548</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289548</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255636</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255636</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55623</v>
      </c>
      <c r="E95" s="1617"/>
      <c r="F95" s="1617"/>
      <c r="G95" s="1617"/>
      <c r="H95" s="1617"/>
      <c r="I95" s="1617"/>
      <c r="J95" s="1617"/>
      <c r="K95" s="1617"/>
    </row>
    <row r="96" spans="1:11" ht="12.75" customHeight="1" x14ac:dyDescent="0.2">
      <c r="A96" s="427" t="s">
        <v>388</v>
      </c>
      <c r="B96" s="429">
        <v>1920</v>
      </c>
      <c r="C96" s="1632">
        <v>4701</v>
      </c>
      <c r="D96" s="1632"/>
      <c r="E96" s="1584"/>
      <c r="F96" s="1583"/>
      <c r="G96" s="1583"/>
      <c r="H96" s="1583"/>
      <c r="I96" s="1583"/>
      <c r="J96" s="1583"/>
      <c r="K96" s="1583"/>
    </row>
    <row r="97" spans="1:12" ht="12.75" customHeight="1" x14ac:dyDescent="0.2">
      <c r="A97" s="1265" t="s">
        <v>242</v>
      </c>
      <c r="B97" s="477">
        <v>1930</v>
      </c>
      <c r="C97" s="1598"/>
      <c r="D97" s="1574">
        <v>70973</v>
      </c>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v>100000</v>
      </c>
      <c r="D100" s="1598">
        <v>407657</v>
      </c>
      <c r="E100" s="1598">
        <v>590000</v>
      </c>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121555</v>
      </c>
      <c r="D107" s="1573">
        <v>12064</v>
      </c>
      <c r="E107" s="1573"/>
      <c r="F107" s="1573"/>
      <c r="G107" s="1573"/>
      <c r="H107" s="1573"/>
      <c r="I107" s="1573"/>
      <c r="J107" s="1574"/>
      <c r="K107" s="1573"/>
    </row>
    <row r="108" spans="1:12" ht="12.75" customHeight="1" thickBot="1" x14ac:dyDescent="0.25">
      <c r="A108" s="1406" t="s">
        <v>484</v>
      </c>
      <c r="B108" s="1408"/>
      <c r="C108" s="1633">
        <f>SUM(C95:C107)</f>
        <v>226256</v>
      </c>
      <c r="D108" s="1633">
        <f t="shared" ref="D108:K108" si="3">SUM(D95:D107)</f>
        <v>546317</v>
      </c>
      <c r="E108" s="1633">
        <f t="shared" si="3"/>
        <v>590000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24341129</v>
      </c>
      <c r="D109" s="1641">
        <f t="shared" si="4"/>
        <v>3957384</v>
      </c>
      <c r="E109" s="1641">
        <f t="shared" si="4"/>
        <v>1395041</v>
      </c>
      <c r="F109" s="1641">
        <f t="shared" si="4"/>
        <v>1563106</v>
      </c>
      <c r="G109" s="1641">
        <f t="shared" si="4"/>
        <v>942092</v>
      </c>
      <c r="H109" s="1641">
        <f t="shared" si="4"/>
        <v>25707</v>
      </c>
      <c r="I109" s="1641">
        <f t="shared" si="4"/>
        <v>203022</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1794378</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1794378</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120910</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120910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297120</v>
      </c>
      <c r="G152" s="1574"/>
      <c r="H152" s="1575"/>
      <c r="I152" s="1575"/>
      <c r="J152" s="1575"/>
      <c r="K152" s="1575"/>
    </row>
    <row r="153" spans="1:11" ht="12.75" customHeight="1" x14ac:dyDescent="0.2">
      <c r="A153" s="427" t="s">
        <v>1048</v>
      </c>
      <c r="B153" s="478">
        <v>3510</v>
      </c>
      <c r="C153" s="1632"/>
      <c r="D153" s="1573"/>
      <c r="E153" s="1640"/>
      <c r="F153" s="1573">
        <v>423158</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720278</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v>50000</v>
      </c>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120910</v>
      </c>
      <c r="D169" s="1658">
        <f t="shared" si="6"/>
        <v>50000</v>
      </c>
      <c r="E169" s="1658">
        <f t="shared" si="6"/>
        <v>0</v>
      </c>
      <c r="F169" s="1658">
        <f t="shared" si="6"/>
        <v>720278</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1915288</v>
      </c>
      <c r="D170" s="1641">
        <f t="shared" si="7"/>
        <v>50000</v>
      </c>
      <c r="E170" s="1641">
        <f t="shared" si="7"/>
        <v>0</v>
      </c>
      <c r="F170" s="1641">
        <f t="shared" si="7"/>
        <v>720278</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78460</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78460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9246</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9246</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235443</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10388</v>
      </c>
      <c r="D213" s="1573"/>
      <c r="E213" s="1575"/>
      <c r="F213" s="1573"/>
      <c r="G213" s="1573"/>
      <c r="H213" s="1575"/>
      <c r="I213" s="1575"/>
      <c r="J213" s="1575"/>
      <c r="K213" s="1575"/>
    </row>
    <row r="214" spans="1:11" ht="12.75" customHeight="1" x14ac:dyDescent="0.2">
      <c r="A214" s="427" t="s">
        <v>1045</v>
      </c>
      <c r="B214" s="429">
        <v>4625</v>
      </c>
      <c r="C214" s="1632">
        <v>9016</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254847</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29036</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63245</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434834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434834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26691251</v>
      </c>
      <c r="D268" s="1641">
        <f t="shared" si="12"/>
        <v>4007384</v>
      </c>
      <c r="E268" s="1641">
        <f t="shared" si="12"/>
        <v>1395041</v>
      </c>
      <c r="F268" s="1641">
        <f t="shared" si="12"/>
        <v>2283384</v>
      </c>
      <c r="G268" s="1641">
        <f t="shared" si="12"/>
        <v>942092</v>
      </c>
      <c r="H268" s="1641">
        <f t="shared" si="12"/>
        <v>25707</v>
      </c>
      <c r="I268" s="1641">
        <f t="shared" si="12"/>
        <v>203022</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43" activePane="bottomLeft" state="frozen"/>
      <selection pane="bottomLeft" activeCell="H54" sqref="H5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12286219</v>
      </c>
      <c r="D5" s="1573">
        <v>1991988</v>
      </c>
      <c r="E5" s="1573">
        <v>38613</v>
      </c>
      <c r="F5" s="1573">
        <v>210920</v>
      </c>
      <c r="G5" s="1573">
        <v>47519</v>
      </c>
      <c r="H5" s="1573">
        <v>186813</v>
      </c>
      <c r="I5" s="1574"/>
      <c r="J5" s="1574"/>
      <c r="K5" s="1672">
        <f>SUM(C5:J5)</f>
        <v>14762072</v>
      </c>
      <c r="L5" s="1573">
        <v>14805000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2010417</v>
      </c>
      <c r="D8" s="1573">
        <v>537707</v>
      </c>
      <c r="E8" s="1573">
        <v>43913</v>
      </c>
      <c r="F8" s="1573">
        <v>33871</v>
      </c>
      <c r="G8" s="1573">
        <v>869</v>
      </c>
      <c r="H8" s="1573"/>
      <c r="I8" s="1574"/>
      <c r="J8" s="1574"/>
      <c r="K8" s="1672">
        <f t="shared" si="0"/>
        <v>2626777</v>
      </c>
      <c r="L8" s="1573">
        <v>2592100</v>
      </c>
    </row>
    <row r="9" spans="1:14" x14ac:dyDescent="0.2">
      <c r="A9" s="1274" t="s">
        <v>716</v>
      </c>
      <c r="B9" s="503" t="s">
        <v>962</v>
      </c>
      <c r="C9" s="1574">
        <v>112899</v>
      </c>
      <c r="D9" s="1574">
        <v>21343</v>
      </c>
      <c r="E9" s="1574"/>
      <c r="F9" s="1574">
        <v>8134</v>
      </c>
      <c r="G9" s="1574"/>
      <c r="H9" s="1574"/>
      <c r="I9" s="1574"/>
      <c r="J9" s="1574"/>
      <c r="K9" s="1672">
        <f t="shared" si="0"/>
        <v>142376</v>
      </c>
      <c r="L9" s="1573">
        <v>146000</v>
      </c>
    </row>
    <row r="10" spans="1:14" x14ac:dyDescent="0.2">
      <c r="A10" s="1274" t="s">
        <v>717</v>
      </c>
      <c r="B10" s="503">
        <v>1250</v>
      </c>
      <c r="C10" s="1573">
        <v>81512</v>
      </c>
      <c r="D10" s="1573">
        <v>14865</v>
      </c>
      <c r="E10" s="1573">
        <v>2000</v>
      </c>
      <c r="F10" s="1573">
        <v>2898</v>
      </c>
      <c r="G10" s="1573"/>
      <c r="H10" s="1573"/>
      <c r="I10" s="1574"/>
      <c r="J10" s="1574"/>
      <c r="K10" s="1672">
        <f t="shared" si="0"/>
        <v>101275</v>
      </c>
      <c r="L10" s="1573">
        <v>112700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469300</v>
      </c>
      <c r="D14" s="1573">
        <v>6464</v>
      </c>
      <c r="E14" s="1573">
        <v>8216</v>
      </c>
      <c r="F14" s="1573">
        <v>8352</v>
      </c>
      <c r="G14" s="1573">
        <v>4901</v>
      </c>
      <c r="H14" s="1573"/>
      <c r="I14" s="1574"/>
      <c r="J14" s="1574"/>
      <c r="K14" s="1672">
        <f t="shared" si="0"/>
        <v>497233</v>
      </c>
      <c r="L14" s="1573">
        <v>509700</v>
      </c>
    </row>
    <row r="15" spans="1:14" x14ac:dyDescent="0.2">
      <c r="A15" s="1274" t="s">
        <v>958</v>
      </c>
      <c r="B15" s="503">
        <v>1600</v>
      </c>
      <c r="C15" s="1573">
        <v>151530</v>
      </c>
      <c r="D15" s="1573">
        <v>1971</v>
      </c>
      <c r="E15" s="1573">
        <v>1381</v>
      </c>
      <c r="F15" s="1573">
        <v>13163</v>
      </c>
      <c r="G15" s="1573"/>
      <c r="H15" s="1573"/>
      <c r="I15" s="1574"/>
      <c r="J15" s="1574"/>
      <c r="K15" s="1672">
        <f t="shared" si="0"/>
        <v>168045</v>
      </c>
      <c r="L15" s="1573">
        <v>309200</v>
      </c>
    </row>
    <row r="16" spans="1:14" x14ac:dyDescent="0.2">
      <c r="A16" s="1274" t="s">
        <v>980</v>
      </c>
      <c r="B16" s="503" t="s">
        <v>421</v>
      </c>
      <c r="C16" s="1573">
        <v>422691</v>
      </c>
      <c r="D16" s="1573">
        <v>74763</v>
      </c>
      <c r="E16" s="1573">
        <v>3198</v>
      </c>
      <c r="F16" s="1573">
        <v>1838</v>
      </c>
      <c r="G16" s="1573"/>
      <c r="H16" s="1573"/>
      <c r="I16" s="1574"/>
      <c r="J16" s="1574"/>
      <c r="K16" s="1672">
        <f t="shared" si="0"/>
        <v>502490</v>
      </c>
      <c r="L16" s="1573">
        <v>538200</v>
      </c>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v>197872</v>
      </c>
      <c r="D18" s="1573">
        <v>22300</v>
      </c>
      <c r="E18" s="1573">
        <v>4291</v>
      </c>
      <c r="F18" s="1573">
        <v>455</v>
      </c>
      <c r="G18" s="1573"/>
      <c r="H18" s="1573"/>
      <c r="I18" s="1574"/>
      <c r="J18" s="1574"/>
      <c r="K18" s="1672">
        <f t="shared" si="0"/>
        <v>224918</v>
      </c>
      <c r="L18" s="1573">
        <v>228100</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279041</v>
      </c>
      <c r="I22" s="1673"/>
      <c r="J22" s="1582"/>
      <c r="K22" s="1672">
        <f t="shared" si="0"/>
        <v>279041</v>
      </c>
      <c r="L22" s="1577">
        <v>350000</v>
      </c>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15732440</v>
      </c>
      <c r="D33" s="1674">
        <f t="shared" ref="D33:L33" si="1">SUM(D5:D32)</f>
        <v>2671401</v>
      </c>
      <c r="E33" s="1674">
        <f t="shared" si="1"/>
        <v>101612</v>
      </c>
      <c r="F33" s="1674">
        <f t="shared" si="1"/>
        <v>279631</v>
      </c>
      <c r="G33" s="1674">
        <f t="shared" si="1"/>
        <v>53289</v>
      </c>
      <c r="H33" s="1674">
        <f t="shared" si="1"/>
        <v>465854</v>
      </c>
      <c r="I33" s="1674">
        <f t="shared" si="1"/>
        <v>0</v>
      </c>
      <c r="J33" s="1674">
        <f t="shared" si="1"/>
        <v>0</v>
      </c>
      <c r="K33" s="1674">
        <f t="shared" si="1"/>
        <v>19304227</v>
      </c>
      <c r="L33" s="1674">
        <f t="shared" si="1"/>
        <v>19591000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477181</v>
      </c>
      <c r="D36" s="1586">
        <v>79984</v>
      </c>
      <c r="E36" s="1586">
        <v>335</v>
      </c>
      <c r="F36" s="1586">
        <v>1535</v>
      </c>
      <c r="G36" s="1586"/>
      <c r="H36" s="1586"/>
      <c r="I36" s="1574"/>
      <c r="J36" s="1574"/>
      <c r="K36" s="1672">
        <f t="shared" ref="K36:K41" si="2">SUM(C36:J36)</f>
        <v>559035</v>
      </c>
      <c r="L36" s="1573">
        <v>561800</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424444</v>
      </c>
      <c r="D38" s="1573">
        <v>66889</v>
      </c>
      <c r="E38" s="1573">
        <v>51276</v>
      </c>
      <c r="F38" s="1573">
        <v>9420</v>
      </c>
      <c r="G38" s="1573"/>
      <c r="H38" s="1573"/>
      <c r="I38" s="1574"/>
      <c r="J38" s="1574"/>
      <c r="K38" s="1672">
        <f t="shared" si="2"/>
        <v>552029</v>
      </c>
      <c r="L38" s="1573">
        <v>514700</v>
      </c>
    </row>
    <row r="39" spans="1:14" x14ac:dyDescent="0.2">
      <c r="A39" s="1274" t="s">
        <v>197</v>
      </c>
      <c r="B39" s="503">
        <v>2140</v>
      </c>
      <c r="C39" s="1573">
        <v>357965</v>
      </c>
      <c r="D39" s="1573">
        <v>72804</v>
      </c>
      <c r="E39" s="1573">
        <v>5017</v>
      </c>
      <c r="F39" s="1573">
        <v>2686</v>
      </c>
      <c r="G39" s="1573"/>
      <c r="H39" s="1573"/>
      <c r="I39" s="1574"/>
      <c r="J39" s="1574"/>
      <c r="K39" s="1672">
        <f t="shared" si="2"/>
        <v>438472</v>
      </c>
      <c r="L39" s="1573">
        <v>412600</v>
      </c>
    </row>
    <row r="40" spans="1:14" x14ac:dyDescent="0.2">
      <c r="A40" s="1274" t="s">
        <v>198</v>
      </c>
      <c r="B40" s="503">
        <v>2150</v>
      </c>
      <c r="C40" s="1573">
        <v>893206</v>
      </c>
      <c r="D40" s="1573">
        <v>128190</v>
      </c>
      <c r="E40" s="1573">
        <v>4147</v>
      </c>
      <c r="F40" s="1573">
        <v>4911</v>
      </c>
      <c r="G40" s="1573"/>
      <c r="H40" s="1573"/>
      <c r="I40" s="1574"/>
      <c r="J40" s="1574"/>
      <c r="K40" s="1672">
        <f t="shared" si="2"/>
        <v>1030454</v>
      </c>
      <c r="L40" s="1573">
        <v>1033700</v>
      </c>
    </row>
    <row r="41" spans="1:14" x14ac:dyDescent="0.2">
      <c r="A41" s="1274" t="s">
        <v>1650</v>
      </c>
      <c r="B41" s="503">
        <v>2190</v>
      </c>
      <c r="C41" s="1573"/>
      <c r="D41" s="1573"/>
      <c r="E41" s="1573">
        <v>55399</v>
      </c>
      <c r="F41" s="1573"/>
      <c r="G41" s="1573"/>
      <c r="H41" s="1573"/>
      <c r="I41" s="1574"/>
      <c r="J41" s="1574"/>
      <c r="K41" s="1672">
        <f t="shared" si="2"/>
        <v>55399</v>
      </c>
      <c r="L41" s="1573">
        <v>55400</v>
      </c>
    </row>
    <row r="42" spans="1:14" ht="12.75" customHeight="1" thickBot="1" x14ac:dyDescent="0.25">
      <c r="A42" s="1380" t="s">
        <v>556</v>
      </c>
      <c r="B42" s="1381" t="s">
        <v>711</v>
      </c>
      <c r="C42" s="1674">
        <f>SUM(C36:C41)</f>
        <v>2152796</v>
      </c>
      <c r="D42" s="1674">
        <f t="shared" ref="D42:L42" si="3">SUM(D36:D41)</f>
        <v>347867</v>
      </c>
      <c r="E42" s="1674">
        <f t="shared" si="3"/>
        <v>116174</v>
      </c>
      <c r="F42" s="1674">
        <f t="shared" si="3"/>
        <v>18552</v>
      </c>
      <c r="G42" s="1674">
        <f t="shared" si="3"/>
        <v>0</v>
      </c>
      <c r="H42" s="1674">
        <f t="shared" si="3"/>
        <v>0</v>
      </c>
      <c r="I42" s="1674">
        <f t="shared" si="3"/>
        <v>0</v>
      </c>
      <c r="J42" s="1674">
        <f t="shared" si="3"/>
        <v>0</v>
      </c>
      <c r="K42" s="1674">
        <f t="shared" si="3"/>
        <v>2635389</v>
      </c>
      <c r="L42" s="1674">
        <f t="shared" si="3"/>
        <v>2578200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251529</v>
      </c>
      <c r="D44" s="1586">
        <v>44145</v>
      </c>
      <c r="E44" s="1586">
        <v>136257</v>
      </c>
      <c r="F44" s="1586">
        <v>272018</v>
      </c>
      <c r="G44" s="1586"/>
      <c r="H44" s="1586"/>
      <c r="I44" s="1574"/>
      <c r="J44" s="1574"/>
      <c r="K44" s="1678">
        <f>SUM(C44:J44)</f>
        <v>703949</v>
      </c>
      <c r="L44" s="1586">
        <v>759200</v>
      </c>
    </row>
    <row r="45" spans="1:14" x14ac:dyDescent="0.2">
      <c r="A45" s="1274" t="s">
        <v>810</v>
      </c>
      <c r="B45" s="503">
        <v>2220</v>
      </c>
      <c r="C45" s="1573">
        <v>625798</v>
      </c>
      <c r="D45" s="1573">
        <v>129148</v>
      </c>
      <c r="E45" s="1573">
        <v>7747</v>
      </c>
      <c r="F45" s="1573">
        <v>42602</v>
      </c>
      <c r="G45" s="1573">
        <v>1494</v>
      </c>
      <c r="H45" s="1573"/>
      <c r="I45" s="1574"/>
      <c r="J45" s="1574"/>
      <c r="K45" s="1678">
        <f>SUM(C45:J45)</f>
        <v>806789</v>
      </c>
      <c r="L45" s="1573">
        <v>807500</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877327</v>
      </c>
      <c r="D47" s="1674">
        <f t="shared" ref="D47:K47" si="4">SUM(D44:D46)</f>
        <v>173293</v>
      </c>
      <c r="E47" s="1674">
        <f t="shared" si="4"/>
        <v>144004</v>
      </c>
      <c r="F47" s="1674">
        <f t="shared" si="4"/>
        <v>314620</v>
      </c>
      <c r="G47" s="1674">
        <f t="shared" si="4"/>
        <v>1494</v>
      </c>
      <c r="H47" s="1674">
        <f t="shared" si="4"/>
        <v>0</v>
      </c>
      <c r="I47" s="1674">
        <f t="shared" si="4"/>
        <v>0</v>
      </c>
      <c r="J47" s="1674">
        <f t="shared" si="4"/>
        <v>0</v>
      </c>
      <c r="K47" s="1674">
        <f t="shared" si="4"/>
        <v>1510738</v>
      </c>
      <c r="L47" s="1674">
        <f>SUM(L44:L46)</f>
        <v>1566700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292226</v>
      </c>
      <c r="F49" s="1586">
        <v>8720</v>
      </c>
      <c r="G49" s="1586"/>
      <c r="H49" s="1586"/>
      <c r="I49" s="1574"/>
      <c r="J49" s="1574"/>
      <c r="K49" s="1678">
        <f>SUM(C49:J49)</f>
        <v>300946</v>
      </c>
      <c r="L49" s="1586">
        <v>313500</v>
      </c>
    </row>
    <row r="50" spans="1:14" x14ac:dyDescent="0.2">
      <c r="A50" s="1274" t="s">
        <v>813</v>
      </c>
      <c r="B50" s="503">
        <v>2320</v>
      </c>
      <c r="C50" s="1573">
        <v>262227</v>
      </c>
      <c r="D50" s="1573">
        <v>46026</v>
      </c>
      <c r="E50" s="1573">
        <v>4947</v>
      </c>
      <c r="F50" s="1573">
        <v>5524</v>
      </c>
      <c r="G50" s="1573"/>
      <c r="H50" s="1573"/>
      <c r="I50" s="1574"/>
      <c r="J50" s="1574"/>
      <c r="K50" s="1678">
        <f>SUM(C50:J50)</f>
        <v>318724</v>
      </c>
      <c r="L50" s="1573">
        <v>334000</v>
      </c>
    </row>
    <row r="51" spans="1:14" x14ac:dyDescent="0.2">
      <c r="A51" s="1274" t="s">
        <v>42</v>
      </c>
      <c r="B51" s="503">
        <v>2330</v>
      </c>
      <c r="C51" s="1573">
        <v>209433</v>
      </c>
      <c r="D51" s="1573">
        <v>25589</v>
      </c>
      <c r="E51" s="1573">
        <v>9272</v>
      </c>
      <c r="F51" s="1573">
        <v>687</v>
      </c>
      <c r="G51" s="1573"/>
      <c r="H51" s="1573"/>
      <c r="I51" s="1574"/>
      <c r="J51" s="1574"/>
      <c r="K51" s="1678">
        <f>SUM(C51:J51)</f>
        <v>244981</v>
      </c>
      <c r="L51" s="1573">
        <v>240800</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471660</v>
      </c>
      <c r="D53" s="1674">
        <f t="shared" ref="D53:L53" si="5">SUM(D49:D52)</f>
        <v>71615</v>
      </c>
      <c r="E53" s="1674">
        <f t="shared" si="5"/>
        <v>306445</v>
      </c>
      <c r="F53" s="1674">
        <f t="shared" si="5"/>
        <v>14931</v>
      </c>
      <c r="G53" s="1674">
        <f t="shared" si="5"/>
        <v>0</v>
      </c>
      <c r="H53" s="1674">
        <f t="shared" si="5"/>
        <v>0</v>
      </c>
      <c r="I53" s="1674">
        <f t="shared" si="5"/>
        <v>0</v>
      </c>
      <c r="J53" s="1674">
        <f t="shared" si="5"/>
        <v>0</v>
      </c>
      <c r="K53" s="1674">
        <f t="shared" si="5"/>
        <v>864651</v>
      </c>
      <c r="L53" s="1674">
        <f t="shared" si="5"/>
        <v>888300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1205674</v>
      </c>
      <c r="D55" s="1586">
        <v>189989</v>
      </c>
      <c r="E55" s="1586">
        <v>38578</v>
      </c>
      <c r="F55" s="1586">
        <v>8319</v>
      </c>
      <c r="G55" s="1586">
        <v>8967</v>
      </c>
      <c r="H55" s="1586"/>
      <c r="I55" s="1574"/>
      <c r="J55" s="1574"/>
      <c r="K55" s="1678">
        <f>SUM(C55:J55)</f>
        <v>1451527</v>
      </c>
      <c r="L55" s="1586">
        <v>1469400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1205674</v>
      </c>
      <c r="D57" s="1679">
        <f t="shared" ref="D57:K57" si="6">SUM(D55:D56)</f>
        <v>189989</v>
      </c>
      <c r="E57" s="1679">
        <f t="shared" si="6"/>
        <v>38578</v>
      </c>
      <c r="F57" s="1679">
        <f t="shared" si="6"/>
        <v>8319</v>
      </c>
      <c r="G57" s="1679">
        <f t="shared" si="6"/>
        <v>8967</v>
      </c>
      <c r="H57" s="1679">
        <f t="shared" si="6"/>
        <v>0</v>
      </c>
      <c r="I57" s="1679">
        <f t="shared" si="6"/>
        <v>0</v>
      </c>
      <c r="J57" s="1679">
        <f t="shared" si="6"/>
        <v>0</v>
      </c>
      <c r="K57" s="1679">
        <f t="shared" si="6"/>
        <v>1451527</v>
      </c>
      <c r="L57" s="1674">
        <f>SUM(L55:L56)</f>
        <v>1469400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346419</v>
      </c>
      <c r="D59" s="1586">
        <v>39913</v>
      </c>
      <c r="E59" s="1586">
        <v>6563</v>
      </c>
      <c r="F59" s="1586">
        <v>582</v>
      </c>
      <c r="G59" s="1586"/>
      <c r="H59" s="1586"/>
      <c r="I59" s="1574"/>
      <c r="J59" s="1574"/>
      <c r="K59" s="1678">
        <f t="shared" ref="K59:K64" si="7">SUM(C59:J59)</f>
        <v>393477</v>
      </c>
      <c r="L59" s="1586">
        <v>423600</v>
      </c>
      <c r="M59" s="501"/>
      <c r="N59" s="501"/>
    </row>
    <row r="60" spans="1:14" s="321" customFormat="1" x14ac:dyDescent="0.2">
      <c r="A60" s="1274" t="s">
        <v>460</v>
      </c>
      <c r="B60" s="503">
        <v>2520</v>
      </c>
      <c r="C60" s="1573">
        <v>156995</v>
      </c>
      <c r="D60" s="1573">
        <v>11511</v>
      </c>
      <c r="E60" s="1573">
        <v>216542</v>
      </c>
      <c r="F60" s="1573">
        <v>13495</v>
      </c>
      <c r="G60" s="1573">
        <v>16709</v>
      </c>
      <c r="H60" s="1573"/>
      <c r="I60" s="1574"/>
      <c r="J60" s="1574"/>
      <c r="K60" s="1678">
        <f t="shared" si="7"/>
        <v>415252</v>
      </c>
      <c r="L60" s="1573">
        <v>366000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116389</v>
      </c>
      <c r="D63" s="1573">
        <v>8295</v>
      </c>
      <c r="E63" s="1573">
        <v>380966</v>
      </c>
      <c r="F63" s="1573"/>
      <c r="G63" s="1573"/>
      <c r="H63" s="1573"/>
      <c r="I63" s="1574"/>
      <c r="J63" s="1574"/>
      <c r="K63" s="1678">
        <f t="shared" si="7"/>
        <v>505650</v>
      </c>
      <c r="L63" s="1573">
        <v>566800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619803</v>
      </c>
      <c r="D65" s="1674">
        <f t="shared" ref="D65:L65" si="8">SUM(D59:D64)</f>
        <v>59719</v>
      </c>
      <c r="E65" s="1674">
        <f t="shared" si="8"/>
        <v>604071</v>
      </c>
      <c r="F65" s="1674">
        <f t="shared" si="8"/>
        <v>14077</v>
      </c>
      <c r="G65" s="1674">
        <f t="shared" si="8"/>
        <v>16709</v>
      </c>
      <c r="H65" s="1674">
        <f t="shared" si="8"/>
        <v>0</v>
      </c>
      <c r="I65" s="1674">
        <f t="shared" si="8"/>
        <v>0</v>
      </c>
      <c r="J65" s="1674">
        <f t="shared" si="8"/>
        <v>0</v>
      </c>
      <c r="K65" s="1674">
        <f t="shared" si="8"/>
        <v>1314379</v>
      </c>
      <c r="L65" s="1674">
        <f t="shared" si="8"/>
        <v>1356400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v>79091</v>
      </c>
      <c r="D69" s="1573">
        <v>27165</v>
      </c>
      <c r="E69" s="1573">
        <v>6139</v>
      </c>
      <c r="F69" s="1573">
        <v>310</v>
      </c>
      <c r="G69" s="1573"/>
      <c r="H69" s="1573"/>
      <c r="I69" s="1574"/>
      <c r="J69" s="1574"/>
      <c r="K69" s="1678">
        <f>SUM(C69:J69)</f>
        <v>112705</v>
      </c>
      <c r="L69" s="1573">
        <v>111600</v>
      </c>
      <c r="M69" s="501"/>
      <c r="N69" s="501"/>
    </row>
    <row r="70" spans="1:14" s="321" customFormat="1" x14ac:dyDescent="0.2">
      <c r="A70" s="1274" t="s">
        <v>400</v>
      </c>
      <c r="B70" s="503">
        <v>2640</v>
      </c>
      <c r="C70" s="1573">
        <v>231038</v>
      </c>
      <c r="D70" s="1573">
        <v>31889</v>
      </c>
      <c r="E70" s="1573">
        <v>43675</v>
      </c>
      <c r="F70" s="1573">
        <v>2891</v>
      </c>
      <c r="G70" s="1573"/>
      <c r="H70" s="1573"/>
      <c r="I70" s="1574"/>
      <c r="J70" s="1574"/>
      <c r="K70" s="1678">
        <f>SUM(C70:J70)</f>
        <v>309493</v>
      </c>
      <c r="L70" s="1573">
        <v>298100</v>
      </c>
      <c r="M70" s="501"/>
      <c r="N70" s="501"/>
    </row>
    <row r="71" spans="1:14" s="321" customFormat="1" x14ac:dyDescent="0.2">
      <c r="A71" s="1274" t="s">
        <v>401</v>
      </c>
      <c r="B71" s="503">
        <v>2660</v>
      </c>
      <c r="C71" s="1573">
        <v>664172</v>
      </c>
      <c r="D71" s="1573">
        <v>105455</v>
      </c>
      <c r="E71" s="1573">
        <v>279418</v>
      </c>
      <c r="F71" s="1573">
        <v>187754</v>
      </c>
      <c r="G71" s="1573">
        <v>279882</v>
      </c>
      <c r="H71" s="1573"/>
      <c r="I71" s="1574"/>
      <c r="J71" s="1574"/>
      <c r="K71" s="1678">
        <f>SUM(C71:J71)</f>
        <v>1516681</v>
      </c>
      <c r="L71" s="1573">
        <v>1340800</v>
      </c>
      <c r="M71" s="501"/>
      <c r="N71" s="501"/>
    </row>
    <row r="72" spans="1:14" s="321" customFormat="1" ht="12.75" customHeight="1" thickBot="1" x14ac:dyDescent="0.25">
      <c r="A72" s="1380" t="s">
        <v>37</v>
      </c>
      <c r="B72" s="1383" t="s">
        <v>36</v>
      </c>
      <c r="C72" s="1674">
        <f>SUM(C67:C71)</f>
        <v>974301</v>
      </c>
      <c r="D72" s="1674">
        <f t="shared" ref="D72:K72" si="9">SUM(D67:D71)</f>
        <v>164509</v>
      </c>
      <c r="E72" s="1674">
        <f t="shared" si="9"/>
        <v>329232</v>
      </c>
      <c r="F72" s="1674">
        <f t="shared" si="9"/>
        <v>190955</v>
      </c>
      <c r="G72" s="1674">
        <f t="shared" si="9"/>
        <v>279882</v>
      </c>
      <c r="H72" s="1674">
        <f t="shared" si="9"/>
        <v>0</v>
      </c>
      <c r="I72" s="1674">
        <f t="shared" si="9"/>
        <v>0</v>
      </c>
      <c r="J72" s="1674">
        <f t="shared" si="9"/>
        <v>0</v>
      </c>
      <c r="K72" s="1674">
        <f t="shared" si="9"/>
        <v>1938879</v>
      </c>
      <c r="L72" s="1674">
        <f>SUM(L67:L71)</f>
        <v>1750500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6301561</v>
      </c>
      <c r="D74" s="1681">
        <f t="shared" ref="D74:K74" si="10">SUM(D42,D47,D53,D57,D65,D72,D73)</f>
        <v>1006992</v>
      </c>
      <c r="E74" s="1681">
        <f t="shared" si="10"/>
        <v>1538504</v>
      </c>
      <c r="F74" s="1681">
        <f t="shared" si="10"/>
        <v>561454</v>
      </c>
      <c r="G74" s="1681">
        <f t="shared" si="10"/>
        <v>307052</v>
      </c>
      <c r="H74" s="1681">
        <f t="shared" si="10"/>
        <v>0</v>
      </c>
      <c r="I74" s="1681">
        <f t="shared" si="10"/>
        <v>0</v>
      </c>
      <c r="J74" s="1681">
        <f t="shared" si="10"/>
        <v>0</v>
      </c>
      <c r="K74" s="1681">
        <f t="shared" si="10"/>
        <v>9715563</v>
      </c>
      <c r="L74" s="1681">
        <f>SUM(L42,L47,L53,L57,L65,L72,L73)</f>
        <v>9609500</v>
      </c>
    </row>
    <row r="75" spans="1:14" s="254" customFormat="1" ht="15.75" customHeight="1" thickTop="1" thickBot="1" x14ac:dyDescent="0.25">
      <c r="A75" s="1348" t="s">
        <v>47</v>
      </c>
      <c r="B75" s="1349" t="s">
        <v>571</v>
      </c>
      <c r="C75" s="1649">
        <v>22203</v>
      </c>
      <c r="D75" s="1649">
        <v>4450</v>
      </c>
      <c r="E75" s="1649">
        <v>3693</v>
      </c>
      <c r="F75" s="1649">
        <v>35927</v>
      </c>
      <c r="G75" s="1649"/>
      <c r="H75" s="1649"/>
      <c r="I75" s="1627"/>
      <c r="J75" s="1627"/>
      <c r="K75" s="1674">
        <f>SUM(C75:J75)</f>
        <v>66273</v>
      </c>
      <c r="L75" s="1651">
        <v>88500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68665</v>
      </c>
      <c r="F79" s="1673"/>
      <c r="G79" s="1673"/>
      <c r="H79" s="1573">
        <v>386221</v>
      </c>
      <c r="I79" s="1582"/>
      <c r="J79" s="1582"/>
      <c r="K79" s="1672">
        <f t="shared" si="11"/>
        <v>454886</v>
      </c>
      <c r="L79" s="1573">
        <v>578900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68665</v>
      </c>
      <c r="F84" s="1673"/>
      <c r="G84" s="1673"/>
      <c r="H84" s="1674">
        <f>SUM(H78:H83)</f>
        <v>386221</v>
      </c>
      <c r="I84" s="1582"/>
      <c r="J84" s="1582"/>
      <c r="K84" s="1674">
        <f>SUM(K78:K83)</f>
        <v>454886</v>
      </c>
      <c r="L84" s="1674">
        <f>SUM(L78:L83)</f>
        <v>578900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68665</v>
      </c>
      <c r="F102" s="1673"/>
      <c r="G102" s="1673"/>
      <c r="H102" s="1681">
        <f>SUM(H84,H92,H100,H101)</f>
        <v>386221</v>
      </c>
      <c r="I102" s="1582"/>
      <c r="J102" s="1582"/>
      <c r="K102" s="1681">
        <f>SUM(K84,K92,K100,K101)</f>
        <v>454886</v>
      </c>
      <c r="L102" s="1681">
        <f>SUM(L84,L92,L100,L101)</f>
        <v>578900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22056204</v>
      </c>
      <c r="D114" s="1674">
        <f t="shared" ref="D114:K114" si="13">SUM(D33,D74,D75,D102,D112,D113)</f>
        <v>3682843</v>
      </c>
      <c r="E114" s="1674">
        <f t="shared" si="13"/>
        <v>1712474</v>
      </c>
      <c r="F114" s="1674">
        <f t="shared" si="13"/>
        <v>877012</v>
      </c>
      <c r="G114" s="1674">
        <f t="shared" si="13"/>
        <v>360341</v>
      </c>
      <c r="H114" s="1674">
        <f>SUM(H33,H74,H75,H102,H112,H113)</f>
        <v>852075</v>
      </c>
      <c r="I114" s="1674">
        <f t="shared" si="13"/>
        <v>0</v>
      </c>
      <c r="J114" s="1674">
        <f t="shared" si="13"/>
        <v>0</v>
      </c>
      <c r="K114" s="1674">
        <f t="shared" si="13"/>
        <v>29540949</v>
      </c>
      <c r="L114" s="1674">
        <f>SUM(L33,L74,L75,L102,L112,L113)</f>
        <v>29867900</v>
      </c>
    </row>
    <row r="115" spans="1:14" ht="13.5" thickTop="1" x14ac:dyDescent="0.2">
      <c r="A115" s="2287" t="s">
        <v>989</v>
      </c>
      <c r="B115" s="2288"/>
      <c r="C115" s="1675"/>
      <c r="D115" s="1675"/>
      <c r="E115" s="1675"/>
      <c r="F115" s="1675"/>
      <c r="G115" s="1675"/>
      <c r="H115" s="1675"/>
      <c r="I115" s="1675"/>
      <c r="J115" s="1675"/>
      <c r="K115" s="1689">
        <f>'Revenues 9-14'!C268-'Expenditures 15-22'!K114</f>
        <v>-2849698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1197685</v>
      </c>
      <c r="D124" s="1573">
        <v>316524</v>
      </c>
      <c r="E124" s="1573">
        <v>470214</v>
      </c>
      <c r="F124" s="1573">
        <v>526032</v>
      </c>
      <c r="G124" s="1573">
        <v>314061</v>
      </c>
      <c r="H124" s="1573"/>
      <c r="I124" s="1574"/>
      <c r="J124" s="1574"/>
      <c r="K124" s="1674">
        <f>SUM(C124:J124)</f>
        <v>2824516</v>
      </c>
      <c r="L124" s="1573">
        <v>3794900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1197685</v>
      </c>
      <c r="D127" s="1674">
        <f t="shared" ref="D127:L127" si="14">SUM(D122:D126)</f>
        <v>316524</v>
      </c>
      <c r="E127" s="1674">
        <f t="shared" si="14"/>
        <v>470214</v>
      </c>
      <c r="F127" s="1674">
        <f t="shared" si="14"/>
        <v>526032</v>
      </c>
      <c r="G127" s="1674">
        <f t="shared" si="14"/>
        <v>314061</v>
      </c>
      <c r="H127" s="1674">
        <f t="shared" si="14"/>
        <v>0</v>
      </c>
      <c r="I127" s="1674">
        <f t="shared" si="14"/>
        <v>0</v>
      </c>
      <c r="J127" s="1674">
        <f t="shared" si="14"/>
        <v>0</v>
      </c>
      <c r="K127" s="1674">
        <f t="shared" si="14"/>
        <v>2824516</v>
      </c>
      <c r="L127" s="1674">
        <f t="shared" si="14"/>
        <v>3794900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1197685</v>
      </c>
      <c r="D129" s="1681">
        <f t="shared" ref="D129:L129" si="15">SUM(D120,D127,D128)</f>
        <v>316524</v>
      </c>
      <c r="E129" s="1681">
        <f t="shared" si="15"/>
        <v>470214</v>
      </c>
      <c r="F129" s="1681">
        <f t="shared" si="15"/>
        <v>526032</v>
      </c>
      <c r="G129" s="1681">
        <f t="shared" si="15"/>
        <v>314061</v>
      </c>
      <c r="H129" s="1681">
        <f t="shared" si="15"/>
        <v>0</v>
      </c>
      <c r="I129" s="1681">
        <f t="shared" si="15"/>
        <v>0</v>
      </c>
      <c r="J129" s="1681">
        <f t="shared" si="15"/>
        <v>0</v>
      </c>
      <c r="K129" s="1681">
        <f t="shared" si="15"/>
        <v>2824516</v>
      </c>
      <c r="L129" s="1681">
        <f t="shared" si="15"/>
        <v>3794900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v>104716</v>
      </c>
      <c r="F134" s="1673"/>
      <c r="G134" s="1673"/>
      <c r="H134" s="1586"/>
      <c r="I134" s="1582"/>
      <c r="J134" s="1673"/>
      <c r="K134" s="1678">
        <f>SUM(E134,H134)</f>
        <v>104716</v>
      </c>
      <c r="L134" s="1586">
        <v>106600</v>
      </c>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104716</v>
      </c>
      <c r="F137" s="1673"/>
      <c r="G137" s="1673"/>
      <c r="H137" s="1674">
        <f>SUM(H133:H136)</f>
        <v>0</v>
      </c>
      <c r="I137" s="1582"/>
      <c r="J137" s="1673"/>
      <c r="K137" s="1674">
        <f>SUM(K133:K136)</f>
        <v>104716</v>
      </c>
      <c r="L137" s="1674">
        <f>SUM(L133:L136)</f>
        <v>106600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104716</v>
      </c>
      <c r="F139" s="1673"/>
      <c r="G139" s="1673"/>
      <c r="H139" s="1687">
        <f>SUM(H137:H138)</f>
        <v>0</v>
      </c>
      <c r="I139" s="1582"/>
      <c r="J139" s="1673"/>
      <c r="K139" s="1678">
        <f>SUM(K137,K138)</f>
        <v>104716</v>
      </c>
      <c r="L139" s="1687">
        <f>SUM(L137,L138)</f>
        <v>106600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7" t="s">
        <v>616</v>
      </c>
      <c r="B151" s="2259"/>
      <c r="C151" s="1674">
        <f>SUM(C129,C130,C139,C149,C150)</f>
        <v>1197685</v>
      </c>
      <c r="D151" s="1674">
        <f t="shared" ref="D151:K151" si="16">SUM(D129,D130,D139,D149,D150)</f>
        <v>316524</v>
      </c>
      <c r="E151" s="1674">
        <f t="shared" si="16"/>
        <v>574930</v>
      </c>
      <c r="F151" s="1674">
        <f t="shared" si="16"/>
        <v>526032</v>
      </c>
      <c r="G151" s="1674">
        <f t="shared" si="16"/>
        <v>314061</v>
      </c>
      <c r="H151" s="1674">
        <f t="shared" si="16"/>
        <v>0</v>
      </c>
      <c r="I151" s="1674">
        <f t="shared" si="16"/>
        <v>0</v>
      </c>
      <c r="J151" s="1674">
        <f t="shared" si="16"/>
        <v>0</v>
      </c>
      <c r="K151" s="1674">
        <f t="shared" si="16"/>
        <v>2929232</v>
      </c>
      <c r="L151" s="1674">
        <f>SUM(L129,L130,L139,L149,L150)</f>
        <v>3901500</v>
      </c>
    </row>
    <row r="152" spans="1:14" ht="12.75" customHeight="1" thickTop="1" x14ac:dyDescent="0.2">
      <c r="A152" s="2280" t="s">
        <v>1168</v>
      </c>
      <c r="B152" s="2281"/>
      <c r="C152" s="1675"/>
      <c r="D152" s="1675"/>
      <c r="E152" s="1675"/>
      <c r="F152" s="1675"/>
      <c r="G152" s="1675"/>
      <c r="H152" s="1675"/>
      <c r="I152" s="1675"/>
      <c r="J152" s="1673"/>
      <c r="K152" s="1689">
        <f>'Revenues 9-14'!D268-'Expenditures 15-22'!K151</f>
        <v>1078152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f>262850+383425</f>
        <v>646275</v>
      </c>
      <c r="I169" s="1673"/>
      <c r="J169" s="1673"/>
      <c r="K169" s="1672">
        <f>SUM(C169:H169)</f>
        <v>646275</v>
      </c>
      <c r="L169" s="1695">
        <v>658000</v>
      </c>
    </row>
    <row r="170" spans="1:14" ht="33.75" customHeight="1" x14ac:dyDescent="0.2">
      <c r="A170" s="543" t="s">
        <v>1651</v>
      </c>
      <c r="B170" s="545" t="s">
        <v>31</v>
      </c>
      <c r="C170" s="1673"/>
      <c r="D170" s="1673"/>
      <c r="E170" s="1673"/>
      <c r="F170" s="1673"/>
      <c r="G170" s="1673"/>
      <c r="H170" s="1646">
        <f>871493+985000</f>
        <v>1856493</v>
      </c>
      <c r="I170" s="1673"/>
      <c r="J170" s="1673"/>
      <c r="K170" s="1672">
        <f>SUM(C170:J170)</f>
        <v>1856493</v>
      </c>
      <c r="L170" s="1646">
        <v>2022200</v>
      </c>
    </row>
    <row r="171" spans="1:14" ht="15.75" customHeight="1" x14ac:dyDescent="0.2">
      <c r="A171" s="507" t="s">
        <v>761</v>
      </c>
      <c r="B171" s="546" t="s">
        <v>84</v>
      </c>
      <c r="C171" s="1673"/>
      <c r="D171" s="1673"/>
      <c r="E171" s="1573"/>
      <c r="F171" s="1673"/>
      <c r="G171" s="1673"/>
      <c r="H171" s="1646">
        <v>1900</v>
      </c>
      <c r="I171" s="1582"/>
      <c r="J171" s="1673"/>
      <c r="K171" s="1672">
        <f>SUM(C171:J171)</f>
        <v>1900</v>
      </c>
      <c r="L171" s="1646">
        <v>2500</v>
      </c>
    </row>
    <row r="172" spans="1:14" ht="12.75" customHeight="1" thickBot="1" x14ac:dyDescent="0.25">
      <c r="A172" s="1380" t="s">
        <v>633</v>
      </c>
      <c r="B172" s="1381" t="s">
        <v>489</v>
      </c>
      <c r="C172" s="1673"/>
      <c r="D172" s="1673"/>
      <c r="E172" s="1681">
        <f>SUM(E168,E169,E170,E171)</f>
        <v>0</v>
      </c>
      <c r="F172" s="1673"/>
      <c r="G172" s="1673"/>
      <c r="H172" s="1681">
        <f>SUM(H168,H169,H170,H171)</f>
        <v>2504668</v>
      </c>
      <c r="I172" s="1684"/>
      <c r="J172" s="1673"/>
      <c r="K172" s="1681">
        <f>SUM(K168,K169,K170,K171)</f>
        <v>2504668</v>
      </c>
      <c r="L172" s="1681">
        <f>SUM(L168,L169,L170,L171)</f>
        <v>2682700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2504668</v>
      </c>
      <c r="I174" s="1684"/>
      <c r="J174" s="1673"/>
      <c r="K174" s="1681">
        <f>SUM(K160,K172,K173)</f>
        <v>2504668</v>
      </c>
      <c r="L174" s="1681">
        <f>SUM(L160,L172,L173)</f>
        <v>2682700</v>
      </c>
    </row>
    <row r="175" spans="1:14" ht="13.5" thickTop="1" x14ac:dyDescent="0.2">
      <c r="A175" s="2287" t="s">
        <v>989</v>
      </c>
      <c r="B175" s="2288"/>
      <c r="C175" s="1673"/>
      <c r="D175" s="1673"/>
      <c r="E175" s="1673"/>
      <c r="F175" s="1673"/>
      <c r="G175" s="1673"/>
      <c r="H175" s="1675"/>
      <c r="I175" s="1673"/>
      <c r="J175" s="1673"/>
      <c r="K175" s="1689">
        <f>'Revenues 9-14'!E268-'Expenditures 15-22'!K174</f>
        <v>-1109627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16586</v>
      </c>
      <c r="D182" s="1573"/>
      <c r="E182" s="1573">
        <v>1703321</v>
      </c>
      <c r="F182" s="1573">
        <v>484204</v>
      </c>
      <c r="G182" s="1573"/>
      <c r="H182" s="1573"/>
      <c r="I182" s="1574"/>
      <c r="J182" s="1574"/>
      <c r="K182" s="1672">
        <f>SUM(C182:J182)</f>
        <v>2204111</v>
      </c>
      <c r="L182" s="1573">
        <v>2495900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16586</v>
      </c>
      <c r="D184" s="1681">
        <f t="shared" ref="D184:J184" si="17">SUM(D180,D182,D183)</f>
        <v>0</v>
      </c>
      <c r="E184" s="1681">
        <f t="shared" si="17"/>
        <v>1703321</v>
      </c>
      <c r="F184" s="1681">
        <f t="shared" si="17"/>
        <v>484204</v>
      </c>
      <c r="G184" s="1681">
        <f t="shared" si="17"/>
        <v>0</v>
      </c>
      <c r="H184" s="1681">
        <f t="shared" si="17"/>
        <v>0</v>
      </c>
      <c r="I184" s="1681">
        <f t="shared" si="17"/>
        <v>0</v>
      </c>
      <c r="J184" s="1681">
        <f t="shared" si="17"/>
        <v>0</v>
      </c>
      <c r="K184" s="1681">
        <f>SUM(K180,K182,K183)</f>
        <v>2204111</v>
      </c>
      <c r="L184" s="1681">
        <f>SUM(L180, L182:L183)</f>
        <v>2495900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16586</v>
      </c>
      <c r="D210" s="1674">
        <f>SUM(D184,D185)</f>
        <v>0</v>
      </c>
      <c r="E210" s="1674">
        <f>SUM(E184,E185,E196)</f>
        <v>1703321</v>
      </c>
      <c r="F210" s="1674">
        <f>SUM(F184,F185)</f>
        <v>484204</v>
      </c>
      <c r="G210" s="1674">
        <f>SUM(G184,G185)</f>
        <v>0</v>
      </c>
      <c r="H210" s="1674">
        <f>SUM(H184,H185,H196,H208,H209)</f>
        <v>0</v>
      </c>
      <c r="I210" s="1674">
        <f>SUM(I184,I185)</f>
        <v>0</v>
      </c>
      <c r="J210" s="1674">
        <f>SUM(J184,J185)</f>
        <v>0</v>
      </c>
      <c r="K210" s="1672">
        <f>SUM(K184,K185,K196,K208,K209)</f>
        <v>2204111</v>
      </c>
      <c r="L210" s="1674">
        <f>SUM(L184,L185,L196,L208,L209)</f>
        <v>2495900</v>
      </c>
    </row>
    <row r="211" spans="1:14" ht="13.5" thickTop="1" x14ac:dyDescent="0.2">
      <c r="A211" s="2287" t="s">
        <v>989</v>
      </c>
      <c r="B211" s="2288"/>
      <c r="C211" s="1675"/>
      <c r="D211" s="1675"/>
      <c r="E211" s="1675"/>
      <c r="F211" s="1675"/>
      <c r="G211" s="1675"/>
      <c r="H211" s="1675"/>
      <c r="I211" s="1673"/>
      <c r="J211" s="1673"/>
      <c r="K211" s="1689">
        <f>'Revenues 9-14'!F268-'Expenditures 15-22'!K210</f>
        <v>79273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959</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176370</v>
      </c>
      <c r="E215" s="1673"/>
      <c r="F215" s="1673"/>
      <c r="G215" s="1673"/>
      <c r="H215" s="1673"/>
      <c r="I215" s="1673"/>
      <c r="J215" s="1673"/>
      <c r="K215" s="1672">
        <f>D215</f>
        <v>176370</v>
      </c>
      <c r="L215" s="1573">
        <v>178000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131400</v>
      </c>
      <c r="E217" s="1673"/>
      <c r="F217" s="1673"/>
      <c r="G217" s="1673"/>
      <c r="H217" s="1673"/>
      <c r="I217" s="1673"/>
      <c r="J217" s="1673"/>
      <c r="K217" s="1672">
        <f t="shared" si="19"/>
        <v>131400</v>
      </c>
      <c r="L217" s="1573">
        <v>133500</v>
      </c>
    </row>
    <row r="218" spans="1:14" x14ac:dyDescent="0.2">
      <c r="A218" s="1274" t="s">
        <v>276</v>
      </c>
      <c r="B218" s="503" t="s">
        <v>962</v>
      </c>
      <c r="C218" s="1673"/>
      <c r="D218" s="1574">
        <v>1615</v>
      </c>
      <c r="E218" s="1673"/>
      <c r="F218" s="1673"/>
      <c r="G218" s="1673"/>
      <c r="H218" s="1673"/>
      <c r="I218" s="1673"/>
      <c r="J218" s="1673"/>
      <c r="K218" s="1672">
        <f t="shared" si="19"/>
        <v>1615</v>
      </c>
      <c r="L218" s="1573">
        <v>1700</v>
      </c>
    </row>
    <row r="219" spans="1:14" x14ac:dyDescent="0.2">
      <c r="A219" s="1274" t="s">
        <v>277</v>
      </c>
      <c r="B219" s="503">
        <v>1250</v>
      </c>
      <c r="C219" s="1673"/>
      <c r="D219" s="1573">
        <v>1092</v>
      </c>
      <c r="E219" s="1673"/>
      <c r="F219" s="1673"/>
      <c r="G219" s="1673"/>
      <c r="H219" s="1673"/>
      <c r="I219" s="1673"/>
      <c r="J219" s="1673"/>
      <c r="K219" s="1672">
        <f t="shared" si="19"/>
        <v>1092</v>
      </c>
      <c r="L219" s="1573">
        <v>1200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12453</v>
      </c>
      <c r="E223" s="1673"/>
      <c r="F223" s="1673"/>
      <c r="G223" s="1673"/>
      <c r="H223" s="1673"/>
      <c r="I223" s="1673"/>
      <c r="J223" s="1673"/>
      <c r="K223" s="1672">
        <f t="shared" si="19"/>
        <v>12453</v>
      </c>
      <c r="L223" s="1573">
        <v>9800</v>
      </c>
    </row>
    <row r="224" spans="1:14" x14ac:dyDescent="0.2">
      <c r="A224" s="1274" t="s">
        <v>958</v>
      </c>
      <c r="B224" s="503">
        <v>1600</v>
      </c>
      <c r="C224" s="1673"/>
      <c r="D224" s="1573">
        <v>5736</v>
      </c>
      <c r="E224" s="1673"/>
      <c r="F224" s="1673"/>
      <c r="G224" s="1673"/>
      <c r="H224" s="1673"/>
      <c r="I224" s="1673"/>
      <c r="J224" s="1673"/>
      <c r="K224" s="1672">
        <f t="shared" si="19"/>
        <v>5736</v>
      </c>
      <c r="L224" s="1573">
        <v>9700</v>
      </c>
    </row>
    <row r="225" spans="1:12" x14ac:dyDescent="0.2">
      <c r="A225" s="1274" t="s">
        <v>980</v>
      </c>
      <c r="B225" s="503">
        <v>1650</v>
      </c>
      <c r="C225" s="1673"/>
      <c r="D225" s="1573">
        <v>5625</v>
      </c>
      <c r="E225" s="1673"/>
      <c r="F225" s="1673"/>
      <c r="G225" s="1673"/>
      <c r="H225" s="1673"/>
      <c r="I225" s="1673"/>
      <c r="J225" s="1673"/>
      <c r="K225" s="1672">
        <f t="shared" si="19"/>
        <v>5625</v>
      </c>
      <c r="L225" s="1573">
        <v>6700</v>
      </c>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v>2865</v>
      </c>
      <c r="E227" s="1673"/>
      <c r="F227" s="1673"/>
      <c r="G227" s="1673"/>
      <c r="H227" s="1673"/>
      <c r="I227" s="1673"/>
      <c r="J227" s="1673"/>
      <c r="K227" s="1672">
        <f t="shared" si="19"/>
        <v>2865</v>
      </c>
      <c r="L227" s="1573">
        <v>3000</v>
      </c>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337156</v>
      </c>
      <c r="E229" s="1673"/>
      <c r="F229" s="1673"/>
      <c r="G229" s="1673"/>
      <c r="H229" s="1673"/>
      <c r="I229" s="1673"/>
      <c r="J229" s="1673"/>
      <c r="K229" s="1674">
        <f>SUM(K215:K228)</f>
        <v>337156</v>
      </c>
      <c r="L229" s="1674">
        <f>SUM(L215:L228)</f>
        <v>343600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6505</v>
      </c>
      <c r="E232" s="1673"/>
      <c r="F232" s="1673"/>
      <c r="G232" s="1673"/>
      <c r="H232" s="1673"/>
      <c r="I232" s="1673"/>
      <c r="J232" s="1673"/>
      <c r="K232" s="1672">
        <f t="shared" ref="K232:K237" si="20">D232</f>
        <v>6505</v>
      </c>
      <c r="L232" s="1573">
        <v>7000</v>
      </c>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75671</v>
      </c>
      <c r="E234" s="1673"/>
      <c r="F234" s="1673"/>
      <c r="G234" s="1673"/>
      <c r="H234" s="1673"/>
      <c r="I234" s="1673"/>
      <c r="J234" s="1673"/>
      <c r="K234" s="1672">
        <f t="shared" si="20"/>
        <v>75671</v>
      </c>
      <c r="L234" s="1573">
        <v>71100</v>
      </c>
    </row>
    <row r="235" spans="1:12" x14ac:dyDescent="0.2">
      <c r="A235" s="1274" t="s">
        <v>197</v>
      </c>
      <c r="B235" s="503">
        <v>2140</v>
      </c>
      <c r="C235" s="1673"/>
      <c r="D235" s="1573">
        <v>4783</v>
      </c>
      <c r="E235" s="1673"/>
      <c r="F235" s="1673"/>
      <c r="G235" s="1673"/>
      <c r="H235" s="1673"/>
      <c r="I235" s="1673"/>
      <c r="J235" s="1673"/>
      <c r="K235" s="1672">
        <f t="shared" si="20"/>
        <v>4783</v>
      </c>
      <c r="L235" s="1573">
        <v>5000</v>
      </c>
    </row>
    <row r="236" spans="1:12" x14ac:dyDescent="0.2">
      <c r="A236" s="1274" t="s">
        <v>198</v>
      </c>
      <c r="B236" s="503">
        <v>2150</v>
      </c>
      <c r="C236" s="1673"/>
      <c r="D236" s="1573">
        <v>11444</v>
      </c>
      <c r="E236" s="1673"/>
      <c r="F236" s="1673"/>
      <c r="G236" s="1673"/>
      <c r="H236" s="1673"/>
      <c r="I236" s="1673"/>
      <c r="J236" s="1673"/>
      <c r="K236" s="1672">
        <f t="shared" si="20"/>
        <v>11444</v>
      </c>
      <c r="L236" s="1573">
        <v>13200</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98403</v>
      </c>
      <c r="E238" s="1673"/>
      <c r="F238" s="1673"/>
      <c r="G238" s="1673"/>
      <c r="H238" s="1673"/>
      <c r="I238" s="1673"/>
      <c r="J238" s="1673"/>
      <c r="K238" s="1674">
        <f>SUM(K232:K237)</f>
        <v>98403</v>
      </c>
      <c r="L238" s="1674">
        <f>SUM(L232:L237)</f>
        <v>96300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11560</v>
      </c>
      <c r="E240" s="1673"/>
      <c r="F240" s="1673"/>
      <c r="G240" s="1673"/>
      <c r="H240" s="1673"/>
      <c r="I240" s="1673"/>
      <c r="J240" s="1673"/>
      <c r="K240" s="1678">
        <f>D240</f>
        <v>11560</v>
      </c>
      <c r="L240" s="1586">
        <v>19800</v>
      </c>
    </row>
    <row r="241" spans="1:12" x14ac:dyDescent="0.2">
      <c r="A241" s="1274" t="s">
        <v>810</v>
      </c>
      <c r="B241" s="503">
        <v>2220</v>
      </c>
      <c r="C241" s="1673"/>
      <c r="D241" s="1573">
        <v>31567</v>
      </c>
      <c r="E241" s="1673"/>
      <c r="F241" s="1673"/>
      <c r="G241" s="1673"/>
      <c r="H241" s="1673"/>
      <c r="I241" s="1673"/>
      <c r="J241" s="1673"/>
      <c r="K241" s="1678">
        <f>D241</f>
        <v>31567</v>
      </c>
      <c r="L241" s="1573">
        <v>33700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43127</v>
      </c>
      <c r="E243" s="1673"/>
      <c r="F243" s="1673"/>
      <c r="G243" s="1673"/>
      <c r="H243" s="1673"/>
      <c r="I243" s="1673"/>
      <c r="J243" s="1673"/>
      <c r="K243" s="1674">
        <f>SUM(K240:K242)</f>
        <v>43127</v>
      </c>
      <c r="L243" s="1674">
        <f>SUM(L240:L242)</f>
        <v>53500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14413</v>
      </c>
      <c r="E246" s="1673"/>
      <c r="F246" s="1673"/>
      <c r="G246" s="1673"/>
      <c r="H246" s="1673"/>
      <c r="I246" s="1673"/>
      <c r="J246" s="1673"/>
      <c r="K246" s="1678">
        <f t="shared" ref="K246:K256" si="21">D246</f>
        <v>14413</v>
      </c>
      <c r="L246" s="1573">
        <v>14600</v>
      </c>
    </row>
    <row r="247" spans="1:12" x14ac:dyDescent="0.2">
      <c r="A247" s="1274" t="s">
        <v>814</v>
      </c>
      <c r="B247" s="503">
        <v>2330</v>
      </c>
      <c r="C247" s="1673"/>
      <c r="D247" s="1573">
        <v>9230</v>
      </c>
      <c r="E247" s="1673"/>
      <c r="F247" s="1673"/>
      <c r="G247" s="1673"/>
      <c r="H247" s="1673"/>
      <c r="I247" s="1673"/>
      <c r="J247" s="1673"/>
      <c r="K247" s="1678">
        <f t="shared" si="21"/>
        <v>9230</v>
      </c>
      <c r="L247" s="1573">
        <v>8700</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23643</v>
      </c>
      <c r="E257" s="1673"/>
      <c r="F257" s="1673"/>
      <c r="G257" s="1673"/>
      <c r="H257" s="1673"/>
      <c r="I257" s="1673"/>
      <c r="J257" s="1673"/>
      <c r="K257" s="1674">
        <f>SUM(K245:K256)</f>
        <v>23643</v>
      </c>
      <c r="L257" s="1674">
        <f>SUM(L245:L256)</f>
        <v>23300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56683</v>
      </c>
      <c r="E259" s="1673"/>
      <c r="F259" s="1673"/>
      <c r="G259" s="1673"/>
      <c r="H259" s="1673"/>
      <c r="I259" s="1673"/>
      <c r="J259" s="1673"/>
      <c r="K259" s="1678">
        <f>D259</f>
        <v>56683</v>
      </c>
      <c r="L259" s="1586">
        <v>59500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56683</v>
      </c>
      <c r="E261" s="1673"/>
      <c r="F261" s="1673"/>
      <c r="G261" s="1673"/>
      <c r="H261" s="1673"/>
      <c r="I261" s="1673"/>
      <c r="J261" s="1673"/>
      <c r="K261" s="1674">
        <f>SUM(K259:K260)</f>
        <v>56683</v>
      </c>
      <c r="L261" s="1674">
        <f>SUM(L259:L260)</f>
        <v>59500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15878</v>
      </c>
      <c r="E263" s="1673"/>
      <c r="F263" s="1673"/>
      <c r="G263" s="1673"/>
      <c r="H263" s="1673"/>
      <c r="I263" s="1673"/>
      <c r="J263" s="1673"/>
      <c r="K263" s="1678">
        <f>D263</f>
        <v>15878</v>
      </c>
      <c r="L263" s="1586">
        <v>16900</v>
      </c>
    </row>
    <row r="264" spans="1:14" x14ac:dyDescent="0.2">
      <c r="A264" s="1274" t="s">
        <v>460</v>
      </c>
      <c r="B264" s="559">
        <v>2520</v>
      </c>
      <c r="C264" s="1673"/>
      <c r="D264" s="1573">
        <v>28706</v>
      </c>
      <c r="E264" s="1673"/>
      <c r="F264" s="1673"/>
      <c r="G264" s="1673"/>
      <c r="H264" s="1673"/>
      <c r="I264" s="1673"/>
      <c r="J264" s="1673"/>
      <c r="K264" s="1678">
        <f t="shared" ref="K264:K269" si="22">D264</f>
        <v>28706</v>
      </c>
      <c r="L264" s="1573">
        <v>28000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197955</v>
      </c>
      <c r="E266" s="1673"/>
      <c r="F266" s="1673"/>
      <c r="G266" s="1673"/>
      <c r="H266" s="1673"/>
      <c r="I266" s="1673"/>
      <c r="J266" s="1673"/>
      <c r="K266" s="1678">
        <f t="shared" si="22"/>
        <v>197955</v>
      </c>
      <c r="L266" s="1573">
        <v>218100</v>
      </c>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v>25114</v>
      </c>
      <c r="E268" s="1673"/>
      <c r="F268" s="1673"/>
      <c r="G268" s="1673"/>
      <c r="H268" s="1673"/>
      <c r="I268" s="1673"/>
      <c r="J268" s="1673"/>
      <c r="K268" s="1678">
        <f t="shared" si="22"/>
        <v>25114</v>
      </c>
      <c r="L268" s="1573">
        <v>15900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267653</v>
      </c>
      <c r="E270" s="1673"/>
      <c r="F270" s="1673"/>
      <c r="G270" s="1673"/>
      <c r="H270" s="1673"/>
      <c r="I270" s="1673"/>
      <c r="J270" s="1673"/>
      <c r="K270" s="1674">
        <f>SUM(K263:K269)</f>
        <v>267653</v>
      </c>
      <c r="L270" s="1674">
        <f>SUM(L263:L269)</f>
        <v>278900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v>14365</v>
      </c>
      <c r="E274" s="1673"/>
      <c r="F274" s="1673"/>
      <c r="G274" s="1673"/>
      <c r="H274" s="1673"/>
      <c r="I274" s="1673"/>
      <c r="J274" s="1673"/>
      <c r="K274" s="1678">
        <f>D274</f>
        <v>14365</v>
      </c>
      <c r="L274" s="1573">
        <v>14400</v>
      </c>
    </row>
    <row r="275" spans="1:12" x14ac:dyDescent="0.2">
      <c r="A275" s="1274" t="s">
        <v>400</v>
      </c>
      <c r="B275" s="503">
        <v>2640</v>
      </c>
      <c r="C275" s="1673"/>
      <c r="D275" s="1573">
        <v>9891</v>
      </c>
      <c r="E275" s="1673"/>
      <c r="F275" s="1673"/>
      <c r="G275" s="1673"/>
      <c r="H275" s="1673"/>
      <c r="I275" s="1673"/>
      <c r="J275" s="1673"/>
      <c r="K275" s="1678">
        <f>D275</f>
        <v>9891</v>
      </c>
      <c r="L275" s="1573">
        <v>11100</v>
      </c>
    </row>
    <row r="276" spans="1:12" x14ac:dyDescent="0.2">
      <c r="A276" s="1274" t="s">
        <v>401</v>
      </c>
      <c r="B276" s="503">
        <v>2660</v>
      </c>
      <c r="C276" s="1673"/>
      <c r="D276" s="1573">
        <v>65255</v>
      </c>
      <c r="E276" s="1673"/>
      <c r="F276" s="1673"/>
      <c r="G276" s="1673"/>
      <c r="H276" s="1673"/>
      <c r="I276" s="1673"/>
      <c r="J276" s="1673"/>
      <c r="K276" s="1678">
        <f>D276</f>
        <v>65255</v>
      </c>
      <c r="L276" s="1573">
        <v>61100</v>
      </c>
    </row>
    <row r="277" spans="1:12" ht="12.75" customHeight="1" thickBot="1" x14ac:dyDescent="0.25">
      <c r="A277" s="1393" t="s">
        <v>37</v>
      </c>
      <c r="B277" s="1381" t="s">
        <v>36</v>
      </c>
      <c r="C277" s="1673"/>
      <c r="D277" s="1674">
        <f>SUM(D272:D276)</f>
        <v>89511</v>
      </c>
      <c r="E277" s="1673"/>
      <c r="F277" s="1673"/>
      <c r="G277" s="1673"/>
      <c r="H277" s="1673"/>
      <c r="I277" s="1673"/>
      <c r="J277" s="1673"/>
      <c r="K277" s="1674">
        <f>SUM(K272:K276)</f>
        <v>89511</v>
      </c>
      <c r="L277" s="1674">
        <f>SUM(L272:L276)</f>
        <v>86600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579020</v>
      </c>
      <c r="E279" s="1673"/>
      <c r="F279" s="1673"/>
      <c r="G279" s="1673"/>
      <c r="H279" s="1673"/>
      <c r="I279" s="1673"/>
      <c r="J279" s="1673"/>
      <c r="K279" s="1681">
        <f>SUM(K238,K243,K257,K261,K270,K277,K278)</f>
        <v>579020</v>
      </c>
      <c r="L279" s="1681">
        <f>SUM(L238,L243,L257,L261,L270,L277,L278)</f>
        <v>598100</v>
      </c>
    </row>
    <row r="280" spans="1:12" ht="15.75" customHeight="1" thickTop="1" thickBot="1" x14ac:dyDescent="0.25">
      <c r="A280" s="1362" t="s">
        <v>870</v>
      </c>
      <c r="B280" s="1351">
        <v>3000</v>
      </c>
      <c r="C280" s="1673"/>
      <c r="D280" s="1651">
        <v>287</v>
      </c>
      <c r="E280" s="1673"/>
      <c r="F280" s="1673"/>
      <c r="G280" s="1673"/>
      <c r="H280" s="1673"/>
      <c r="I280" s="1673"/>
      <c r="J280" s="1673"/>
      <c r="K280" s="1687">
        <f>D280</f>
        <v>287</v>
      </c>
      <c r="L280" s="1651">
        <v>400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v>67935</v>
      </c>
      <c r="E283" s="1673"/>
      <c r="F283" s="1673"/>
      <c r="G283" s="1673"/>
      <c r="H283" s="1673"/>
      <c r="I283" s="1673"/>
      <c r="J283" s="1673"/>
      <c r="K283" s="1672">
        <f>D283</f>
        <v>67935</v>
      </c>
      <c r="L283" s="1573">
        <v>68000</v>
      </c>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67935</v>
      </c>
      <c r="E285" s="1673"/>
      <c r="F285" s="1673"/>
      <c r="G285" s="1673"/>
      <c r="H285" s="1673"/>
      <c r="I285" s="1673"/>
      <c r="J285" s="1673"/>
      <c r="K285" s="1674">
        <f>SUM(K282:K284)</f>
        <v>67935</v>
      </c>
      <c r="L285" s="1674">
        <f>SUM(L282:L284)</f>
        <v>68000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8" t="s">
        <v>502</v>
      </c>
      <c r="B295" s="2279"/>
      <c r="C295" s="1673"/>
      <c r="D295" s="1674">
        <f>SUM(D229,D279,D280,D285)</f>
        <v>984398</v>
      </c>
      <c r="E295" s="1673"/>
      <c r="F295" s="1673"/>
      <c r="G295" s="1673"/>
      <c r="H295" s="1674">
        <f>H293</f>
        <v>0</v>
      </c>
      <c r="I295" s="1673"/>
      <c r="J295" s="1673"/>
      <c r="K295" s="1674">
        <f>SUM(K229,K279,K280,K285,K293,K294)</f>
        <v>984398</v>
      </c>
      <c r="L295" s="1674">
        <f>SUM(L229,L279,L280,L285,L293,L294)</f>
        <v>1010100</v>
      </c>
    </row>
    <row r="296" spans="1:14" ht="13.5" thickTop="1" x14ac:dyDescent="0.2">
      <c r="A296" s="2287" t="s">
        <v>989</v>
      </c>
      <c r="B296" s="2288"/>
      <c r="C296" s="1673"/>
      <c r="D296" s="1675"/>
      <c r="E296" s="1673"/>
      <c r="F296" s="1673"/>
      <c r="G296" s="1673"/>
      <c r="H296" s="1707"/>
      <c r="I296" s="1673"/>
      <c r="J296" s="1673"/>
      <c r="K296" s="1689">
        <f>'Revenues 9-14'!G268-'Expenditures 15-22'!K295</f>
        <v>-42306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86800</v>
      </c>
      <c r="F301" s="1573"/>
      <c r="G301" s="1573">
        <v>5863600</v>
      </c>
      <c r="H301" s="1573"/>
      <c r="I301" s="1574"/>
      <c r="J301" s="1574"/>
      <c r="K301" s="1672">
        <f>SUM(C301:J301)</f>
        <v>5950400</v>
      </c>
      <c r="L301" s="1574">
        <v>6050000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86800</v>
      </c>
      <c r="F303" s="1681">
        <f t="shared" si="23"/>
        <v>0</v>
      </c>
      <c r="G303" s="1681">
        <f t="shared" si="23"/>
        <v>5863600</v>
      </c>
      <c r="H303" s="1681">
        <f t="shared" si="23"/>
        <v>0</v>
      </c>
      <c r="I303" s="1681">
        <f t="shared" si="23"/>
        <v>0</v>
      </c>
      <c r="J303" s="1681">
        <f t="shared" si="23"/>
        <v>0</v>
      </c>
      <c r="K303" s="1681">
        <f t="shared" si="23"/>
        <v>5950400</v>
      </c>
      <c r="L303" s="1681">
        <f t="shared" si="23"/>
        <v>6050000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5" t="s">
        <v>275</v>
      </c>
      <c r="B312" s="2276"/>
      <c r="C312" s="1674">
        <f>SUM(C303)</f>
        <v>0</v>
      </c>
      <c r="D312" s="1674">
        <f>SUM(D303)</f>
        <v>0</v>
      </c>
      <c r="E312" s="1674">
        <f>SUM(E303,E310)</f>
        <v>86800</v>
      </c>
      <c r="F312" s="1674">
        <f>SUM(F303)</f>
        <v>0</v>
      </c>
      <c r="G312" s="1674">
        <f>SUM(G303)</f>
        <v>5863600</v>
      </c>
      <c r="H312" s="1674">
        <f>SUM(H303,H310)</f>
        <v>0</v>
      </c>
      <c r="I312" s="1674">
        <f>SUM(I303)</f>
        <v>0</v>
      </c>
      <c r="J312" s="1674">
        <f>SUM(J303)</f>
        <v>0</v>
      </c>
      <c r="K312" s="1674">
        <f>SUM(K303,K310,K311)</f>
        <v>5950400</v>
      </c>
      <c r="L312" s="1674">
        <f>SUM(L303,L310,L311)</f>
        <v>6050000</v>
      </c>
      <c r="M312" s="539"/>
      <c r="N312" s="539"/>
    </row>
    <row r="313" spans="1:14" ht="13.5" thickTop="1" x14ac:dyDescent="0.2">
      <c r="A313" s="2271" t="s">
        <v>989</v>
      </c>
      <c r="B313" s="2272"/>
      <c r="C313" s="1677"/>
      <c r="D313" s="1677"/>
      <c r="E313" s="1677"/>
      <c r="F313" s="1677"/>
      <c r="G313" s="1677"/>
      <c r="H313" s="1677"/>
      <c r="I313" s="1677"/>
      <c r="J313" s="1677"/>
      <c r="K313" s="1696">
        <f>'Revenues 9-14'!H268-'Expenditures 15-22'!K312</f>
        <v>-5924693</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892</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3" t="s">
        <v>989</v>
      </c>
      <c r="B343" s="2274"/>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7" t="s">
        <v>989</v>
      </c>
      <c r="B368" s="2288"/>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d21dc803-237d-4c68-8692-8d731fd29118"/>
    <ds:schemaRef ds:uri="http://www.w3.org/XML/1998/namespace"/>
    <ds:schemaRef ds:uri="http://schemas.microsoft.com/office/2006/documentManagement/types"/>
    <ds:schemaRef ds:uri="http://purl.org/dc/terms/"/>
    <ds:schemaRef ds:uri="http://purl.org/dc/elements/1.1/"/>
    <ds:schemaRef ds:uri="6ce3111e-7420-4802-b50a-75d4e9a0b980"/>
    <ds:schemaRef ds:uri="http://schemas.microsoft.com/office/infopath/2007/PartnerControls"/>
    <ds:schemaRef ds:uri="http://purl.org/dc/dcmitype/"/>
    <ds:schemaRef ds:uri="http://schemas.openxmlformats.org/package/2006/metadata/core-properties"/>
    <ds:schemaRef ds:uri="4d435f69-8686-490b-bd6d-b153bf22ab5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2020-12-04T21:15:09Z</cp:lastPrinted>
  <dcterms:created xsi:type="dcterms:W3CDTF">2003-10-29T19:06:34Z</dcterms:created>
  <dcterms:modified xsi:type="dcterms:W3CDTF">2020-12-09T23:05:48Z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