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3440647-0847-4B2D-8CFC-96143316EFCA}" xr6:coauthVersionLast="36" xr6:coauthVersionMax="36" xr10:uidLastSave="{00000000-0000-0000-0000-000000000000}"/>
  <bookViews>
    <workbookView xWindow="28680" yWindow="-120" windowWidth="29040" windowHeight="15990" tabRatio="81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5" i="185" l="1"/>
  <c r="I17" i="187" l="1"/>
  <c r="I19" i="187" s="1"/>
  <c r="I21" i="187" s="1"/>
  <c r="G17" i="187"/>
  <c r="G19" i="187" s="1"/>
  <c r="G21" i="187" s="1"/>
  <c r="F17" i="187"/>
  <c r="F19" i="187" s="1"/>
  <c r="F21" i="187" s="1"/>
  <c r="E17" i="187"/>
  <c r="E19" i="187" s="1"/>
  <c r="E21" i="187" s="1"/>
  <c r="I22" i="186"/>
  <c r="G22" i="186"/>
  <c r="F22" i="186"/>
  <c r="E22" i="186"/>
  <c r="I18" i="186"/>
  <c r="G18" i="186"/>
  <c r="F18" i="186"/>
  <c r="E18" i="186"/>
  <c r="L17" i="186"/>
  <c r="L16" i="186"/>
  <c r="I23" i="185"/>
  <c r="G23" i="185"/>
  <c r="F23" i="185"/>
  <c r="E23" i="185"/>
  <c r="E19" i="185"/>
  <c r="F19" i="185"/>
  <c r="G19" i="185"/>
  <c r="I19" i="185"/>
  <c r="G15" i="185"/>
  <c r="F15" i="185"/>
  <c r="E15" i="185"/>
  <c r="G24" i="186" l="1"/>
  <c r="I24" i="186"/>
  <c r="E24" i="186"/>
  <c r="F24" i="186"/>
  <c r="G26" i="186"/>
  <c r="L22" i="186"/>
  <c r="L18" i="186"/>
  <c r="I26" i="186"/>
  <c r="E26" i="186"/>
  <c r="F26" i="186"/>
  <c r="I25" i="179"/>
  <c r="L25" i="179" s="1"/>
  <c r="F25" i="179"/>
  <c r="I22" i="179"/>
  <c r="G22" i="179"/>
  <c r="F22" i="179"/>
  <c r="E22" i="179"/>
  <c r="I18" i="179"/>
  <c r="G18" i="179"/>
  <c r="F18" i="179"/>
  <c r="E18" i="179"/>
  <c r="L21" i="179"/>
  <c r="L20" i="179"/>
  <c r="L17" i="179"/>
  <c r="L15" i="179"/>
  <c r="L14" i="179"/>
  <c r="L13" i="179"/>
  <c r="L24" i="186" l="1"/>
  <c r="G26" i="179"/>
  <c r="F26" i="179"/>
  <c r="E26" i="179"/>
  <c r="I26" i="179"/>
  <c r="L22" i="179"/>
  <c r="L18" i="179"/>
  <c r="L21" i="187"/>
  <c r="L19" i="187"/>
  <c r="L17" i="187"/>
  <c r="L15" i="187"/>
  <c r="L14" i="187"/>
  <c r="I9" i="187"/>
  <c r="G9" i="187"/>
  <c r="F9" i="187"/>
  <c r="E9" i="187"/>
  <c r="J8" i="187"/>
  <c r="H8" i="187"/>
  <c r="L21" i="186"/>
  <c r="L20" i="186"/>
  <c r="L13" i="186"/>
  <c r="I9" i="186"/>
  <c r="G9" i="186"/>
  <c r="F9" i="186"/>
  <c r="E9" i="186"/>
  <c r="J8" i="186"/>
  <c r="H8" i="186"/>
  <c r="L23" i="185"/>
  <c r="L22" i="185"/>
  <c r="L21" i="185"/>
  <c r="L19" i="185"/>
  <c r="L18" i="185"/>
  <c r="L17" i="185"/>
  <c r="L15" i="185"/>
  <c r="L14" i="185"/>
  <c r="L13" i="185"/>
  <c r="L12" i="185"/>
  <c r="I9" i="185"/>
  <c r="G9" i="185"/>
  <c r="F9" i="185"/>
  <c r="E9" i="185"/>
  <c r="J8" i="185"/>
  <c r="H8" i="185"/>
  <c r="I23" i="187" l="1"/>
  <c r="D45" i="174" s="1"/>
  <c r="I27" i="179"/>
  <c r="E23" i="187"/>
  <c r="E27" i="179"/>
  <c r="F23" i="187"/>
  <c r="D35" i="171" s="1"/>
  <c r="F27" i="179"/>
  <c r="G23" i="187"/>
  <c r="G27" i="179"/>
  <c r="L26" i="186"/>
  <c r="L23" i="187" l="1"/>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B4" i="187"/>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6" i="179" l="1"/>
  <c r="L27" i="179" s="1"/>
  <c r="L24"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7"/>
  <c r="B2" i="179"/>
  <c r="B2" i="185"/>
  <c r="B2" i="187"/>
  <c r="B2" i="186"/>
  <c r="B2" i="177"/>
  <c r="A2" i="170"/>
  <c r="B2" i="174"/>
  <c r="A2" i="173"/>
  <c r="A1" i="171"/>
  <c r="B1" i="179"/>
  <c r="B2" i="176"/>
  <c r="B1" i="175"/>
  <c r="B1" i="177"/>
  <c r="A1" i="170"/>
  <c r="A2" i="171"/>
  <c r="A1" i="173"/>
  <c r="B1" i="174"/>
  <c r="B2" i="175"/>
  <c r="B1" i="176"/>
  <c r="B7773" i="106" l="1"/>
  <c r="L160" i="29" l="1"/>
  <c r="L137" i="29"/>
  <c r="L285" i="29"/>
  <c r="L357" i="29"/>
  <c r="L334" i="29"/>
  <c r="B61" i="106"/>
  <c r="B52" i="106"/>
  <c r="B51" i="106" l="1"/>
  <c r="B49" i="106"/>
  <c r="B48" i="106"/>
  <c r="B47" i="106"/>
  <c r="B46" i="106"/>
  <c r="B45" i="106"/>
  <c r="B44" i="106"/>
  <c r="B43" i="106"/>
  <c r="B42" i="106"/>
  <c r="B41" i="106"/>
  <c r="B50" i="106"/>
  <c r="B7758" i="106" l="1"/>
  <c r="D7758" i="106" s="1"/>
  <c r="K23" i="12"/>
  <c r="B7800" i="106" s="1"/>
  <c r="D7800" i="106" s="1"/>
  <c r="J12" i="12"/>
  <c r="B7718" i="106" s="1"/>
  <c r="D7718" i="106" s="1"/>
  <c r="J21" i="12"/>
  <c r="J23" i="12" s="1"/>
  <c r="B7729" i="106"/>
  <c r="D7729" i="106" s="1"/>
  <c r="B7734" i="106"/>
  <c r="D7734" i="106" s="1"/>
  <c r="B7726" i="106"/>
  <c r="D7726" i="106" s="1"/>
  <c r="B30" i="36"/>
  <c r="B33" i="36" s="1"/>
  <c r="B43" i="36" s="1"/>
  <c r="B56" i="36" s="1"/>
  <c r="B66" i="36" s="1"/>
  <c r="B70" i="36" s="1"/>
  <c r="B74" i="36" s="1"/>
  <c r="L127" i="29"/>
  <c r="L129" i="29" s="1"/>
  <c r="L139" i="29"/>
  <c r="L149" i="29"/>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D7" i="118"/>
  <c r="D8" i="118"/>
  <c r="D9" i="118"/>
  <c r="H24" i="118"/>
  <c r="H33" i="118"/>
  <c r="D24" i="37"/>
  <c r="B4270" i="106" s="1"/>
  <c r="D4270" i="106" s="1"/>
  <c r="B2836" i="106" l="1"/>
  <c r="D2836" i="106" s="1"/>
  <c r="H28" i="118"/>
  <c r="L22" i="37"/>
  <c r="D22" i="37"/>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L367" i="29"/>
  <c r="L342" i="29"/>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L312" i="29"/>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I49" i="8"/>
  <c r="B1867" i="106"/>
  <c r="D1867" i="106" s="1"/>
  <c r="F15" i="8"/>
  <c r="L12" i="11"/>
  <c r="B2059" i="106" s="1"/>
  <c r="D2059" i="106" s="1"/>
  <c r="L8" i="11"/>
  <c r="B2057" i="106" s="1"/>
  <c r="D2057" i="106" s="1"/>
  <c r="G24" i="12"/>
  <c r="L151" i="29"/>
  <c r="J24" i="12"/>
  <c r="B7730" i="106"/>
  <c r="D7730" i="106" s="1"/>
  <c r="L114" i="29" l="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B7657" i="106" l="1"/>
  <c r="D7657" i="106" s="1"/>
  <c r="B7666" i="106"/>
  <c r="D7666" i="106" s="1"/>
  <c r="A7262" i="106"/>
  <c r="A7263" i="106" l="1"/>
  <c r="B3490" i="106" l="1"/>
  <c r="D3490" i="106" s="1"/>
  <c r="A7264" i="106"/>
  <c r="B6144" i="106" l="1"/>
  <c r="D6144" i="106" s="1"/>
  <c r="A7265" i="106"/>
  <c r="A7266" i="106" l="1"/>
  <c r="B72" i="106" l="1"/>
  <c r="D72" i="106" s="1"/>
  <c r="B76" i="106"/>
  <c r="D76" i="106" s="1"/>
  <c r="A7267" i="106"/>
  <c r="A7268" i="106" l="1"/>
  <c r="A7269" i="106" l="1"/>
  <c r="A7270" i="106" l="1"/>
  <c r="D7269" i="106"/>
  <c r="B6320" i="106" l="1"/>
  <c r="D6320" i="106" s="1"/>
  <c r="B6824" i="106"/>
  <c r="D6824" i="106" s="1"/>
  <c r="B5247" i="106"/>
  <c r="D5247" i="106" s="1"/>
  <c r="C204" i="5"/>
  <c r="F127" i="34" s="1"/>
  <c r="B7859" i="106" s="1"/>
  <c r="D7859" i="106" s="1"/>
  <c r="B6376" i="106"/>
  <c r="D6376" i="106" s="1"/>
  <c r="B6173" i="106"/>
  <c r="D6173" i="106" s="1"/>
  <c r="B5990" i="106"/>
  <c r="D5990" i="106" s="1"/>
  <c r="B6703" i="106"/>
  <c r="D6703" i="106" s="1"/>
  <c r="B6258" i="106"/>
  <c r="D6258" i="106" s="1"/>
  <c r="B6823" i="106"/>
  <c r="D6823" i="106" s="1"/>
  <c r="B2806" i="106"/>
  <c r="D2806" i="106" s="1"/>
  <c r="B7687" i="106"/>
  <c r="D7687" i="106" s="1"/>
  <c r="F27" i="34"/>
  <c r="B5578" i="106"/>
  <c r="D5578" i="106" s="1"/>
  <c r="B6931" i="106"/>
  <c r="D6931" i="106" s="1"/>
  <c r="B5135" i="106"/>
  <c r="D5135" i="106" s="1"/>
  <c r="B2829" i="106"/>
  <c r="D2829" i="106" s="1"/>
  <c r="B2817" i="106"/>
  <c r="D2817" i="106" s="1"/>
  <c r="E76" i="4"/>
  <c r="B3276" i="106" s="1"/>
  <c r="D3276" i="106" s="1"/>
  <c r="K274" i="29"/>
  <c r="B1503" i="106" s="1"/>
  <c r="D1503" i="106" s="1"/>
  <c r="B1439" i="106"/>
  <c r="D1439" i="106" s="1"/>
  <c r="B798" i="106"/>
  <c r="D798" i="106" s="1"/>
  <c r="B5920" i="106"/>
  <c r="D5920" i="106" s="1"/>
  <c r="K235" i="29"/>
  <c r="B1478" i="106" s="1"/>
  <c r="D1478" i="106" s="1"/>
  <c r="B1414" i="106"/>
  <c r="D1414" i="106" s="1"/>
  <c r="B5301" i="106"/>
  <c r="D5301" i="106" s="1"/>
  <c r="C221" i="5"/>
  <c r="F120" i="34"/>
  <c r="B7854" i="106" s="1"/>
  <c r="D7854" i="106" s="1"/>
  <c r="B4317" i="106"/>
  <c r="D4317" i="106" s="1"/>
  <c r="B6760" i="106"/>
  <c r="D6760" i="106" s="1"/>
  <c r="B6748" i="106"/>
  <c r="D6748" i="106" s="1"/>
  <c r="B5705" i="106"/>
  <c r="D5705" i="106" s="1"/>
  <c r="B7195" i="106"/>
  <c r="D7195" i="106" s="1"/>
  <c r="B4310" i="106"/>
  <c r="D4310" i="106" s="1"/>
  <c r="B5577" i="106"/>
  <c r="D5577" i="106" s="1"/>
  <c r="F26" i="34"/>
  <c r="B7664" i="106"/>
  <c r="D7664" i="106" s="1"/>
  <c r="B6697" i="106"/>
  <c r="D6697" i="106" s="1"/>
  <c r="B880" i="106"/>
  <c r="D880" i="106" s="1"/>
  <c r="B1363" i="106"/>
  <c r="D1363" i="106" s="1"/>
  <c r="K79" i="29"/>
  <c r="B2974" i="106" s="1"/>
  <c r="D2974" i="106" s="1"/>
  <c r="B2950" i="106"/>
  <c r="D2950" i="106" s="1"/>
  <c r="B1366" i="106"/>
  <c r="D1366" i="106" s="1"/>
  <c r="D252" i="5"/>
  <c r="B6834" i="106" s="1"/>
  <c r="D6834" i="106" s="1"/>
  <c r="B6615" i="106"/>
  <c r="D6615" i="106" s="1"/>
  <c r="B5114" i="106"/>
  <c r="D5114" i="106" s="1"/>
  <c r="B6921" i="106"/>
  <c r="D6921" i="106" s="1"/>
  <c r="D76" i="4"/>
  <c r="B3237" i="106" s="1"/>
  <c r="D3237" i="106" s="1"/>
  <c r="B5023" i="106"/>
  <c r="D5023" i="106" s="1"/>
  <c r="C34" i="3"/>
  <c r="B91" i="106" s="1"/>
  <c r="D91" i="106" s="1"/>
  <c r="B6125" i="106"/>
  <c r="D6125" i="106" s="1"/>
  <c r="B1261" i="106"/>
  <c r="D1261" i="106" s="1"/>
  <c r="B1016" i="106"/>
  <c r="D1016" i="106" s="1"/>
  <c r="B4200" i="106"/>
  <c r="D4200" i="106" s="1"/>
  <c r="K135" i="29"/>
  <c r="B2987" i="106" s="1"/>
  <c r="D2987" i="106" s="1"/>
  <c r="B6344" i="106"/>
  <c r="D6344" i="106" s="1"/>
  <c r="B6365" i="106"/>
  <c r="D6365" i="106" s="1"/>
  <c r="D18" i="5"/>
  <c r="B5339" i="106" s="1"/>
  <c r="D5339" i="106" s="1"/>
  <c r="B5335" i="106"/>
  <c r="D5335" i="106" s="1"/>
  <c r="B5855" i="106"/>
  <c r="D5855" i="106" s="1"/>
  <c r="D12" i="171"/>
  <c r="B5123" i="106"/>
  <c r="D5123" i="106" s="1"/>
  <c r="B6733" i="106"/>
  <c r="D6733" i="106" s="1"/>
  <c r="B7246" i="106"/>
  <c r="D7246" i="106" s="1"/>
  <c r="B7035" i="106"/>
  <c r="D7035" i="106" s="1"/>
  <c r="B7751" i="106"/>
  <c r="D7751" i="106" s="1"/>
  <c r="F44" i="4"/>
  <c r="B5331" i="106"/>
  <c r="D5331" i="106" s="1"/>
  <c r="B6950" i="106"/>
  <c r="D6950" i="106" s="1"/>
  <c r="I65" i="29"/>
  <c r="B6961" i="106" s="1"/>
  <c r="D6961" i="106" s="1"/>
  <c r="H65" i="29"/>
  <c r="B1035" i="106" s="1"/>
  <c r="D1035" i="106" s="1"/>
  <c r="B1028" i="106"/>
  <c r="D1028" i="106" s="1"/>
  <c r="K227" i="29"/>
  <c r="B1466" i="106" s="1"/>
  <c r="D1466" i="106" s="1"/>
  <c r="B1402" i="106"/>
  <c r="D1402" i="106" s="1"/>
  <c r="B5013" i="106"/>
  <c r="D5013" i="106" s="1"/>
  <c r="B5134" i="106"/>
  <c r="D5134" i="106" s="1"/>
  <c r="B6790" i="106"/>
  <c r="D6790" i="106" s="1"/>
  <c r="B5109" i="106"/>
  <c r="D5109" i="106" s="1"/>
  <c r="K190" i="29"/>
  <c r="B3009" i="106" s="1"/>
  <c r="D3009" i="106" s="1"/>
  <c r="B2991" i="106"/>
  <c r="D2991" i="106" s="1"/>
  <c r="B6898" i="106"/>
  <c r="D6898" i="106" s="1"/>
  <c r="K31" i="29"/>
  <c r="B6155" i="106"/>
  <c r="D6155" i="106" s="1"/>
  <c r="F22" i="34"/>
  <c r="B6313" i="106"/>
  <c r="D6313" i="106" s="1"/>
  <c r="B184" i="106"/>
  <c r="D184" i="106" s="1"/>
  <c r="G53" i="29"/>
  <c r="B966" i="106" s="1"/>
  <c r="D966" i="106" s="1"/>
  <c r="B964" i="106"/>
  <c r="D964" i="106" s="1"/>
  <c r="B7755" i="106"/>
  <c r="D7755" i="106" s="1"/>
  <c r="K44" i="4"/>
  <c r="B3584" i="106" s="1"/>
  <c r="D3584" i="106" s="1"/>
  <c r="B5079" i="106"/>
  <c r="D5079" i="106" s="1"/>
  <c r="H350" i="29"/>
  <c r="B3652" i="106"/>
  <c r="D3652" i="106" s="1"/>
  <c r="B838" i="106"/>
  <c r="D838" i="106" s="1"/>
  <c r="B3084" i="106"/>
  <c r="D3084" i="106" s="1"/>
  <c r="B88" i="106"/>
  <c r="D88" i="106" s="1"/>
  <c r="D71" i="36"/>
  <c r="B5012" i="106"/>
  <c r="D5012" i="106" s="1"/>
  <c r="B4362" i="106"/>
  <c r="D4362" i="106" s="1"/>
  <c r="F170" i="34"/>
  <c r="B7875" i="106" s="1"/>
  <c r="D7875" i="106" s="1"/>
  <c r="D17" i="171"/>
  <c r="B6102" i="106"/>
  <c r="D6102" i="106" s="1"/>
  <c r="B1528" i="106"/>
  <c r="D1528" i="106" s="1"/>
  <c r="B1429" i="106"/>
  <c r="D1429" i="106" s="1"/>
  <c r="K264" i="29"/>
  <c r="B1493" i="106" s="1"/>
  <c r="D1493" i="106" s="1"/>
  <c r="B981" i="106"/>
  <c r="D981" i="106" s="1"/>
  <c r="B4884" i="106"/>
  <c r="D4884" i="106" s="1"/>
  <c r="B5073" i="106"/>
  <c r="D5073" i="106" s="1"/>
  <c r="B2959" i="106"/>
  <c r="D2959" i="106" s="1"/>
  <c r="F122" i="5"/>
  <c r="B5599" i="106" s="1"/>
  <c r="D5599" i="106" s="1"/>
  <c r="B5593" i="106"/>
  <c r="D5593" i="106" s="1"/>
  <c r="B7683" i="106"/>
  <c r="D7683" i="106" s="1"/>
  <c r="B6257" i="106"/>
  <c r="D6257" i="106" s="1"/>
  <c r="B6184" i="106"/>
  <c r="D6184" i="106" s="1"/>
  <c r="F132" i="34"/>
  <c r="B7864" i="106" s="1"/>
  <c r="D7864" i="106" s="1"/>
  <c r="B4340" i="106"/>
  <c r="D4340" i="106" s="1"/>
  <c r="B7814" i="106"/>
  <c r="D7814" i="106" s="1"/>
  <c r="B4447" i="106"/>
  <c r="D4447" i="106" s="1"/>
  <c r="B6332" i="106"/>
  <c r="D6332" i="106" s="1"/>
  <c r="B790" i="106"/>
  <c r="D790" i="106" s="1"/>
  <c r="D53" i="29"/>
  <c r="B792" i="106" s="1"/>
  <c r="D792" i="106" s="1"/>
  <c r="B1244" i="106"/>
  <c r="D1244" i="106" s="1"/>
  <c r="B1262" i="106"/>
  <c r="D1262" i="106" s="1"/>
  <c r="B7006" i="106"/>
  <c r="D7006" i="106" s="1"/>
  <c r="K98" i="29"/>
  <c r="B7007" i="106" s="1"/>
  <c r="D7007" i="106" s="1"/>
  <c r="E38" i="4"/>
  <c r="B6286" i="106" s="1"/>
  <c r="D6286" i="106" s="1"/>
  <c r="B6243" i="106"/>
  <c r="D6243" i="106" s="1"/>
  <c r="B2952" i="106"/>
  <c r="D2952" i="106" s="1"/>
  <c r="K81" i="29"/>
  <c r="B2976" i="106" s="1"/>
  <c r="D2976" i="106" s="1"/>
  <c r="B6141" i="106"/>
  <c r="D6141" i="106" s="1"/>
  <c r="B7707" i="106"/>
  <c r="D7707" i="106" s="1"/>
  <c r="B7259" i="106"/>
  <c r="D7259" i="106" s="1"/>
  <c r="B1519" i="106"/>
  <c r="D1519" i="106" s="1"/>
  <c r="C303" i="29"/>
  <c r="K301" i="29"/>
  <c r="B5695" i="106"/>
  <c r="D5695" i="106" s="1"/>
  <c r="B5729" i="106"/>
  <c r="D5729" i="106" s="1"/>
  <c r="B619" i="106"/>
  <c r="D619" i="106" s="1"/>
  <c r="K284" i="29"/>
  <c r="B4166" i="106" s="1"/>
  <c r="D4166" i="106" s="1"/>
  <c r="B4165" i="106"/>
  <c r="D4165" i="106" s="1"/>
  <c r="B5743" i="106"/>
  <c r="D5743" i="106" s="1"/>
  <c r="B1041" i="106"/>
  <c r="D1041" i="106" s="1"/>
  <c r="B6092" i="106"/>
  <c r="D6092" i="106" s="1"/>
  <c r="B6724" i="106"/>
  <c r="D6724" i="106" s="1"/>
  <c r="B2953" i="106"/>
  <c r="D2953" i="106" s="1"/>
  <c r="K82" i="29"/>
  <c r="B2977" i="106" s="1"/>
  <c r="D2977" i="106" s="1"/>
  <c r="C350" i="29"/>
  <c r="B3617" i="106"/>
  <c r="D3617" i="106" s="1"/>
  <c r="K348" i="29"/>
  <c r="B5440" i="106"/>
  <c r="D5440" i="106" s="1"/>
  <c r="D209" i="5"/>
  <c r="B4412" i="106" s="1"/>
  <c r="D4412" i="106" s="1"/>
  <c r="B5872" i="106"/>
  <c r="D5872" i="106" s="1"/>
  <c r="B6107" i="106"/>
  <c r="D6107" i="106" s="1"/>
  <c r="B5142" i="106"/>
  <c r="D5142" i="106" s="1"/>
  <c r="B5243" i="106"/>
  <c r="D5243" i="106" s="1"/>
  <c r="B5057" i="106"/>
  <c r="D5057" i="106" s="1"/>
  <c r="B2772" i="106"/>
  <c r="D2772" i="106" s="1"/>
  <c r="I44" i="4"/>
  <c r="B3317" i="106" s="1"/>
  <c r="D3317" i="106" s="1"/>
  <c r="B5994" i="106"/>
  <c r="D5994" i="106" s="1"/>
  <c r="B7658" i="106"/>
  <c r="D7658" i="106" s="1"/>
  <c r="B6333" i="106"/>
  <c r="D6333" i="106" s="1"/>
  <c r="B6617" i="106"/>
  <c r="D6617" i="106" s="1"/>
  <c r="F252" i="5"/>
  <c r="B6836" i="106" s="1"/>
  <c r="D6836" i="106" s="1"/>
  <c r="B833" i="106"/>
  <c r="D833" i="106" s="1"/>
  <c r="B7039" i="106"/>
  <c r="D7039" i="106" s="1"/>
  <c r="C184" i="29"/>
  <c r="B4081" i="106"/>
  <c r="D4081" i="106" s="1"/>
  <c r="K180" i="29"/>
  <c r="B3578" i="106"/>
  <c r="D3578" i="106" s="1"/>
  <c r="B6381" i="106"/>
  <c r="D6381" i="106" s="1"/>
  <c r="B5925" i="106"/>
  <c r="D5925" i="106" s="1"/>
  <c r="K339" i="29"/>
  <c r="B7213" i="106" s="1"/>
  <c r="D7213" i="106" s="1"/>
  <c r="B7212" i="106"/>
  <c r="D7212" i="106" s="1"/>
  <c r="B6963" i="106"/>
  <c r="D6963" i="106" s="1"/>
  <c r="I72" i="29"/>
  <c r="B6973" i="106" s="1"/>
  <c r="D6973" i="106" s="1"/>
  <c r="B7032" i="106"/>
  <c r="D7032" i="106" s="1"/>
  <c r="B5347" i="106"/>
  <c r="D5347" i="106" s="1"/>
  <c r="B7728" i="106"/>
  <c r="D7728" i="106" s="1"/>
  <c r="B6957" i="106"/>
  <c r="D6957" i="106" s="1"/>
  <c r="K18" i="29"/>
  <c r="B1100" i="106" s="1"/>
  <c r="D1100" i="106" s="1"/>
  <c r="B712" i="106"/>
  <c r="D712" i="106" s="1"/>
  <c r="B975" i="106"/>
  <c r="D975" i="106" s="1"/>
  <c r="B6178" i="106"/>
  <c r="D6178" i="106" s="1"/>
  <c r="K138" i="29"/>
  <c r="B2094" i="106" s="1"/>
  <c r="D2094" i="106" s="1"/>
  <c r="B2092" i="106"/>
  <c r="D2092" i="106" s="1"/>
  <c r="B4366" i="106"/>
  <c r="D4366" i="106" s="1"/>
  <c r="I175" i="5"/>
  <c r="B914" i="106"/>
  <c r="D914" i="106" s="1"/>
  <c r="B2908" i="106"/>
  <c r="D2908" i="106" s="1"/>
  <c r="B179" i="106"/>
  <c r="D179" i="106" s="1"/>
  <c r="B5344" i="106"/>
  <c r="D5344" i="106" s="1"/>
  <c r="B4945" i="106"/>
  <c r="D4945" i="106" s="1"/>
  <c r="B7022" i="106"/>
  <c r="D7022" i="106" s="1"/>
  <c r="B4346" i="106"/>
  <c r="D4346" i="106" s="1"/>
  <c r="B7811" i="106"/>
  <c r="D7811" i="106" s="1"/>
  <c r="C155" i="5"/>
  <c r="B5175" i="106"/>
  <c r="D5175" i="106" s="1"/>
  <c r="K145" i="29"/>
  <c r="B2811" i="106" s="1"/>
  <c r="D2811" i="106" s="1"/>
  <c r="B2808" i="106"/>
  <c r="D2808" i="106" s="1"/>
  <c r="B6162" i="106"/>
  <c r="D6162" i="106" s="1"/>
  <c r="B5432" i="106"/>
  <c r="D5432" i="106" s="1"/>
  <c r="B1009" i="106"/>
  <c r="D1009" i="106" s="1"/>
  <c r="B7700" i="106"/>
  <c r="D7700" i="106" s="1"/>
  <c r="K216" i="29"/>
  <c r="B7073" i="106"/>
  <c r="D7073" i="106" s="1"/>
  <c r="B6234" i="106"/>
  <c r="D6234" i="106" s="1"/>
  <c r="B806" i="106"/>
  <c r="D806" i="106" s="1"/>
  <c r="B5586" i="106"/>
  <c r="D5586" i="106" s="1"/>
  <c r="B6956" i="106"/>
  <c r="D6956" i="106" s="1"/>
  <c r="B7227" i="106"/>
  <c r="D7227" i="106" s="1"/>
  <c r="J350" i="29"/>
  <c r="B4918" i="106"/>
  <c r="D4918" i="106" s="1"/>
  <c r="B5312" i="106"/>
  <c r="D5312" i="106" s="1"/>
  <c r="F161" i="34"/>
  <c r="B7868" i="106" s="1"/>
  <c r="D7868" i="106" s="1"/>
  <c r="B5124" i="106"/>
  <c r="D5124" i="106" s="1"/>
  <c r="B4343" i="106"/>
  <c r="D4343" i="106" s="1"/>
  <c r="B6913" i="106"/>
  <c r="D6913" i="106" s="1"/>
  <c r="B6176" i="106"/>
  <c r="D6176" i="106" s="1"/>
  <c r="B6334" i="106"/>
  <c r="D6334" i="106" s="1"/>
  <c r="B3234" i="106"/>
  <c r="D3234" i="106" s="1"/>
  <c r="K75" i="29"/>
  <c r="B756" i="106"/>
  <c r="D756" i="106" s="1"/>
  <c r="B6669" i="106"/>
  <c r="D6669" i="106" s="1"/>
  <c r="B6085" i="106"/>
  <c r="D6085" i="106" s="1"/>
  <c r="B4181" i="106"/>
  <c r="D4181" i="106" s="1"/>
  <c r="B4795" i="106"/>
  <c r="D4795" i="106" s="1"/>
  <c r="B4312" i="106"/>
  <c r="D4312" i="106" s="1"/>
  <c r="B6143" i="106"/>
  <c r="D6143" i="106" s="1"/>
  <c r="B6374" i="106"/>
  <c r="D6374" i="106" s="1"/>
  <c r="K169" i="5"/>
  <c r="B5000" i="106" s="1"/>
  <c r="D5000" i="106" s="1"/>
  <c r="B7689" i="106"/>
  <c r="D7689" i="106" s="1"/>
  <c r="B4313" i="106"/>
  <c r="D4313" i="106" s="1"/>
  <c r="F30" i="34"/>
  <c r="B7823" i="106" s="1"/>
  <c r="B5860" i="106"/>
  <c r="D5860" i="106" s="1"/>
  <c r="B6668" i="106"/>
  <c r="D6668" i="106" s="1"/>
  <c r="B6293" i="106"/>
  <c r="D6293" i="106" s="1"/>
  <c r="B5790" i="106"/>
  <c r="D5790" i="106" s="1"/>
  <c r="G204" i="5"/>
  <c r="B5803" i="106" s="1"/>
  <c r="D5803" i="106" s="1"/>
  <c r="B4085" i="106"/>
  <c r="D4085" i="106" s="1"/>
  <c r="G184" i="29"/>
  <c r="F19" i="34"/>
  <c r="B5567" i="106"/>
  <c r="D5567" i="106" s="1"/>
  <c r="B6775" i="106"/>
  <c r="D6775" i="106" s="1"/>
  <c r="B6886" i="106"/>
  <c r="D6886" i="106" s="1"/>
  <c r="K25" i="29"/>
  <c r="B1552" i="106"/>
  <c r="D1552" i="106" s="1"/>
  <c r="K34" i="3"/>
  <c r="B3565" i="106" s="1"/>
  <c r="D3565" i="106" s="1"/>
  <c r="B6132" i="106"/>
  <c r="D6132" i="106" s="1"/>
  <c r="B4409" i="106"/>
  <c r="D4409" i="106" s="1"/>
  <c r="B3058" i="106"/>
  <c r="D3058" i="106" s="1"/>
  <c r="B6322" i="106"/>
  <c r="D6322" i="106" s="1"/>
  <c r="B7113" i="106"/>
  <c r="D7113" i="106" s="1"/>
  <c r="B6000" i="106"/>
  <c r="D6000" i="106" s="1"/>
  <c r="K122" i="5"/>
  <c r="B3549" i="106"/>
  <c r="D3549" i="106" s="1"/>
  <c r="B6114" i="106"/>
  <c r="D6114" i="106" s="1"/>
  <c r="K337" i="29"/>
  <c r="H340" i="29"/>
  <c r="B7214" i="106" s="1"/>
  <c r="D7214" i="106" s="1"/>
  <c r="B7208" i="106"/>
  <c r="D7208" i="106" s="1"/>
  <c r="B4117" i="106"/>
  <c r="D4117" i="106" s="1"/>
  <c r="G18" i="4"/>
  <c r="B4176" i="106" s="1"/>
  <c r="D4176" i="106" s="1"/>
  <c r="B7660" i="106"/>
  <c r="D7660" i="106" s="1"/>
  <c r="B6136" i="106"/>
  <c r="D6136" i="106" s="1"/>
  <c r="D44" i="4"/>
  <c r="D77" i="4" s="1"/>
  <c r="B3238" i="106" s="1"/>
  <c r="D3238" i="106" s="1"/>
  <c r="B7749" i="106"/>
  <c r="D7749" i="106" s="1"/>
  <c r="B5058" i="106"/>
  <c r="D5058" i="106" s="1"/>
  <c r="B4804" i="106"/>
  <c r="D4804" i="106" s="1"/>
  <c r="F181" i="5"/>
  <c r="B5658" i="106" s="1"/>
  <c r="D5658" i="106" s="1"/>
  <c r="B5361" i="106"/>
  <c r="D5361" i="106" s="1"/>
  <c r="D122" i="5"/>
  <c r="B5367" i="106" s="1"/>
  <c r="D5367" i="106" s="1"/>
  <c r="B5919" i="106"/>
  <c r="D5919" i="106" s="1"/>
  <c r="I18" i="5"/>
  <c r="B5923" i="106" s="1"/>
  <c r="D5923" i="106" s="1"/>
  <c r="B1026" i="106"/>
  <c r="D1026" i="106" s="1"/>
  <c r="F28" i="34"/>
  <c r="B6315" i="106"/>
  <c r="D6315" i="106" s="1"/>
  <c r="B6177" i="106"/>
  <c r="D6177" i="106" s="1"/>
  <c r="B6662" i="106"/>
  <c r="D6662" i="106" s="1"/>
  <c r="B7081" i="106"/>
  <c r="D7081" i="106" s="1"/>
  <c r="K248" i="29"/>
  <c r="B7082" i="106" s="1"/>
  <c r="D7082" i="106" s="1"/>
  <c r="B6231" i="106"/>
  <c r="D6231" i="106" s="1"/>
  <c r="B4189" i="106"/>
  <c r="D4189" i="106" s="1"/>
  <c r="F166" i="34"/>
  <c r="B7873" i="106" s="1"/>
  <c r="D7873" i="106" s="1"/>
  <c r="B6290" i="106"/>
  <c r="D6290" i="106" s="1"/>
  <c r="D73" i="36"/>
  <c r="B6241" i="106"/>
  <c r="D6241" i="106" s="1"/>
  <c r="B5496" i="106"/>
  <c r="D5496" i="106" s="1"/>
  <c r="B5735" i="106"/>
  <c r="D5735" i="106" s="1"/>
  <c r="K64" i="29"/>
  <c r="B743" i="106"/>
  <c r="D743" i="106" s="1"/>
  <c r="B5095" i="106"/>
  <c r="D5095" i="106" s="1"/>
  <c r="B7152" i="106"/>
  <c r="D7152" i="106" s="1"/>
  <c r="B5765" i="106"/>
  <c r="D5765" i="106" s="1"/>
  <c r="B3639" i="106"/>
  <c r="D3639" i="106" s="1"/>
  <c r="K249" i="29"/>
  <c r="B7084" i="106" s="1"/>
  <c r="D7084" i="106" s="1"/>
  <c r="B7083" i="106"/>
  <c r="D7083" i="106" s="1"/>
  <c r="B6622" i="106"/>
  <c r="D6622" i="106" s="1"/>
  <c r="F134" i="34"/>
  <c r="J175" i="5"/>
  <c r="B6400" i="106" s="1"/>
  <c r="D6400" i="106" s="1"/>
  <c r="B6398" i="106"/>
  <c r="D6398" i="106" s="1"/>
  <c r="B5345" i="106"/>
  <c r="D5345" i="106" s="1"/>
  <c r="B5224" i="106"/>
  <c r="D5224" i="106" s="1"/>
  <c r="C175" i="5"/>
  <c r="B5225" i="106" s="1"/>
  <c r="D5225" i="106" s="1"/>
  <c r="B4421" i="106"/>
  <c r="D4421" i="106" s="1"/>
  <c r="B6618" i="106"/>
  <c r="D6618" i="106" s="1"/>
  <c r="G252" i="5"/>
  <c r="B6837" i="106" s="1"/>
  <c r="D6837" i="106" s="1"/>
  <c r="B6118" i="106"/>
  <c r="D6118" i="106" s="1"/>
  <c r="B7670" i="106"/>
  <c r="D7670" i="106" s="1"/>
  <c r="B1265" i="106"/>
  <c r="D1265" i="106" s="1"/>
  <c r="B6094" i="106"/>
  <c r="D6094" i="106" s="1"/>
  <c r="B1534" i="106"/>
  <c r="D1534" i="106" s="1"/>
  <c r="B7671" i="106"/>
  <c r="D7671" i="106" s="1"/>
  <c r="B4380" i="106"/>
  <c r="D4380" i="106" s="1"/>
  <c r="B6740" i="106"/>
  <c r="D6740" i="106" s="1"/>
  <c r="B6827" i="106"/>
  <c r="D6827" i="106" s="1"/>
  <c r="B3531" i="106"/>
  <c r="D3531" i="106" s="1"/>
  <c r="B6170" i="106"/>
  <c r="D6170" i="106" s="1"/>
  <c r="B3295" i="106"/>
  <c r="D3295" i="106" s="1"/>
  <c r="B6112" i="106"/>
  <c r="D6112" i="106" s="1"/>
  <c r="B6738" i="106"/>
  <c r="D6738" i="106" s="1"/>
  <c r="B5431" i="106"/>
  <c r="D5431" i="106" s="1"/>
  <c r="D204" i="5"/>
  <c r="B5444" i="106" s="1"/>
  <c r="D5444" i="106" s="1"/>
  <c r="B774" i="106"/>
  <c r="D774" i="106" s="1"/>
  <c r="B6816" i="106"/>
  <c r="D6816" i="106" s="1"/>
  <c r="B7254" i="106"/>
  <c r="D7254" i="106" s="1"/>
  <c r="B906" i="106"/>
  <c r="D906" i="106" s="1"/>
  <c r="F53" i="29"/>
  <c r="B908" i="106" s="1"/>
  <c r="D908" i="106" s="1"/>
  <c r="B7133" i="106"/>
  <c r="D7133" i="106" s="1"/>
  <c r="B7061" i="106"/>
  <c r="D7061" i="106" s="1"/>
  <c r="B842" i="106"/>
  <c r="D842" i="106" s="1"/>
  <c r="B6359" i="106"/>
  <c r="D6359" i="106" s="1"/>
  <c r="B6710" i="106"/>
  <c r="D6710" i="106" s="1"/>
  <c r="B5654" i="106"/>
  <c r="D5654" i="106" s="1"/>
  <c r="F175" i="5"/>
  <c r="B5655" i="106" s="1"/>
  <c r="D5655" i="106" s="1"/>
  <c r="B949" i="106"/>
  <c r="D949" i="106" s="1"/>
  <c r="J13" i="3"/>
  <c r="B6124" i="106" s="1"/>
  <c r="D6124" i="106" s="1"/>
  <c r="B6219" i="106"/>
  <c r="D6219" i="106" s="1"/>
  <c r="B6311" i="106"/>
  <c r="D6311" i="106" s="1"/>
  <c r="B6113" i="106"/>
  <c r="D6113" i="106" s="1"/>
  <c r="B6759" i="106"/>
  <c r="D6759" i="106" s="1"/>
  <c r="B5139" i="106"/>
  <c r="D5139" i="106" s="1"/>
  <c r="B2812" i="106"/>
  <c r="D2812" i="106" s="1"/>
  <c r="K165" i="29"/>
  <c r="B2818" i="106" s="1"/>
  <c r="D2818" i="106" s="1"/>
  <c r="B4878" i="106"/>
  <c r="D4878" i="106" s="1"/>
  <c r="K13" i="3"/>
  <c r="B3552" i="106" s="1"/>
  <c r="D3552" i="106" s="1"/>
  <c r="B3548" i="106"/>
  <c r="D3548" i="106" s="1"/>
  <c r="B4336" i="106"/>
  <c r="D4336" i="106" s="1"/>
  <c r="B7701" i="106"/>
  <c r="D7701" i="106" s="1"/>
  <c r="C132" i="5"/>
  <c r="B5133" i="106"/>
  <c r="D5133" i="106" s="1"/>
  <c r="B4361" i="106"/>
  <c r="D4361" i="106" s="1"/>
  <c r="B7043" i="106"/>
  <c r="D7043" i="106" s="1"/>
  <c r="B6643" i="106"/>
  <c r="D6643" i="106" s="1"/>
  <c r="B7777" i="106"/>
  <c r="D7777" i="106" s="1"/>
  <c r="K157" i="29"/>
  <c r="H160" i="29"/>
  <c r="B7053" i="106" s="1"/>
  <c r="D7053" i="106" s="1"/>
  <c r="B851" i="106"/>
  <c r="D851" i="106" s="1"/>
  <c r="E57" i="29"/>
  <c r="B853" i="106" s="1"/>
  <c r="D853" i="106" s="1"/>
  <c r="B6708" i="106"/>
  <c r="D6708" i="106" s="1"/>
  <c r="K108" i="29"/>
  <c r="B2796" i="106" s="1"/>
  <c r="D2796" i="106" s="1"/>
  <c r="B2792" i="106"/>
  <c r="D2792" i="106" s="1"/>
  <c r="G122" i="5"/>
  <c r="B5748" i="106" s="1"/>
  <c r="D5748" i="106" s="1"/>
  <c r="B5742" i="106"/>
  <c r="D5742" i="106" s="1"/>
  <c r="B6135" i="106"/>
  <c r="D6135" i="106" s="1"/>
  <c r="B7639" i="106"/>
  <c r="B6922" i="106"/>
  <c r="D6922" i="106" s="1"/>
  <c r="F109" i="34"/>
  <c r="B5167" i="106"/>
  <c r="D5167" i="106" s="1"/>
  <c r="B7258" i="106"/>
  <c r="D7258" i="106" s="1"/>
  <c r="B5353" i="106"/>
  <c r="D5353" i="106" s="1"/>
  <c r="B788" i="106"/>
  <c r="D788" i="106" s="1"/>
  <c r="B6088" i="106"/>
  <c r="D6088" i="106" s="1"/>
  <c r="B7128" i="106"/>
  <c r="D7128" i="106" s="1"/>
  <c r="B6298" i="106"/>
  <c r="D6298" i="106" s="1"/>
  <c r="J12" i="5"/>
  <c r="B11" i="7"/>
  <c r="B4408" i="106"/>
  <c r="D4408" i="106" s="1"/>
  <c r="B5115" i="106"/>
  <c r="D5115" i="106" s="1"/>
  <c r="F103" i="34"/>
  <c r="B7840" i="106" s="1"/>
  <c r="D7840" i="106" s="1"/>
  <c r="B3388" i="106"/>
  <c r="D3388" i="106" s="1"/>
  <c r="K217" i="29"/>
  <c r="B3391" i="106" s="1"/>
  <c r="D3391" i="106" s="1"/>
  <c r="B3641" i="106"/>
  <c r="D3641" i="106" s="1"/>
  <c r="B5105" i="106"/>
  <c r="D5105" i="106" s="1"/>
  <c r="B7768" i="106"/>
  <c r="D7768" i="106" s="1"/>
  <c r="B5921" i="106"/>
  <c r="D5921" i="106" s="1"/>
  <c r="B3618" i="106"/>
  <c r="D3618" i="106" s="1"/>
  <c r="K349" i="29"/>
  <c r="B3669" i="106" s="1"/>
  <c r="D3669" i="106" s="1"/>
  <c r="B3581" i="106"/>
  <c r="D3581" i="106" s="1"/>
  <c r="B86" i="106"/>
  <c r="D86" i="106" s="1"/>
  <c r="B775" i="106"/>
  <c r="D775" i="106" s="1"/>
  <c r="B4855" i="106"/>
  <c r="D4855" i="106" s="1"/>
  <c r="B5512" i="106"/>
  <c r="D5512" i="106" s="1"/>
  <c r="B145" i="106"/>
  <c r="D145" i="106" s="1"/>
  <c r="F13" i="3"/>
  <c r="B157" i="106" s="1"/>
  <c r="D157" i="106" s="1"/>
  <c r="B5885" i="106"/>
  <c r="D5885" i="106" s="1"/>
  <c r="B957" i="106"/>
  <c r="D957" i="106" s="1"/>
  <c r="B986" i="106"/>
  <c r="D986" i="106" s="1"/>
  <c r="B5528" i="106"/>
  <c r="D5528" i="106" s="1"/>
  <c r="E122" i="5"/>
  <c r="B3371" i="106"/>
  <c r="D3371" i="106" s="1"/>
  <c r="B152" i="106"/>
  <c r="D152" i="106" s="1"/>
  <c r="B5585" i="106"/>
  <c r="D5585" i="106" s="1"/>
  <c r="B4" i="7"/>
  <c r="C12" i="5"/>
  <c r="B5061" i="106"/>
  <c r="D5061" i="106" s="1"/>
  <c r="K11" i="29"/>
  <c r="B7257" i="106"/>
  <c r="D7257" i="106" s="1"/>
  <c r="B7229" i="106"/>
  <c r="D7229" i="106" s="1"/>
  <c r="B6259" i="106"/>
  <c r="D6259" i="106" s="1"/>
  <c r="B6850" i="106"/>
  <c r="D6850" i="106" s="1"/>
  <c r="B6087" i="106"/>
  <c r="D6087" i="106" s="1"/>
  <c r="B5876" i="106"/>
  <c r="D5876" i="106" s="1"/>
  <c r="B5853" i="106"/>
  <c r="D5853" i="106" s="1"/>
  <c r="H252" i="5"/>
  <c r="B6619" i="106"/>
  <c r="D6619" i="106" s="1"/>
  <c r="B6171" i="106"/>
  <c r="D6171" i="106" s="1"/>
  <c r="B4076" i="106"/>
  <c r="D4076" i="106" s="1"/>
  <c r="B6629" i="106"/>
  <c r="D6629" i="106" s="1"/>
  <c r="B6151" i="106"/>
  <c r="D6151" i="106" s="1"/>
  <c r="B6083" i="106"/>
  <c r="D6083" i="106" s="1"/>
  <c r="B7698" i="106"/>
  <c r="D7698" i="106" s="1"/>
  <c r="B5426" i="106"/>
  <c r="D5426" i="106" s="1"/>
  <c r="D188" i="5"/>
  <c r="B6966" i="106"/>
  <c r="D6966" i="106" s="1"/>
  <c r="G76" i="4"/>
  <c r="B3260" i="106" s="1"/>
  <c r="D3260" i="106" s="1"/>
  <c r="B3259" i="106"/>
  <c r="D3259" i="106" s="1"/>
  <c r="B7676" i="106"/>
  <c r="D7676" i="106" s="1"/>
  <c r="K364" i="29"/>
  <c r="B7746" i="106" s="1"/>
  <c r="D7746" i="106" s="1"/>
  <c r="B7745" i="106"/>
  <c r="D7745" i="106" s="1"/>
  <c r="B6935" i="106"/>
  <c r="D6935" i="106" s="1"/>
  <c r="B6806" i="106"/>
  <c r="D6806" i="106" s="1"/>
  <c r="B6907" i="106"/>
  <c r="D6907" i="106" s="1"/>
  <c r="B3579" i="106"/>
  <c r="D3579" i="106" s="1"/>
  <c r="B6638" i="106"/>
  <c r="D6638" i="106" s="1"/>
  <c r="B6960" i="106"/>
  <c r="D6960" i="106" s="1"/>
  <c r="B6989" i="106"/>
  <c r="D6989" i="106" s="1"/>
  <c r="K89" i="29"/>
  <c r="B6990" i="106" s="1"/>
  <c r="D6990" i="106" s="1"/>
  <c r="B2799" i="106"/>
  <c r="D2799" i="106" s="1"/>
  <c r="B7668" i="106"/>
  <c r="D7668" i="106" s="1"/>
  <c r="B5520" i="106"/>
  <c r="D5520" i="106" s="1"/>
  <c r="E127" i="29"/>
  <c r="B1239" i="106" s="1"/>
  <c r="D1239" i="106" s="1"/>
  <c r="B1235" i="106"/>
  <c r="D1235" i="106" s="1"/>
  <c r="B6909" i="106"/>
  <c r="D6909" i="106" s="1"/>
  <c r="B6642" i="106"/>
  <c r="D6642" i="106" s="1"/>
  <c r="F137" i="34"/>
  <c r="B6130" i="106"/>
  <c r="D6130" i="106" s="1"/>
  <c r="H34" i="3"/>
  <c r="B211" i="106" s="1"/>
  <c r="D211" i="106" s="1"/>
  <c r="B2791" i="106"/>
  <c r="D2791" i="106" s="1"/>
  <c r="K107" i="29"/>
  <c r="B2795" i="106" s="1"/>
  <c r="D2795" i="106" s="1"/>
  <c r="B6095" i="106"/>
  <c r="D6095" i="106" s="1"/>
  <c r="K259" i="29"/>
  <c r="D261" i="29"/>
  <c r="B1427" i="106" s="1"/>
  <c r="D1427" i="106" s="1"/>
  <c r="B1425" i="106"/>
  <c r="D1425" i="106" s="1"/>
  <c r="B3083" i="106"/>
  <c r="D3083" i="106" s="1"/>
  <c r="B4114" i="106"/>
  <c r="D4114" i="106" s="1"/>
  <c r="D18" i="4"/>
  <c r="B4132" i="106" s="1"/>
  <c r="D4132" i="106" s="1"/>
  <c r="F110" i="34"/>
  <c r="B7845" i="106" s="1"/>
  <c r="D7845" i="106" s="1"/>
  <c r="B4351" i="106"/>
  <c r="D4351" i="106" s="1"/>
  <c r="B4316" i="106"/>
  <c r="D4316" i="106" s="1"/>
  <c r="E100" i="29"/>
  <c r="B7011" i="106" s="1"/>
  <c r="D7011" i="106" s="1"/>
  <c r="K99" i="29"/>
  <c r="B7010" i="106" s="1"/>
  <c r="D7010" i="106" s="1"/>
  <c r="B7008" i="106"/>
  <c r="D7008" i="106" s="1"/>
  <c r="B3625" i="106"/>
  <c r="D3625" i="106" s="1"/>
  <c r="B4227" i="106"/>
  <c r="D4227" i="106" s="1"/>
  <c r="B6099" i="106"/>
  <c r="D6099" i="106" s="1"/>
  <c r="B722" i="106"/>
  <c r="D722" i="106" s="1"/>
  <c r="K37" i="29"/>
  <c r="B1110" i="106" s="1"/>
  <c r="D1110" i="106" s="1"/>
  <c r="B5993" i="106"/>
  <c r="D5993" i="106" s="1"/>
  <c r="K67" i="5"/>
  <c r="B5995" i="106" s="1"/>
  <c r="D5995" i="106" s="1"/>
  <c r="B6959" i="106"/>
  <c r="D6959" i="106" s="1"/>
  <c r="B7810" i="106"/>
  <c r="D7810" i="106" s="1"/>
  <c r="B2813" i="106"/>
  <c r="D2813" i="106" s="1"/>
  <c r="K166" i="29"/>
  <c r="B2819" i="106" s="1"/>
  <c r="D2819" i="106" s="1"/>
  <c r="B7183" i="106"/>
  <c r="D7183" i="106" s="1"/>
  <c r="B5523" i="106"/>
  <c r="D5523" i="106" s="1"/>
  <c r="B4394" i="106"/>
  <c r="D4394" i="106" s="1"/>
  <c r="B3583" i="106"/>
  <c r="D3583" i="106" s="1"/>
  <c r="B6805" i="106"/>
  <c r="D6805" i="106" s="1"/>
  <c r="B4210" i="106"/>
  <c r="D4210" i="106" s="1"/>
  <c r="K206" i="29"/>
  <c r="B6890" i="106"/>
  <c r="D6890" i="106" s="1"/>
  <c r="K27" i="29"/>
  <c r="B6938" i="106"/>
  <c r="D6938" i="106" s="1"/>
  <c r="B6939" i="106"/>
  <c r="D6939" i="106" s="1"/>
  <c r="B4217" i="106"/>
  <c r="D4217" i="106" s="1"/>
  <c r="B7151" i="106"/>
  <c r="D7151" i="106" s="1"/>
  <c r="B6882" i="106"/>
  <c r="D6882" i="106" s="1"/>
  <c r="K23" i="29"/>
  <c r="B2831" i="106"/>
  <c r="D2831" i="106" s="1"/>
  <c r="K201" i="29"/>
  <c r="B2841" i="106" s="1"/>
  <c r="D2841" i="106" s="1"/>
  <c r="B5164" i="106"/>
  <c r="D5164" i="106" s="1"/>
  <c r="B6970" i="106"/>
  <c r="D6970" i="106" s="1"/>
  <c r="B6714" i="106"/>
  <c r="D6714" i="106" s="1"/>
  <c r="B104" i="106"/>
  <c r="D104" i="106" s="1"/>
  <c r="B3634" i="106"/>
  <c r="D3634" i="106" s="1"/>
  <c r="B5391" i="106"/>
  <c r="D5391" i="106" s="1"/>
  <c r="D155" i="5"/>
  <c r="B5394" i="106" s="1"/>
  <c r="D5394" i="106" s="1"/>
  <c r="B6878" i="106"/>
  <c r="D6878" i="106" s="1"/>
  <c r="K21" i="29"/>
  <c r="B4881" i="106"/>
  <c r="D4881" i="106" s="1"/>
  <c r="B5917" i="106"/>
  <c r="D5917" i="106" s="1"/>
  <c r="E67" i="5"/>
  <c r="B5521" i="106" s="1"/>
  <c r="D5521" i="106" s="1"/>
  <c r="B5519" i="106"/>
  <c r="D5519" i="106" s="1"/>
  <c r="B6716" i="106"/>
  <c r="D6716" i="106" s="1"/>
  <c r="B5665" i="106"/>
  <c r="D5665" i="106" s="1"/>
  <c r="B4806" i="106"/>
  <c r="D4806" i="106" s="1"/>
  <c r="B7677" i="106"/>
  <c r="D7677" i="106" s="1"/>
  <c r="B6734" i="106"/>
  <c r="D6734" i="106" s="1"/>
  <c r="D65" i="29"/>
  <c r="B803" i="106" s="1"/>
  <c r="D803" i="106" s="1"/>
  <c r="B796" i="106"/>
  <c r="D796" i="106" s="1"/>
  <c r="B7692" i="106"/>
  <c r="D7692" i="106" s="1"/>
  <c r="B6168" i="106"/>
  <c r="D6168" i="106" s="1"/>
  <c r="D277" i="29"/>
  <c r="B1444" i="106" s="1"/>
  <c r="D1444" i="106" s="1"/>
  <c r="K272" i="29"/>
  <c r="B1437" i="106"/>
  <c r="D1437" i="106" s="1"/>
  <c r="B5187" i="106"/>
  <c r="D5187" i="106" s="1"/>
  <c r="F114" i="34"/>
  <c r="B7848" i="106" s="1"/>
  <c r="D7848" i="106" s="1"/>
  <c r="B6314" i="106"/>
  <c r="D6314" i="106" s="1"/>
  <c r="F91" i="34"/>
  <c r="B6791" i="106"/>
  <c r="D6791" i="106" s="1"/>
  <c r="D238" i="29"/>
  <c r="K232" i="29"/>
  <c r="B1411" i="106"/>
  <c r="D1411" i="106" s="1"/>
  <c r="I47" i="4"/>
  <c r="C44" i="4"/>
  <c r="B7748" i="106"/>
  <c r="D7748" i="106" s="1"/>
  <c r="B1220" i="106"/>
  <c r="D1220" i="106" s="1"/>
  <c r="K123" i="29"/>
  <c r="B1275" i="106" s="1"/>
  <c r="D1275" i="106" s="1"/>
  <c r="B4882" i="106"/>
  <c r="D4882" i="106" s="1"/>
  <c r="B5883" i="106"/>
  <c r="D5883" i="106" s="1"/>
  <c r="B6645" i="106"/>
  <c r="D6645" i="106" s="1"/>
  <c r="B6946" i="106"/>
  <c r="D6946" i="106" s="1"/>
  <c r="B6167" i="106"/>
  <c r="D6167" i="106" s="1"/>
  <c r="B928" i="106"/>
  <c r="D928" i="106" s="1"/>
  <c r="B865" i="106"/>
  <c r="D865" i="106" s="1"/>
  <c r="B5590" i="106"/>
  <c r="D5590" i="106" s="1"/>
  <c r="B501" i="106"/>
  <c r="D501" i="106" s="1"/>
  <c r="B1038" i="106"/>
  <c r="D1038" i="106" s="1"/>
  <c r="B7659" i="106"/>
  <c r="D7659" i="106" s="1"/>
  <c r="C40" i="5"/>
  <c r="B5087" i="106" s="1"/>
  <c r="D5087" i="106" s="1"/>
  <c r="B5072" i="106"/>
  <c r="D5072" i="106" s="1"/>
  <c r="B899" i="106"/>
  <c r="D899" i="106" s="1"/>
  <c r="B7108" i="106"/>
  <c r="D7108" i="106" s="1"/>
  <c r="K307" i="29"/>
  <c r="B4099" i="106" s="1"/>
  <c r="D4099" i="106" s="1"/>
  <c r="K22" i="29"/>
  <c r="F41" i="34" s="1"/>
  <c r="B6880" i="106"/>
  <c r="D6880" i="106" s="1"/>
  <c r="B5352" i="106"/>
  <c r="D5352" i="106" s="1"/>
  <c r="H194" i="29"/>
  <c r="B2995" i="106"/>
  <c r="D2995" i="106" s="1"/>
  <c r="B5880" i="106"/>
  <c r="D5880" i="106" s="1"/>
  <c r="B6715" i="106"/>
  <c r="D6715" i="106" s="1"/>
  <c r="B4338" i="106"/>
  <c r="D4338" i="106" s="1"/>
  <c r="B6154" i="106"/>
  <c r="D6154" i="106" s="1"/>
  <c r="B618" i="106"/>
  <c r="D618" i="106" s="1"/>
  <c r="B6244" i="106"/>
  <c r="D6244" i="106" s="1"/>
  <c r="B6712" i="106"/>
  <c r="D6712" i="106" s="1"/>
  <c r="F144" i="34"/>
  <c r="B6770" i="106"/>
  <c r="D6770" i="106" s="1"/>
  <c r="B7662" i="106"/>
  <c r="D7662" i="106" s="1"/>
  <c r="B65" i="106"/>
  <c r="D65" i="106" s="1"/>
  <c r="C13" i="3"/>
  <c r="B77" i="106" s="1"/>
  <c r="D77" i="106" s="1"/>
  <c r="F131" i="34"/>
  <c r="B7863" i="106" s="1"/>
  <c r="D7863" i="106" s="1"/>
  <c r="B5280" i="106"/>
  <c r="D5280" i="106" s="1"/>
  <c r="C209" i="5"/>
  <c r="B5256" i="106"/>
  <c r="D5256" i="106" s="1"/>
  <c r="B4355" i="106"/>
  <c r="D4355" i="106" s="1"/>
  <c r="B801" i="106"/>
  <c r="D801" i="106" s="1"/>
  <c r="B7091" i="106"/>
  <c r="D7091" i="106" s="1"/>
  <c r="K253" i="29"/>
  <c r="B7092" i="106" s="1"/>
  <c r="D7092" i="106" s="1"/>
  <c r="B5354" i="106"/>
  <c r="D5354" i="106" s="1"/>
  <c r="B7196" i="106"/>
  <c r="D7196" i="106" s="1"/>
  <c r="K91" i="29"/>
  <c r="B6994" i="106" s="1"/>
  <c r="D6994" i="106" s="1"/>
  <c r="B6993" i="106"/>
  <c r="D6993" i="106" s="1"/>
  <c r="B202" i="106"/>
  <c r="D202" i="106" s="1"/>
  <c r="B5458" i="106"/>
  <c r="D5458" i="106" s="1"/>
  <c r="F31" i="34"/>
  <c r="B7824" i="106" s="1"/>
  <c r="D217" i="5"/>
  <c r="B5470" i="106" s="1"/>
  <c r="D5470" i="106" s="1"/>
  <c r="B6137" i="106"/>
  <c r="D6137" i="106" s="1"/>
  <c r="B5757" i="106"/>
  <c r="D5757" i="106" s="1"/>
  <c r="B6771" i="106"/>
  <c r="D6771" i="106" s="1"/>
  <c r="B7150" i="106"/>
  <c r="D7150" i="106" s="1"/>
  <c r="B1341" i="106"/>
  <c r="D1341" i="106" s="1"/>
  <c r="B6328" i="106"/>
  <c r="D6328" i="106" s="1"/>
  <c r="B4868" i="106"/>
  <c r="D4868" i="106" s="1"/>
  <c r="K159" i="29"/>
  <c r="B7782" i="106" s="1"/>
  <c r="D7782" i="106" s="1"/>
  <c r="B7781" i="106"/>
  <c r="D7781" i="106" s="1"/>
  <c r="B6667" i="106"/>
  <c r="D6667" i="106" s="1"/>
  <c r="B7111" i="106"/>
  <c r="D7111" i="106" s="1"/>
  <c r="K28" i="29"/>
  <c r="F47" i="34" s="1"/>
  <c r="B6892" i="106"/>
  <c r="D6892" i="106" s="1"/>
  <c r="B7883" i="106"/>
  <c r="D7883" i="106" s="1"/>
  <c r="B6343" i="106"/>
  <c r="D6343" i="106" s="1"/>
  <c r="B6630" i="106"/>
  <c r="D6630" i="106" s="1"/>
  <c r="B6983" i="106"/>
  <c r="D6983" i="106" s="1"/>
  <c r="K86" i="29"/>
  <c r="B6984" i="106" s="1"/>
  <c r="D6984" i="106" s="1"/>
  <c r="B6323" i="106"/>
  <c r="D6323" i="106" s="1"/>
  <c r="B6954" i="106"/>
  <c r="D6954" i="106" s="1"/>
  <c r="B7194" i="106"/>
  <c r="D7194" i="106" s="1"/>
  <c r="B1543" i="106"/>
  <c r="D1543" i="106" s="1"/>
  <c r="G303" i="29"/>
  <c r="B892" i="106"/>
  <c r="D892" i="106" s="1"/>
  <c r="B1019" i="106"/>
  <c r="D1019" i="106" s="1"/>
  <c r="B5822" i="106"/>
  <c r="D5822" i="106" s="1"/>
  <c r="B7706" i="106"/>
  <c r="D7706" i="106" s="1"/>
  <c r="B6739" i="106"/>
  <c r="D6739" i="106" s="1"/>
  <c r="F114" i="5"/>
  <c r="B5589" i="106"/>
  <c r="D5589" i="106" s="1"/>
  <c r="B4946" i="106"/>
  <c r="D4946" i="106" s="1"/>
  <c r="B852" i="106"/>
  <c r="D852" i="106" s="1"/>
  <c r="B6787" i="106"/>
  <c r="D6787" i="106" s="1"/>
  <c r="B4376" i="106"/>
  <c r="D4376" i="106" s="1"/>
  <c r="K46" i="29"/>
  <c r="B1118" i="106" s="1"/>
  <c r="D1118" i="106" s="1"/>
  <c r="B730" i="106"/>
  <c r="D730" i="106" s="1"/>
  <c r="B119" i="106"/>
  <c r="D119" i="106" s="1"/>
  <c r="B6326" i="106"/>
  <c r="D6326" i="106" s="1"/>
  <c r="E330" i="29"/>
  <c r="B7120" i="106"/>
  <c r="D7120" i="106" s="1"/>
  <c r="E65" i="29"/>
  <c r="B861" i="106" s="1"/>
  <c r="D861" i="106" s="1"/>
  <c r="B854" i="106"/>
  <c r="D854" i="106" s="1"/>
  <c r="B4792" i="106"/>
  <c r="D4792" i="106" s="1"/>
  <c r="F122" i="34"/>
  <c r="B7855" i="106" s="1"/>
  <c r="D7855" i="106" s="1"/>
  <c r="B6392" i="106"/>
  <c r="D6392" i="106" s="1"/>
  <c r="B5627" i="106"/>
  <c r="D5627" i="106" s="1"/>
  <c r="G47" i="29"/>
  <c r="B963" i="106" s="1"/>
  <c r="D963" i="106" s="1"/>
  <c r="B960" i="106"/>
  <c r="D960" i="106" s="1"/>
  <c r="B6874" i="106"/>
  <c r="D6874" i="106" s="1"/>
  <c r="B5882" i="106"/>
  <c r="D5882" i="106" s="1"/>
  <c r="H108" i="5"/>
  <c r="B5886" i="106" s="1"/>
  <c r="D5886" i="106" s="1"/>
  <c r="B6979" i="106"/>
  <c r="D6979" i="106" s="1"/>
  <c r="F12" i="5"/>
  <c r="B5553" i="106"/>
  <c r="D5553" i="106" s="1"/>
  <c r="B7" i="7"/>
  <c r="B6187" i="106"/>
  <c r="D6187" i="106" s="1"/>
  <c r="B6672" i="106"/>
  <c r="D6672" i="106" s="1"/>
  <c r="K19" i="29"/>
  <c r="B3381" i="106" s="1"/>
  <c r="D3381" i="106" s="1"/>
  <c r="B3367" i="106"/>
  <c r="D3367" i="106" s="1"/>
  <c r="B6855" i="106"/>
  <c r="D6855" i="106" s="1"/>
  <c r="B2762" i="106"/>
  <c r="D2762" i="106" s="1"/>
  <c r="B6131" i="106"/>
  <c r="D6131" i="106" s="1"/>
  <c r="J34" i="3"/>
  <c r="B6191" i="106" s="1"/>
  <c r="D6191" i="106" s="1"/>
  <c r="B4805" i="106"/>
  <c r="D4805" i="106" s="1"/>
  <c r="B848" i="106"/>
  <c r="D848" i="106" s="1"/>
  <c r="E53" i="29"/>
  <c r="B850" i="106" s="1"/>
  <c r="D850" i="106" s="1"/>
  <c r="B6776" i="106"/>
  <c r="D6776" i="106" s="1"/>
  <c r="B2880" i="106"/>
  <c r="D2880" i="106" s="1"/>
  <c r="I13" i="3"/>
  <c r="B2888" i="106" s="1"/>
  <c r="D2888" i="106" s="1"/>
  <c r="K247" i="29"/>
  <c r="B2726" i="106" s="1"/>
  <c r="D2726" i="106" s="1"/>
  <c r="B2725" i="106"/>
  <c r="D2725" i="106" s="1"/>
  <c r="I127" i="29"/>
  <c r="B7033" i="106" s="1"/>
  <c r="D7033" i="106" s="1"/>
  <c r="B7024" i="106"/>
  <c r="D7024" i="106" s="1"/>
  <c r="B4332" i="106"/>
  <c r="D4332" i="106" s="1"/>
  <c r="B840" i="106"/>
  <c r="D840" i="106" s="1"/>
  <c r="B7145" i="106"/>
  <c r="D7145" i="106" s="1"/>
  <c r="K322" i="29"/>
  <c r="B6252" i="106"/>
  <c r="D6252" i="106" s="1"/>
  <c r="K234" i="29"/>
  <c r="B1477" i="106" s="1"/>
  <c r="D1477" i="106" s="1"/>
  <c r="B1413" i="106"/>
  <c r="D1413" i="106" s="1"/>
  <c r="B6794" i="106"/>
  <c r="D6794" i="106" s="1"/>
  <c r="K50" i="29"/>
  <c r="B733" i="106"/>
  <c r="D733" i="106" s="1"/>
  <c r="B6327" i="106"/>
  <c r="D6327" i="106" s="1"/>
  <c r="B6237" i="106"/>
  <c r="D6237" i="106" s="1"/>
  <c r="B6626" i="106"/>
  <c r="D6626" i="106" s="1"/>
  <c r="F135" i="34"/>
  <c r="B6105" i="106"/>
  <c r="D6105" i="106" s="1"/>
  <c r="B6082" i="106"/>
  <c r="D6082" i="106" s="1"/>
  <c r="B5068" i="106"/>
  <c r="D5068" i="106" s="1"/>
  <c r="B7109" i="106"/>
  <c r="D7109" i="106" s="1"/>
  <c r="B6896" i="106"/>
  <c r="D6896" i="106" s="1"/>
  <c r="K30" i="29"/>
  <c r="K53" i="4"/>
  <c r="B3703" i="106" s="1"/>
  <c r="D3703" i="106" s="1"/>
  <c r="B3699" i="106"/>
  <c r="D3699" i="106" s="1"/>
  <c r="B7187" i="106"/>
  <c r="D7187" i="106" s="1"/>
  <c r="K333" i="29"/>
  <c r="B7788" i="106" s="1"/>
  <c r="D7788" i="106" s="1"/>
  <c r="B7787" i="106"/>
  <c r="D7787" i="106" s="1"/>
  <c r="B5563" i="106"/>
  <c r="D5563" i="106" s="1"/>
  <c r="F63" i="5"/>
  <c r="B5579" i="106" s="1"/>
  <c r="D5579" i="106" s="1"/>
  <c r="F85" i="34"/>
  <c r="B6660" i="106"/>
  <c r="D6660" i="106" s="1"/>
  <c r="B7193" i="106"/>
  <c r="D7193" i="106" s="1"/>
  <c r="B6908" i="106"/>
  <c r="D6908" i="106" s="1"/>
  <c r="B973" i="106"/>
  <c r="D973" i="106" s="1"/>
  <c r="B5732" i="106"/>
  <c r="D5732" i="106" s="1"/>
  <c r="B6641" i="106"/>
  <c r="D6641" i="106" s="1"/>
  <c r="B6811" i="106"/>
  <c r="D6811" i="106" s="1"/>
  <c r="B6140" i="106"/>
  <c r="D6140" i="106" s="1"/>
  <c r="B5875" i="106"/>
  <c r="D5875" i="106" s="1"/>
  <c r="B6952" i="106"/>
  <c r="D6952" i="106" s="1"/>
  <c r="B6849" i="106"/>
  <c r="D6849" i="106" s="1"/>
  <c r="B7775" i="106"/>
  <c r="D7775" i="106" s="1"/>
  <c r="H137" i="29"/>
  <c r="B6774" i="106"/>
  <c r="D6774" i="106" s="1"/>
  <c r="E108" i="5"/>
  <c r="B5526" i="106" s="1"/>
  <c r="D5526" i="106" s="1"/>
  <c r="B5522" i="106"/>
  <c r="D5522" i="106" s="1"/>
  <c r="B5823" i="106"/>
  <c r="D5823" i="106" s="1"/>
  <c r="B5988" i="106"/>
  <c r="D5988" i="106" s="1"/>
  <c r="K18" i="5"/>
  <c r="B5992" i="106" s="1"/>
  <c r="D5992" i="106" s="1"/>
  <c r="B950" i="106"/>
  <c r="D950" i="106" s="1"/>
  <c r="B5728" i="106"/>
  <c r="D5728" i="106" s="1"/>
  <c r="B6148" i="106"/>
  <c r="D6148" i="106" s="1"/>
  <c r="B7686" i="106"/>
  <c r="D7686" i="106" s="1"/>
  <c r="B6363" i="106"/>
  <c r="D6363" i="106" s="1"/>
  <c r="B3624" i="106"/>
  <c r="D3624" i="106" s="1"/>
  <c r="D350" i="29"/>
  <c r="K351" i="29"/>
  <c r="B3671" i="106" s="1"/>
  <c r="D3671" i="106" s="1"/>
  <c r="B3620" i="106"/>
  <c r="D3620" i="106" s="1"/>
  <c r="B6692" i="106"/>
  <c r="D6692" i="106" s="1"/>
  <c r="B3273" i="106"/>
  <c r="D3273" i="106" s="1"/>
  <c r="B7803" i="106"/>
  <c r="D7803" i="106" s="1"/>
  <c r="K200" i="29"/>
  <c r="B1384" i="106" s="1"/>
  <c r="D1384" i="106" s="1"/>
  <c r="B1372" i="106"/>
  <c r="D1372" i="106" s="1"/>
  <c r="B432" i="106"/>
  <c r="D432" i="106" s="1"/>
  <c r="B6406" i="106"/>
  <c r="D6406" i="106" s="1"/>
  <c r="B5059" i="106"/>
  <c r="D5059" i="106" s="1"/>
  <c r="B763" i="106"/>
  <c r="D763" i="106" s="1"/>
  <c r="D33" i="29"/>
  <c r="B778" i="106" s="1"/>
  <c r="D778" i="106" s="1"/>
  <c r="B6719" i="106"/>
  <c r="D6719" i="106" s="1"/>
  <c r="B3375" i="106"/>
  <c r="D3375" i="106" s="1"/>
  <c r="B6678" i="106"/>
  <c r="D6678" i="106" s="1"/>
  <c r="B7801" i="106"/>
  <c r="D7801" i="106" s="1"/>
  <c r="B653" i="106"/>
  <c r="D653" i="106" s="1"/>
  <c r="B4078" i="106"/>
  <c r="D4078" i="106" s="1"/>
  <c r="B6702" i="106"/>
  <c r="D6702" i="106" s="1"/>
  <c r="K41" i="29"/>
  <c r="B1114" i="106" s="1"/>
  <c r="D1114" i="106" s="1"/>
  <c r="B726" i="106"/>
  <c r="D726" i="106" s="1"/>
  <c r="B6653" i="106"/>
  <c r="D6653" i="106" s="1"/>
  <c r="B4327" i="106"/>
  <c r="D4327" i="106" s="1"/>
  <c r="B5341" i="106"/>
  <c r="D5341" i="106" s="1"/>
  <c r="B5346" i="106"/>
  <c r="D5346" i="106" s="1"/>
  <c r="B4079" i="106"/>
  <c r="D4079" i="106" s="1"/>
  <c r="B7805" i="106"/>
  <c r="D7805" i="106" s="1"/>
  <c r="B921" i="106"/>
  <c r="D921" i="106" s="1"/>
  <c r="F117" i="34"/>
  <c r="B7851" i="106" s="1"/>
  <c r="D7851" i="106" s="1"/>
  <c r="B5060" i="106"/>
  <c r="D5060" i="106" s="1"/>
  <c r="B6308" i="106"/>
  <c r="D6308" i="106" s="1"/>
  <c r="B5075" i="106"/>
  <c r="D5075" i="106" s="1"/>
  <c r="B5395" i="106"/>
  <c r="D5395" i="106" s="1"/>
  <c r="B5525" i="106"/>
  <c r="D5525" i="106" s="1"/>
  <c r="B7685" i="106"/>
  <c r="D7685" i="106" s="1"/>
  <c r="G34" i="3"/>
  <c r="B188" i="106" s="1"/>
  <c r="D188" i="106" s="1"/>
  <c r="B6129" i="106"/>
  <c r="D6129" i="106" s="1"/>
  <c r="B3582" i="106"/>
  <c r="D3582" i="106" s="1"/>
  <c r="B5177" i="106"/>
  <c r="D5177" i="106" s="1"/>
  <c r="K183" i="29"/>
  <c r="B1380" i="106" s="1"/>
  <c r="D1380" i="106" s="1"/>
  <c r="B1338" i="106"/>
  <c r="D1338" i="106" s="1"/>
  <c r="B6680" i="106"/>
  <c r="D6680" i="106" s="1"/>
  <c r="B6747" i="106"/>
  <c r="D6747" i="106" s="1"/>
  <c r="K170" i="29"/>
  <c r="B1315" i="106"/>
  <c r="D1315" i="106" s="1"/>
  <c r="D69" i="36"/>
  <c r="B6165" i="106"/>
  <c r="D6165" i="106" s="1"/>
  <c r="K354" i="29"/>
  <c r="H357" i="29"/>
  <c r="B7237" i="106" s="1"/>
  <c r="D7237" i="106" s="1"/>
  <c r="B7791" i="106"/>
  <c r="D7791" i="106" s="1"/>
  <c r="B5924" i="106"/>
  <c r="D5924" i="106" s="1"/>
  <c r="I67" i="5"/>
  <c r="B5926" i="106" s="1"/>
  <c r="D5926" i="106" s="1"/>
  <c r="B1442" i="106"/>
  <c r="D1442" i="106" s="1"/>
  <c r="K276" i="29"/>
  <c r="B1506" i="106" s="1"/>
  <c r="D1506" i="106" s="1"/>
  <c r="B4864" i="106"/>
  <c r="D4864" i="106" s="1"/>
  <c r="B5556" i="106"/>
  <c r="D5556" i="106" s="1"/>
  <c r="B6750" i="106"/>
  <c r="D6750" i="106" s="1"/>
  <c r="B7807" i="106"/>
  <c r="D7807" i="106" s="1"/>
  <c r="B5763" i="106"/>
  <c r="D5763" i="106" s="1"/>
  <c r="B7101" i="106"/>
  <c r="D7101" i="106" s="1"/>
  <c r="B6763" i="106"/>
  <c r="D6763" i="106" s="1"/>
  <c r="B5498" i="106"/>
  <c r="D5498" i="106" s="1"/>
  <c r="B7809" i="106"/>
  <c r="D7809" i="106" s="1"/>
  <c r="F167" i="34"/>
  <c r="K163" i="29"/>
  <c r="B1324" i="106" s="1"/>
  <c r="D1324" i="106" s="1"/>
  <c r="B1310" i="106"/>
  <c r="D1310" i="106" s="1"/>
  <c r="H168" i="29"/>
  <c r="B2721" i="106"/>
  <c r="D2721" i="106" s="1"/>
  <c r="B6713" i="106"/>
  <c r="D6713" i="106" s="1"/>
  <c r="B5708" i="106"/>
  <c r="D5708" i="106" s="1"/>
  <c r="B863" i="106"/>
  <c r="D863" i="106" s="1"/>
  <c r="F156" i="34"/>
  <c r="B6817" i="106"/>
  <c r="D6817" i="106" s="1"/>
  <c r="B5485" i="106"/>
  <c r="D5485" i="106" s="1"/>
  <c r="D221" i="5"/>
  <c r="B5488" i="106" s="1"/>
  <c r="D5488" i="106" s="1"/>
  <c r="I108" i="5"/>
  <c r="B5930" i="106" s="1"/>
  <c r="D5930" i="106" s="1"/>
  <c r="B5927" i="106"/>
  <c r="D5927" i="106" s="1"/>
  <c r="B1224" i="106"/>
  <c r="D1224" i="106" s="1"/>
  <c r="K128" i="29"/>
  <c r="B1280" i="106" s="1"/>
  <c r="D1280" i="106" s="1"/>
  <c r="B6676" i="106"/>
  <c r="D6676" i="106" s="1"/>
  <c r="B944" i="106"/>
  <c r="D944" i="106" s="1"/>
  <c r="B846" i="106"/>
  <c r="D846" i="106" s="1"/>
  <c r="G18" i="5"/>
  <c r="B5730" i="106" s="1"/>
  <c r="D5730" i="106" s="1"/>
  <c r="B5726" i="106"/>
  <c r="D5726" i="106" s="1"/>
  <c r="B6872" i="106"/>
  <c r="D6872" i="106" s="1"/>
  <c r="B6309" i="106"/>
  <c r="D6309" i="106" s="1"/>
  <c r="B6866" i="106"/>
  <c r="D6866" i="106" s="1"/>
  <c r="B5163" i="106"/>
  <c r="D5163" i="106" s="1"/>
  <c r="C145" i="5"/>
  <c r="B5165" i="106" s="1"/>
  <c r="D5165" i="106" s="1"/>
  <c r="B6380" i="106"/>
  <c r="D6380" i="106" s="1"/>
  <c r="G155" i="5"/>
  <c r="B4357" i="106" s="1"/>
  <c r="D4357" i="106" s="1"/>
  <c r="B6340" i="106"/>
  <c r="D6340" i="106" s="1"/>
  <c r="B4446" i="106"/>
  <c r="D4446" i="106" s="1"/>
  <c r="B4360" i="106"/>
  <c r="D4360" i="106" s="1"/>
  <c r="B6706" i="106"/>
  <c r="D6706" i="106" s="1"/>
  <c r="K56" i="29"/>
  <c r="B736" i="106"/>
  <c r="D736" i="106" s="1"/>
  <c r="B6402" i="106"/>
  <c r="D6402" i="106" s="1"/>
  <c r="G198" i="5"/>
  <c r="B6409" i="106" s="1"/>
  <c r="D6409" i="106" s="1"/>
  <c r="D12" i="5"/>
  <c r="B5328" i="106"/>
  <c r="D5328" i="106" s="1"/>
  <c r="B5" i="7"/>
  <c r="B6967" i="106"/>
  <c r="D6967" i="106" s="1"/>
  <c r="B6972" i="106"/>
  <c r="D6972" i="106" s="1"/>
  <c r="G65" i="29"/>
  <c r="B977" i="106" s="1"/>
  <c r="D977" i="106" s="1"/>
  <c r="B970" i="106"/>
  <c r="D970" i="106" s="1"/>
  <c r="K130" i="29"/>
  <c r="B2797" i="106"/>
  <c r="D2797" i="106" s="1"/>
  <c r="D42" i="29"/>
  <c r="B785" i="106" s="1"/>
  <c r="D785" i="106" s="1"/>
  <c r="B779" i="106"/>
  <c r="D779" i="106" s="1"/>
  <c r="K246" i="29"/>
  <c r="B1487" i="106" s="1"/>
  <c r="D1487" i="106" s="1"/>
  <c r="B1423" i="106"/>
  <c r="D1423" i="106" s="1"/>
  <c r="B972" i="106"/>
  <c r="D972" i="106" s="1"/>
  <c r="B7766" i="106"/>
  <c r="D7766" i="106" s="1"/>
  <c r="B6812" i="106"/>
  <c r="D6812" i="106" s="1"/>
  <c r="B5697" i="106"/>
  <c r="D5697" i="106" s="1"/>
  <c r="B7681" i="106"/>
  <c r="D7681" i="106" s="1"/>
  <c r="B5077" i="106"/>
  <c r="D5077" i="106" s="1"/>
  <c r="B6647" i="106"/>
  <c r="D6647" i="106" s="1"/>
  <c r="B5576" i="106"/>
  <c r="D5576" i="106" s="1"/>
  <c r="F25" i="34"/>
  <c r="F32" i="34"/>
  <c r="B7825" i="106" s="1"/>
  <c r="D7825" i="106" s="1"/>
  <c r="B5459" i="106"/>
  <c r="D5459" i="106" s="1"/>
  <c r="B6736" i="106"/>
  <c r="D6736" i="106" s="1"/>
  <c r="F160" i="34"/>
  <c r="B7867" i="106" s="1"/>
  <c r="D7867" i="106" s="1"/>
  <c r="B7765" i="106"/>
  <c r="D7765" i="106" s="1"/>
  <c r="B6254" i="106"/>
  <c r="D6254" i="106" s="1"/>
  <c r="B7156" i="106"/>
  <c r="D7156" i="106" s="1"/>
  <c r="B117" i="106"/>
  <c r="D117" i="106" s="1"/>
  <c r="B5080" i="106"/>
  <c r="D5080" i="106" s="1"/>
  <c r="B6998" i="106"/>
  <c r="D6998" i="106" s="1"/>
  <c r="K94" i="29"/>
  <c r="B6999" i="106" s="1"/>
  <c r="D6999" i="106" s="1"/>
  <c r="B728" i="106"/>
  <c r="D728" i="106" s="1"/>
  <c r="C47" i="29"/>
  <c r="B731" i="106" s="1"/>
  <c r="D731" i="106" s="1"/>
  <c r="K44" i="29"/>
  <c r="K80" i="29"/>
  <c r="B2975" i="106" s="1"/>
  <c r="D2975" i="106" s="1"/>
  <c r="B2951" i="106"/>
  <c r="D2951" i="106" s="1"/>
  <c r="B6403" i="106"/>
  <c r="D6403" i="106" s="1"/>
  <c r="B6985" i="106"/>
  <c r="D6985" i="106" s="1"/>
  <c r="K87" i="29"/>
  <c r="B6986" i="106" s="1"/>
  <c r="D6986" i="106" s="1"/>
  <c r="B6098" i="106"/>
  <c r="D6098" i="106" s="1"/>
  <c r="B6799" i="106"/>
  <c r="D6799" i="106" s="1"/>
  <c r="B2766" i="106"/>
  <c r="D2766" i="106" s="1"/>
  <c r="F104" i="34"/>
  <c r="B7841" i="106" s="1"/>
  <c r="D7841" i="106" s="1"/>
  <c r="B4761" i="106"/>
  <c r="D4761" i="106" s="1"/>
  <c r="B7695" i="106"/>
  <c r="D7695" i="106" s="1"/>
  <c r="D67" i="5"/>
  <c r="B5342" i="106" s="1"/>
  <c r="D5342" i="106" s="1"/>
  <c r="B5340" i="106"/>
  <c r="D5340" i="106" s="1"/>
  <c r="F153" i="34"/>
  <c r="B6793" i="106"/>
  <c r="D6793" i="106" s="1"/>
  <c r="K202" i="29"/>
  <c r="B2842" i="106" s="1"/>
  <c r="D2842" i="106" s="1"/>
  <c r="B2832" i="106"/>
  <c r="D2832" i="106" s="1"/>
  <c r="D243" i="29"/>
  <c r="B1421" i="106" s="1"/>
  <c r="D1421" i="106" s="1"/>
  <c r="B1418" i="106"/>
  <c r="D1418" i="106" s="1"/>
  <c r="K240" i="29"/>
  <c r="B5559" i="106"/>
  <c r="D5559" i="106" s="1"/>
  <c r="B6310" i="106"/>
  <c r="D6310" i="106" s="1"/>
  <c r="B3631" i="106"/>
  <c r="D3631" i="106" s="1"/>
  <c r="E350" i="29"/>
  <c r="B6825" i="106"/>
  <c r="D6825" i="106" s="1"/>
  <c r="F157" i="34"/>
  <c r="B5749" i="106"/>
  <c r="D5749" i="106" s="1"/>
  <c r="G141" i="5"/>
  <c r="B1002" i="106"/>
  <c r="D1002" i="106" s="1"/>
  <c r="B4370" i="106"/>
  <c r="D4370" i="106" s="1"/>
  <c r="B5152" i="106"/>
  <c r="D5152" i="106" s="1"/>
  <c r="I303" i="29"/>
  <c r="B7099" i="106"/>
  <c r="D7099" i="106" s="1"/>
  <c r="B6958" i="106"/>
  <c r="D6958" i="106" s="1"/>
  <c r="B1219" i="106"/>
  <c r="D1219" i="106" s="1"/>
  <c r="C127" i="29"/>
  <c r="B1223" i="106" s="1"/>
  <c r="D1223" i="106" s="1"/>
  <c r="K122" i="29"/>
  <c r="B3487" i="106"/>
  <c r="D3487" i="106" s="1"/>
  <c r="K181" i="5"/>
  <c r="B6016" i="106" s="1"/>
  <c r="D6016" i="106" s="1"/>
  <c r="B4816" i="106"/>
  <c r="D4816" i="106" s="1"/>
  <c r="B6904" i="106"/>
  <c r="D6904" i="106" s="1"/>
  <c r="I42" i="29"/>
  <c r="B7169" i="106"/>
  <c r="D7169" i="106" s="1"/>
  <c r="B7159" i="106"/>
  <c r="D7159" i="106" s="1"/>
  <c r="B5739" i="106"/>
  <c r="D5739" i="106" s="1"/>
  <c r="B2763" i="106"/>
  <c r="D2763" i="106" s="1"/>
  <c r="B1018" i="106"/>
  <c r="D1018" i="106" s="1"/>
  <c r="H47" i="29"/>
  <c r="B1021" i="106" s="1"/>
  <c r="D1021" i="106" s="1"/>
  <c r="B6224" i="106"/>
  <c r="D6224" i="106" s="1"/>
  <c r="J18" i="4"/>
  <c r="B6228" i="106" s="1"/>
  <c r="D6228" i="106" s="1"/>
  <c r="F90" i="34"/>
  <c r="B5572" i="106"/>
  <c r="D5572" i="106" s="1"/>
  <c r="B6795" i="106"/>
  <c r="D6795" i="106" s="1"/>
  <c r="B7884" i="106"/>
  <c r="D7884" i="106" s="1"/>
  <c r="B7663" i="106"/>
  <c r="D7663" i="106" s="1"/>
  <c r="B7049" i="106"/>
  <c r="D7049" i="106" s="1"/>
  <c r="K148" i="29"/>
  <c r="B7050" i="106" s="1"/>
  <c r="D7050" i="106" s="1"/>
  <c r="K68" i="29"/>
  <c r="B747" i="106"/>
  <c r="D747" i="106" s="1"/>
  <c r="F99" i="34"/>
  <c r="B5107" i="106"/>
  <c r="D5107" i="106" s="1"/>
  <c r="B6785" i="106"/>
  <c r="D6785" i="106" s="1"/>
  <c r="B5181" i="106"/>
  <c r="D5181" i="106" s="1"/>
  <c r="F113" i="34"/>
  <c r="B7137" i="106"/>
  <c r="D7137" i="106" s="1"/>
  <c r="B7669" i="106"/>
  <c r="D7669" i="106" s="1"/>
  <c r="B5509" i="106"/>
  <c r="D5509" i="106" s="1"/>
  <c r="B6" i="7"/>
  <c r="E12" i="5"/>
  <c r="B6911" i="106"/>
  <c r="D6911" i="106" s="1"/>
  <c r="B979" i="106"/>
  <c r="D979" i="106" s="1"/>
  <c r="B2760" i="106"/>
  <c r="D2760" i="106" s="1"/>
  <c r="B7673" i="106"/>
  <c r="D7673" i="106" s="1"/>
  <c r="B7170" i="106"/>
  <c r="D7170" i="106" s="1"/>
  <c r="B7178" i="106"/>
  <c r="D7178" i="106" s="1"/>
  <c r="B7762" i="106"/>
  <c r="D7762" i="106" s="1"/>
  <c r="K6" i="29"/>
  <c r="B7763" i="106" s="1"/>
  <c r="D7763" i="106" s="1"/>
  <c r="B6784" i="106"/>
  <c r="D6784" i="106" s="1"/>
  <c r="K267" i="29"/>
  <c r="B1496" i="106" s="1"/>
  <c r="D1496" i="106" s="1"/>
  <c r="B1432" i="106"/>
  <c r="D1432" i="106" s="1"/>
  <c r="B7160" i="106"/>
  <c r="D7160" i="106" s="1"/>
  <c r="B6146" i="106"/>
  <c r="D6146" i="106" s="1"/>
  <c r="B6923" i="106"/>
  <c r="D6923" i="106" s="1"/>
  <c r="B6829" i="106"/>
  <c r="D6829" i="106" s="1"/>
  <c r="B6236" i="106"/>
  <c r="D6236" i="106" s="1"/>
  <c r="B897" i="106"/>
  <c r="D897" i="106" s="1"/>
  <c r="B729" i="106"/>
  <c r="D729" i="106" s="1"/>
  <c r="K45" i="29"/>
  <c r="B1117" i="106" s="1"/>
  <c r="D1117" i="106" s="1"/>
  <c r="B2794" i="106"/>
  <c r="D2794" i="106" s="1"/>
  <c r="B7060" i="106"/>
  <c r="D7060" i="106" s="1"/>
  <c r="B7026" i="106"/>
  <c r="D7026" i="106" s="1"/>
  <c r="B4341" i="106"/>
  <c r="D4341" i="106" s="1"/>
  <c r="H14" i="118"/>
  <c r="H19" i="118"/>
  <c r="B6240" i="106"/>
  <c r="D6240" i="106" s="1"/>
  <c r="E37" i="4"/>
  <c r="B6285" i="106" s="1"/>
  <c r="D6285" i="106" s="1"/>
  <c r="B5570" i="106"/>
  <c r="D5570" i="106" s="1"/>
  <c r="F89" i="34"/>
  <c r="B6319" i="106"/>
  <c r="D6319" i="106" s="1"/>
  <c r="J108" i="5"/>
  <c r="B6351" i="106" s="1"/>
  <c r="D6351" i="106" s="1"/>
  <c r="B7014" i="106"/>
  <c r="D7014" i="106" s="1"/>
  <c r="B7029" i="106"/>
  <c r="D7029" i="106" s="1"/>
  <c r="I47" i="29"/>
  <c r="B6924" i="106" s="1"/>
  <c r="D6924" i="106" s="1"/>
  <c r="B6918" i="106"/>
  <c r="D6918" i="106" s="1"/>
  <c r="B5617" i="106"/>
  <c r="D5617" i="106" s="1"/>
  <c r="B6694" i="106"/>
  <c r="D6694" i="106" s="1"/>
  <c r="B2801" i="106"/>
  <c r="D2801" i="106" s="1"/>
  <c r="B6127" i="106"/>
  <c r="D6127" i="106" s="1"/>
  <c r="E34" i="3"/>
  <c r="B139" i="106" s="1"/>
  <c r="D139" i="106" s="1"/>
  <c r="B983" i="106"/>
  <c r="D983" i="106" s="1"/>
  <c r="B7679" i="106"/>
  <c r="D7679" i="106" s="1"/>
  <c r="B6174" i="106"/>
  <c r="D6174" i="106" s="1"/>
  <c r="B5127" i="106"/>
  <c r="D5127" i="106" s="1"/>
  <c r="B6859" i="106"/>
  <c r="D6859" i="106" s="1"/>
  <c r="B5798" i="106"/>
  <c r="D5798" i="106" s="1"/>
  <c r="B4853" i="106"/>
  <c r="D4853" i="106" s="1"/>
  <c r="K90" i="29"/>
  <c r="B6992" i="106" s="1"/>
  <c r="D6992" i="106" s="1"/>
  <c r="B6991" i="106"/>
  <c r="D6991" i="106" s="1"/>
  <c r="B6932" i="106"/>
  <c r="D6932" i="106" s="1"/>
  <c r="K52" i="29"/>
  <c r="B6940" i="106" s="1"/>
  <c r="D6940" i="106" s="1"/>
  <c r="B5673" i="106"/>
  <c r="D5673" i="106" s="1"/>
  <c r="F209" i="5"/>
  <c r="B4413" i="106" s="1"/>
  <c r="D4413" i="106" s="1"/>
  <c r="K32" i="29"/>
  <c r="B6900" i="106"/>
  <c r="D6900" i="106" s="1"/>
  <c r="B7678" i="106"/>
  <c r="D7678" i="106" s="1"/>
  <c r="B6149" i="106"/>
  <c r="D6149" i="106" s="1"/>
  <c r="B859" i="106"/>
  <c r="D859" i="106" s="1"/>
  <c r="B3562" i="106"/>
  <c r="D3562" i="106" s="1"/>
  <c r="B6134" i="106"/>
  <c r="D6134" i="106" s="1"/>
  <c r="B500" i="106"/>
  <c r="D500" i="106" s="1"/>
  <c r="B6408" i="106"/>
  <c r="D6408" i="106" s="1"/>
  <c r="B1445" i="106"/>
  <c r="D1445" i="106" s="1"/>
  <c r="K278" i="29"/>
  <c r="B1509" i="106" s="1"/>
  <c r="D1509" i="106" s="1"/>
  <c r="B6395" i="106"/>
  <c r="D6395" i="106" s="1"/>
  <c r="B7665" i="106"/>
  <c r="D7665" i="106" s="1"/>
  <c r="C33" i="29"/>
  <c r="B720" i="106" s="1"/>
  <c r="D720" i="106" s="1"/>
  <c r="B705" i="106"/>
  <c r="D705" i="106" s="1"/>
  <c r="K5" i="29"/>
  <c r="B6657" i="106"/>
  <c r="D6657" i="106" s="1"/>
  <c r="B6175" i="106"/>
  <c r="D6175" i="106" s="1"/>
  <c r="B5111" i="106"/>
  <c r="D5111" i="106" s="1"/>
  <c r="F101" i="34"/>
  <c r="K73" i="29"/>
  <c r="B754" i="106"/>
  <c r="D754" i="106" s="1"/>
  <c r="G42" i="29"/>
  <c r="B953" i="106"/>
  <c r="D953" i="106" s="1"/>
  <c r="B2993" i="106"/>
  <c r="D2993" i="106" s="1"/>
  <c r="K192" i="29"/>
  <c r="B3011" i="106" s="1"/>
  <c r="D3011" i="106" s="1"/>
  <c r="K16" i="29"/>
  <c r="B1094" i="106" s="1"/>
  <c r="D1094" i="106" s="1"/>
  <c r="B706" i="106"/>
  <c r="D706" i="106" s="1"/>
  <c r="B1049" i="106"/>
  <c r="D1049" i="106" s="1"/>
  <c r="K106" i="29"/>
  <c r="B1147" i="106" s="1"/>
  <c r="D1147" i="106" s="1"/>
  <c r="B6929" i="106"/>
  <c r="D6929" i="106" s="1"/>
  <c r="B7046" i="106"/>
  <c r="D7046" i="106" s="1"/>
  <c r="B4333" i="106"/>
  <c r="D4333" i="106" s="1"/>
  <c r="D132" i="5"/>
  <c r="B5368" i="106"/>
  <c r="D5368" i="106" s="1"/>
  <c r="B6183" i="106"/>
  <c r="D6183" i="106" s="1"/>
  <c r="B923" i="106"/>
  <c r="D923" i="106" s="1"/>
  <c r="B5785" i="106"/>
  <c r="D5785" i="106" s="1"/>
  <c r="G188" i="5"/>
  <c r="B4793" i="106"/>
  <c r="D4793" i="106" s="1"/>
  <c r="B797" i="106"/>
  <c r="D797" i="106" s="1"/>
  <c r="B2798" i="106"/>
  <c r="D2798" i="106" s="1"/>
  <c r="B166" i="106"/>
  <c r="D166" i="106" s="1"/>
  <c r="B208" i="106"/>
  <c r="D208" i="106" s="1"/>
  <c r="B6830" i="106"/>
  <c r="D6830" i="106" s="1"/>
  <c r="B1037" i="106"/>
  <c r="D1037" i="106" s="1"/>
  <c r="B6757" i="106"/>
  <c r="D6757" i="106" s="1"/>
  <c r="B904" i="106"/>
  <c r="D904" i="106" s="1"/>
  <c r="B807" i="106"/>
  <c r="D807" i="106" s="1"/>
  <c r="B2958" i="106"/>
  <c r="D2958" i="106" s="1"/>
  <c r="K356" i="29"/>
  <c r="B3673" i="106" s="1"/>
  <c r="D3673" i="106" s="1"/>
  <c r="B7236" i="106"/>
  <c r="D7236" i="106" s="1"/>
  <c r="B5074" i="106"/>
  <c r="D5074" i="106" s="1"/>
  <c r="B6110" i="106"/>
  <c r="D6110" i="106" s="1"/>
  <c r="B6256" i="106"/>
  <c r="D6256" i="106" s="1"/>
  <c r="B912" i="106"/>
  <c r="D912" i="106" s="1"/>
  <c r="F65" i="29"/>
  <c r="B919" i="106" s="1"/>
  <c r="D919" i="106" s="1"/>
  <c r="B6260" i="106"/>
  <c r="D6260" i="106" s="1"/>
  <c r="B3297" i="106"/>
  <c r="D3297" i="106" s="1"/>
  <c r="B7089" i="106"/>
  <c r="D7089" i="106" s="1"/>
  <c r="K252" i="29"/>
  <c r="B7090" i="106" s="1"/>
  <c r="D7090" i="106" s="1"/>
  <c r="B7134" i="106"/>
  <c r="D7134" i="106" s="1"/>
  <c r="K326" i="29"/>
  <c r="B7181" i="106"/>
  <c r="D7181" i="106" s="1"/>
  <c r="B995" i="106"/>
  <c r="D995" i="106" s="1"/>
  <c r="H33" i="29"/>
  <c r="B1010" i="106" s="1"/>
  <c r="D1010" i="106" s="1"/>
  <c r="B6677" i="106"/>
  <c r="D6677" i="106" s="1"/>
  <c r="H72" i="29"/>
  <c r="B1043" i="106" s="1"/>
  <c r="D1043" i="106" s="1"/>
  <c r="B1036" i="106"/>
  <c r="D1036" i="106" s="1"/>
  <c r="B7102" i="106"/>
  <c r="D7102" i="106" s="1"/>
  <c r="B7697" i="106"/>
  <c r="D7697" i="106" s="1"/>
  <c r="K329" i="29"/>
  <c r="G330" i="29"/>
  <c r="B7122" i="106"/>
  <c r="D7122" i="106" s="1"/>
  <c r="B6164" i="106"/>
  <c r="D6164" i="106" s="1"/>
  <c r="B4328" i="106"/>
  <c r="D4328" i="106" s="1"/>
  <c r="B6350" i="106"/>
  <c r="D6350" i="106" s="1"/>
  <c r="B6818" i="106"/>
  <c r="D6818" i="106" s="1"/>
  <c r="B108" i="106"/>
  <c r="D108" i="106" s="1"/>
  <c r="B6674" i="106"/>
  <c r="D6674" i="106" s="1"/>
  <c r="F141" i="34"/>
  <c r="K361" i="29"/>
  <c r="B7239" i="106" s="1"/>
  <c r="D7239" i="106" s="1"/>
  <c r="B7238" i="106"/>
  <c r="D7238" i="106" s="1"/>
  <c r="B6777" i="106"/>
  <c r="D6777" i="106" s="1"/>
  <c r="F151" i="34"/>
  <c r="B4948" i="106"/>
  <c r="D4948" i="106" s="1"/>
  <c r="B6686" i="106"/>
  <c r="D6686" i="106" s="1"/>
  <c r="K70" i="29"/>
  <c r="B749" i="106"/>
  <c r="D749" i="106" s="1"/>
  <c r="B6185" i="106"/>
  <c r="D6185" i="106" s="1"/>
  <c r="B1316" i="106"/>
  <c r="D1316" i="106" s="1"/>
  <c r="B913" i="106"/>
  <c r="D913" i="106" s="1"/>
  <c r="B6190" i="106"/>
  <c r="D6190" i="106" s="1"/>
  <c r="B6121" i="106"/>
  <c r="D6121" i="106" s="1"/>
  <c r="B1257" i="106"/>
  <c r="D1257" i="106" s="1"/>
  <c r="B5099" i="106"/>
  <c r="D5099" i="106" s="1"/>
  <c r="B3079" i="106"/>
  <c r="D3079" i="106" s="1"/>
  <c r="B5374" i="106"/>
  <c r="D5374" i="106" s="1"/>
  <c r="B6766" i="106"/>
  <c r="D6766" i="106" s="1"/>
  <c r="B6379" i="106"/>
  <c r="D6379" i="106" s="1"/>
  <c r="B3389" i="106"/>
  <c r="D3389" i="106" s="1"/>
  <c r="K228" i="29"/>
  <c r="B3392" i="106" s="1"/>
  <c r="D3392" i="106" s="1"/>
  <c r="B4309" i="106"/>
  <c r="D4309" i="106" s="1"/>
  <c r="B4329" i="106"/>
  <c r="D4329" i="106" s="1"/>
  <c r="F121" i="34"/>
  <c r="H303" i="29"/>
  <c r="B1549" i="106"/>
  <c r="D1549" i="106" s="1"/>
  <c r="B6718" i="106"/>
  <c r="D6718" i="106" s="1"/>
  <c r="B4228" i="106"/>
  <c r="D4228" i="106" s="1"/>
  <c r="B890" i="106"/>
  <c r="D890" i="106" s="1"/>
  <c r="B7165" i="106"/>
  <c r="D7165" i="106" s="1"/>
  <c r="B6305" i="106"/>
  <c r="D6305" i="106" s="1"/>
  <c r="B746" i="106"/>
  <c r="D746" i="106" s="1"/>
  <c r="K67" i="29"/>
  <c r="E33" i="108" s="1"/>
  <c r="C72" i="29"/>
  <c r="B753" i="106" s="1"/>
  <c r="D753" i="106" s="1"/>
  <c r="B5078" i="106"/>
  <c r="D5078" i="106" s="1"/>
  <c r="H84" i="29"/>
  <c r="B2955" i="106"/>
  <c r="D2955" i="106" s="1"/>
  <c r="G209" i="5"/>
  <c r="B4414" i="106" s="1"/>
  <c r="D4414" i="106" s="1"/>
  <c r="B5799" i="106"/>
  <c r="D5799" i="106" s="1"/>
  <c r="B4353" i="106"/>
  <c r="D4353" i="106" s="1"/>
  <c r="B7131" i="106"/>
  <c r="D7131" i="106" s="1"/>
  <c r="B5817" i="106"/>
  <c r="D5817" i="106" s="1"/>
  <c r="G217" i="5"/>
  <c r="B5829" i="106" s="1"/>
  <c r="D5829" i="106" s="1"/>
  <c r="B5194" i="106"/>
  <c r="D5194" i="106" s="1"/>
  <c r="F115" i="34"/>
  <c r="B7849" i="106" s="1"/>
  <c r="D7849" i="106" s="1"/>
  <c r="B6335" i="106"/>
  <c r="D6335" i="106" s="1"/>
  <c r="B7250" i="106"/>
  <c r="D7250" i="106" s="1"/>
  <c r="B5100" i="106"/>
  <c r="D5100" i="106" s="1"/>
  <c r="B4919" i="106"/>
  <c r="D4919" i="106" s="1"/>
  <c r="B4365" i="106"/>
  <c r="D4365" i="106" s="1"/>
  <c r="H175" i="5"/>
  <c r="B4950" i="106" s="1"/>
  <c r="D4950" i="106" s="1"/>
  <c r="B3698" i="106"/>
  <c r="D3698" i="106" s="1"/>
  <c r="K52" i="4"/>
  <c r="B7667" i="106"/>
  <c r="D7667" i="106" s="1"/>
  <c r="B3078" i="106"/>
  <c r="D3078" i="106" s="1"/>
  <c r="D78" i="36"/>
  <c r="B4113" i="106"/>
  <c r="D4113" i="106" s="1"/>
  <c r="C18" i="4"/>
  <c r="B4131" i="106" s="1"/>
  <c r="D4131" i="106" s="1"/>
  <c r="I53" i="29"/>
  <c r="B6942" i="106" s="1"/>
  <c r="D6942" i="106" s="1"/>
  <c r="B6926" i="106"/>
  <c r="D6926" i="106" s="1"/>
  <c r="B6249" i="106"/>
  <c r="D6249" i="106" s="1"/>
  <c r="B12" i="7"/>
  <c r="K12" i="5"/>
  <c r="B5987" i="106" s="1"/>
  <c r="D5987" i="106" s="1"/>
  <c r="B5985" i="106"/>
  <c r="D5985" i="106" s="1"/>
  <c r="B6180" i="106"/>
  <c r="D6180" i="106" s="1"/>
  <c r="B5615" i="106"/>
  <c r="D5615" i="106" s="1"/>
  <c r="F155" i="5"/>
  <c r="B5618" i="106" s="1"/>
  <c r="D5618" i="106" s="1"/>
  <c r="B5571" i="106"/>
  <c r="D5571" i="106" s="1"/>
  <c r="F23" i="34"/>
  <c r="B5119" i="106"/>
  <c r="D5119" i="106" s="1"/>
  <c r="B5242" i="106"/>
  <c r="D5242" i="106" s="1"/>
  <c r="K63" i="29"/>
  <c r="B742" i="106"/>
  <c r="D742" i="106" s="1"/>
  <c r="B6303" i="106"/>
  <c r="D6303" i="106" s="1"/>
  <c r="B6728" i="106"/>
  <c r="D6728" i="106" s="1"/>
  <c r="B6163" i="106"/>
  <c r="D6163" i="106" s="1"/>
  <c r="B6123" i="106"/>
  <c r="D6123" i="106" s="1"/>
  <c r="B6661" i="106"/>
  <c r="D6661" i="106" s="1"/>
  <c r="B5370" i="106"/>
  <c r="D5370" i="106" s="1"/>
  <c r="D141" i="5"/>
  <c r="B5383" i="106" s="1"/>
  <c r="D5383" i="106" s="1"/>
  <c r="B5082" i="106"/>
  <c r="D5082" i="106" s="1"/>
  <c r="B6699" i="106"/>
  <c r="D6699" i="106" s="1"/>
  <c r="B7140" i="106"/>
  <c r="D7140" i="106" s="1"/>
  <c r="B5724" i="106"/>
  <c r="D5724" i="106" s="1"/>
  <c r="B6821" i="106"/>
  <c r="D6821" i="106" s="1"/>
  <c r="B6096" i="106"/>
  <c r="D6096" i="106" s="1"/>
  <c r="F24" i="34"/>
  <c r="B5574" i="106"/>
  <c r="D5574" i="106" s="1"/>
  <c r="B5462" i="106"/>
  <c r="D5462" i="106" s="1"/>
  <c r="B4802" i="106"/>
  <c r="D4802" i="106" s="1"/>
  <c r="B5349" i="106"/>
  <c r="D5349" i="106" s="1"/>
  <c r="D108" i="5"/>
  <c r="B5355" i="106" s="1"/>
  <c r="D5355" i="106" s="1"/>
  <c r="B7158" i="106"/>
  <c r="D7158" i="106" s="1"/>
  <c r="C188" i="5"/>
  <c r="F125" i="34" s="1"/>
  <c r="B7857" i="106" s="1"/>
  <c r="D7857" i="106" s="1"/>
  <c r="B5233" i="106"/>
  <c r="D5233" i="106" s="1"/>
  <c r="G181" i="5"/>
  <c r="B5784" i="106" s="1"/>
  <c r="D5784" i="106" s="1"/>
  <c r="B4810" i="106"/>
  <c r="D4810" i="106" s="1"/>
  <c r="B5791" i="106"/>
  <c r="D5791" i="106" s="1"/>
  <c r="B6235" i="106"/>
  <c r="D6235" i="106" s="1"/>
  <c r="B5565" i="106"/>
  <c r="D5565" i="106" s="1"/>
  <c r="F86" i="34"/>
  <c r="B6971" i="106"/>
  <c r="D6971" i="106" s="1"/>
  <c r="B6783" i="106"/>
  <c r="D6783" i="106" s="1"/>
  <c r="B3532" i="106"/>
  <c r="D3532" i="106" s="1"/>
  <c r="B6746" i="106"/>
  <c r="D6746" i="106" s="1"/>
  <c r="B5093" i="106"/>
  <c r="D5093" i="106" s="1"/>
  <c r="B5558" i="106"/>
  <c r="D5558" i="106" s="1"/>
  <c r="F18" i="5"/>
  <c r="B5562" i="106" s="1"/>
  <c r="D5562" i="106" s="1"/>
  <c r="B1360" i="106"/>
  <c r="D1360" i="106" s="1"/>
  <c r="B6614" i="106"/>
  <c r="D6614" i="106" s="1"/>
  <c r="C252" i="5"/>
  <c r="B6833" i="106" s="1"/>
  <c r="D6833" i="106" s="1"/>
  <c r="B6933" i="106"/>
  <c r="D6933" i="106" s="1"/>
  <c r="B5672" i="106"/>
  <c r="D5672" i="106" s="1"/>
  <c r="B5691" i="106"/>
  <c r="D5691" i="106" s="1"/>
  <c r="F217" i="5"/>
  <c r="B5703" i="106" s="1"/>
  <c r="D5703" i="106" s="1"/>
  <c r="B6367" i="106"/>
  <c r="D6367" i="106" s="1"/>
  <c r="B1237" i="106"/>
  <c r="D1237" i="106" s="1"/>
  <c r="B7694" i="106"/>
  <c r="D7694" i="106" s="1"/>
  <c r="B6147" i="106"/>
  <c r="D6147" i="106" s="1"/>
  <c r="D72" i="29"/>
  <c r="B811" i="106" s="1"/>
  <c r="D811" i="106" s="1"/>
  <c r="B804" i="106"/>
  <c r="D804" i="106" s="1"/>
  <c r="B7167" i="106"/>
  <c r="D7167" i="106" s="1"/>
  <c r="B7704" i="106"/>
  <c r="D7704" i="106" s="1"/>
  <c r="B1268" i="106"/>
  <c r="D1268" i="106" s="1"/>
  <c r="H147" i="29"/>
  <c r="K142" i="29"/>
  <c r="B4190" i="106"/>
  <c r="D4190" i="106" s="1"/>
  <c r="F330" i="29"/>
  <c r="B7121" i="106"/>
  <c r="D7121" i="106" s="1"/>
  <c r="B7769" i="106"/>
  <c r="D7769" i="106" s="1"/>
  <c r="J169" i="5"/>
  <c r="B6396" i="106" s="1"/>
  <c r="D6396" i="106" s="1"/>
  <c r="B6373" i="106"/>
  <c r="D6373" i="106" s="1"/>
  <c r="B7249" i="106"/>
  <c r="D7249" i="106" s="1"/>
  <c r="B6807" i="106"/>
  <c r="D6807" i="106" s="1"/>
  <c r="B4417" i="106"/>
  <c r="D4417" i="106" s="1"/>
  <c r="B4771" i="106"/>
  <c r="D4771" i="106" s="1"/>
  <c r="B6405" i="106"/>
  <c r="D6405" i="106" s="1"/>
  <c r="B6153" i="106"/>
  <c r="D6153" i="106" s="1"/>
  <c r="B6157" i="106"/>
  <c r="D6157" i="106" s="1"/>
  <c r="B6186" i="106"/>
  <c r="D6186" i="106" s="1"/>
  <c r="B6683" i="106"/>
  <c r="D6683" i="106" s="1"/>
  <c r="B4115" i="106"/>
  <c r="D4115" i="106" s="1"/>
  <c r="E18" i="4"/>
  <c r="B4175" i="106" s="1"/>
  <c r="D4175" i="106" s="1"/>
  <c r="K283" i="29"/>
  <c r="B3723" i="106" s="1"/>
  <c r="D3723" i="106" s="1"/>
  <c r="B3721" i="106"/>
  <c r="D3721" i="106" s="1"/>
  <c r="B6934" i="106"/>
  <c r="D6934" i="106" s="1"/>
  <c r="G221" i="5"/>
  <c r="B5847" i="106" s="1"/>
  <c r="D5847" i="106" s="1"/>
  <c r="B5844" i="106"/>
  <c r="D5844" i="106" s="1"/>
  <c r="B5907" i="106"/>
  <c r="D5907" i="106" s="1"/>
  <c r="H181" i="5"/>
  <c r="B5908" i="106" s="1"/>
  <c r="D5908" i="106" s="1"/>
  <c r="B7256" i="106"/>
  <c r="D7256" i="106" s="1"/>
  <c r="B3580" i="106"/>
  <c r="D3580" i="106" s="1"/>
  <c r="B6378" i="106"/>
  <c r="D6378" i="106" s="1"/>
  <c r="B4330" i="106"/>
  <c r="D4330" i="106" s="1"/>
  <c r="B6369" i="106"/>
  <c r="D6369" i="106" s="1"/>
  <c r="B7255" i="106"/>
  <c r="D7255" i="106" s="1"/>
  <c r="B5336" i="106"/>
  <c r="D5336" i="106" s="1"/>
  <c r="B97" i="106"/>
  <c r="D97" i="106" s="1"/>
  <c r="D13" i="3"/>
  <c r="B109" i="106" s="1"/>
  <c r="D109" i="106" s="1"/>
  <c r="B6820" i="106"/>
  <c r="D6820" i="106" s="1"/>
  <c r="B6707" i="106"/>
  <c r="D6707" i="106" s="1"/>
  <c r="J122" i="5"/>
  <c r="B6353" i="106"/>
  <c r="D6353" i="106" s="1"/>
  <c r="B2800" i="106"/>
  <c r="D2800" i="106" s="1"/>
  <c r="B4811" i="106"/>
  <c r="D4811" i="106" s="1"/>
  <c r="B6181" i="106"/>
  <c r="D6181" i="106" s="1"/>
  <c r="B6744" i="106"/>
  <c r="D6744" i="106" s="1"/>
  <c r="B2840" i="106"/>
  <c r="D2840" i="106" s="1"/>
  <c r="B5108" i="106"/>
  <c r="D5108" i="106" s="1"/>
  <c r="I33" i="29"/>
  <c r="B6902" i="106" s="1"/>
  <c r="D6902" i="106" s="1"/>
  <c r="B6844" i="106"/>
  <c r="D6844" i="106" s="1"/>
  <c r="B5524" i="106"/>
  <c r="D5524" i="106" s="1"/>
  <c r="K203" i="29"/>
  <c r="B1385" i="106" s="1"/>
  <c r="D1385" i="106" s="1"/>
  <c r="B1373" i="106"/>
  <c r="D1373" i="106" s="1"/>
  <c r="B5027" i="106"/>
  <c r="D5027" i="106" s="1"/>
  <c r="B1245" i="106"/>
  <c r="D1245" i="106" s="1"/>
  <c r="B1048" i="106"/>
  <c r="D1048" i="106" s="1"/>
  <c r="K105" i="29"/>
  <c r="K110" i="29" s="1"/>
  <c r="H110" i="29"/>
  <c r="B1053" i="106" s="1"/>
  <c r="D1053" i="106" s="1"/>
  <c r="B7164" i="106"/>
  <c r="D7164" i="106" s="1"/>
  <c r="B6321" i="106"/>
  <c r="D6321" i="106" s="1"/>
  <c r="B6955" i="106"/>
  <c r="D6955" i="106" s="1"/>
  <c r="B5358" i="106"/>
  <c r="D5358" i="106" s="1"/>
  <c r="B1029" i="106"/>
  <c r="D1029" i="106" s="1"/>
  <c r="B6179" i="106"/>
  <c r="D6179" i="106" s="1"/>
  <c r="B5584" i="106"/>
  <c r="D5584" i="106" s="1"/>
  <c r="B6863" i="106"/>
  <c r="D6863" i="106" s="1"/>
  <c r="B2996" i="106"/>
  <c r="D2996" i="106" s="1"/>
  <c r="B1221" i="106"/>
  <c r="D1221" i="106" s="1"/>
  <c r="K124" i="29"/>
  <c r="B1276" i="106" s="1"/>
  <c r="D1276" i="106" s="1"/>
  <c r="B6304" i="106"/>
  <c r="D6304" i="106" s="1"/>
  <c r="B7197" i="106"/>
  <c r="D7197" i="106" s="1"/>
  <c r="B3060" i="106"/>
  <c r="D3060" i="106" s="1"/>
  <c r="B6404" i="106"/>
  <c r="D6404" i="106" s="1"/>
  <c r="B6652" i="106"/>
  <c r="D6652" i="106" s="1"/>
  <c r="B6671" i="106"/>
  <c r="D6671" i="106" s="1"/>
  <c r="B3653" i="106"/>
  <c r="D3653" i="106" s="1"/>
  <c r="B6636" i="106"/>
  <c r="D6636" i="106" s="1"/>
  <c r="B5569" i="106"/>
  <c r="D5569" i="106" s="1"/>
  <c r="F21" i="34"/>
  <c r="B7680" i="106"/>
  <c r="D7680" i="106" s="1"/>
  <c r="B835" i="106"/>
  <c r="D835" i="106" s="1"/>
  <c r="B3316" i="106"/>
  <c r="D3316" i="106" s="1"/>
  <c r="B4393" i="106"/>
  <c r="D4393" i="106" s="1"/>
  <c r="B4314" i="106"/>
  <c r="D4314" i="106" s="1"/>
  <c r="D270" i="29"/>
  <c r="B1436" i="106" s="1"/>
  <c r="D1436" i="106" s="1"/>
  <c r="B1428" i="106"/>
  <c r="D1428" i="106" s="1"/>
  <c r="K263" i="29"/>
  <c r="B5591" i="106"/>
  <c r="D5591" i="106" s="1"/>
  <c r="F72" i="29"/>
  <c r="B927" i="106" s="1"/>
  <c r="D927" i="106" s="1"/>
  <c r="B920" i="106"/>
  <c r="D920" i="106" s="1"/>
  <c r="G12" i="5"/>
  <c r="B5722" i="106"/>
  <c r="D5722" i="106" s="1"/>
  <c r="B1354" i="106"/>
  <c r="D1354" i="106" s="1"/>
  <c r="B5122" i="106"/>
  <c r="D5122" i="106" s="1"/>
  <c r="C114" i="5"/>
  <c r="B794" i="106"/>
  <c r="D794" i="106" s="1"/>
  <c r="J184" i="29"/>
  <c r="B7058" i="106"/>
  <c r="D7058" i="106" s="1"/>
  <c r="B6253" i="106"/>
  <c r="D6253" i="106" s="1"/>
  <c r="B6623" i="106"/>
  <c r="D6623" i="106" s="1"/>
  <c r="B5092" i="106"/>
  <c r="D5092" i="106" s="1"/>
  <c r="B5148" i="106"/>
  <c r="D5148" i="106" s="1"/>
  <c r="C141" i="5"/>
  <c r="B7656" i="106"/>
  <c r="D7656" i="106" s="1"/>
  <c r="B7804" i="106"/>
  <c r="D7804" i="106" s="1"/>
  <c r="B4801" i="106"/>
  <c r="D4801" i="106" s="1"/>
  <c r="B6755" i="106"/>
  <c r="D6755" i="106" s="1"/>
  <c r="B1312" i="106"/>
  <c r="D1312" i="106" s="1"/>
  <c r="K169" i="29"/>
  <c r="B1326" i="106" s="1"/>
  <c r="D1326" i="106" s="1"/>
  <c r="K88" i="29"/>
  <c r="B6988" i="106" s="1"/>
  <c r="D6988" i="106" s="1"/>
  <c r="B6987" i="106"/>
  <c r="D6987" i="106" s="1"/>
  <c r="B6625" i="106"/>
  <c r="D6625" i="106" s="1"/>
  <c r="B6659" i="106"/>
  <c r="D6659" i="106" s="1"/>
  <c r="B6375" i="106"/>
  <c r="D6375" i="106" s="1"/>
  <c r="B6640" i="106"/>
  <c r="D6640" i="106" s="1"/>
  <c r="D303" i="29"/>
  <c r="B1525" i="106"/>
  <c r="D1525" i="106" s="1"/>
  <c r="B6810" i="106"/>
  <c r="D6810" i="106" s="1"/>
  <c r="B7266" i="106"/>
  <c r="D7266" i="106" s="1"/>
  <c r="B5085" i="106"/>
  <c r="D5085" i="106" s="1"/>
  <c r="B7176" i="106"/>
  <c r="D7176" i="106" s="1"/>
  <c r="D34" i="3"/>
  <c r="B122" i="106" s="1"/>
  <c r="D122" i="106" s="1"/>
  <c r="B6126" i="106"/>
  <c r="D6126" i="106" s="1"/>
  <c r="B15" i="7"/>
  <c r="B5332" i="106"/>
  <c r="D5332" i="106" s="1"/>
  <c r="B6781" i="106"/>
  <c r="D6781" i="106" s="1"/>
  <c r="B7654" i="106"/>
  <c r="D7654" i="106" s="1"/>
  <c r="B7731" i="106"/>
  <c r="D7731" i="106" s="1"/>
  <c r="B4321" i="106"/>
  <c r="D4321" i="106" s="1"/>
  <c r="K273" i="29"/>
  <c r="B1502" i="106" s="1"/>
  <c r="D1502" i="106" s="1"/>
  <c r="B1438" i="106"/>
  <c r="D1438" i="106" s="1"/>
  <c r="B6857" i="106"/>
  <c r="D6857" i="106" s="1"/>
  <c r="B6937" i="106"/>
  <c r="D6937" i="106" s="1"/>
  <c r="B4077" i="106"/>
  <c r="D4077" i="106" s="1"/>
  <c r="B5818" i="106"/>
  <c r="D5818" i="106" s="1"/>
  <c r="B6160" i="106"/>
  <c r="D6160" i="106" s="1"/>
  <c r="B7146" i="106"/>
  <c r="D7146" i="106" s="1"/>
  <c r="B5997" i="106"/>
  <c r="D5997" i="106" s="1"/>
  <c r="J33" i="29"/>
  <c r="B6903" i="106" s="1"/>
  <c r="D6903" i="106" s="1"/>
  <c r="B6845" i="106"/>
  <c r="D6845" i="106" s="1"/>
  <c r="B5736" i="106"/>
  <c r="D5736" i="106" s="1"/>
  <c r="B955" i="106"/>
  <c r="D955" i="106" s="1"/>
  <c r="B5529" i="106"/>
  <c r="D5529" i="106" s="1"/>
  <c r="B1344" i="106"/>
  <c r="D1344" i="106" s="1"/>
  <c r="B6884" i="106"/>
  <c r="D6884" i="106" s="1"/>
  <c r="K24" i="29"/>
  <c r="F43" i="34" s="1"/>
  <c r="B4118" i="106"/>
  <c r="D4118" i="106" s="1"/>
  <c r="H18" i="4"/>
  <c r="B4134" i="106" s="1"/>
  <c r="D4134" i="106" s="1"/>
  <c r="H42" i="29"/>
  <c r="B1011" i="106"/>
  <c r="D1011" i="106" s="1"/>
  <c r="B7764" i="106"/>
  <c r="D7764" i="106" s="1"/>
  <c r="F94" i="34"/>
  <c r="B7661" i="106"/>
  <c r="D7661" i="106" s="1"/>
  <c r="B7774" i="106"/>
  <c r="D7774" i="106" s="1"/>
  <c r="E137" i="29"/>
  <c r="K133" i="29"/>
  <c r="B7028" i="106"/>
  <c r="D7028" i="106" s="1"/>
  <c r="B1008" i="106"/>
  <c r="D1008" i="106" s="1"/>
  <c r="B7265" i="106"/>
  <c r="D7265" i="106" s="1"/>
  <c r="B7105" i="106"/>
  <c r="D7105" i="106" s="1"/>
  <c r="K306" i="29"/>
  <c r="E310" i="29"/>
  <c r="B7114" i="106" s="1"/>
  <c r="D7114" i="106" s="1"/>
  <c r="B5606" i="106"/>
  <c r="D5606" i="106" s="1"/>
  <c r="B4877" i="106"/>
  <c r="D4877" i="106" s="1"/>
  <c r="B7139" i="106"/>
  <c r="D7139" i="106" s="1"/>
  <c r="B6635" i="106"/>
  <c r="D6635" i="106" s="1"/>
  <c r="B6875" i="106"/>
  <c r="D6875" i="106" s="1"/>
  <c r="B6796" i="106"/>
  <c r="D6796" i="106" s="1"/>
  <c r="B7248" i="106"/>
  <c r="D7248" i="106" s="1"/>
  <c r="B5664" i="106"/>
  <c r="D5664" i="106" s="1"/>
  <c r="F204" i="5"/>
  <c r="B5677" i="106" s="1"/>
  <c r="D5677" i="106" s="1"/>
  <c r="B5241" i="106"/>
  <c r="D5241" i="106" s="1"/>
  <c r="B6996" i="106"/>
  <c r="D6996" i="106" s="1"/>
  <c r="H100" i="29"/>
  <c r="B7012" i="106" s="1"/>
  <c r="D7012" i="106" s="1"/>
  <c r="K93" i="29"/>
  <c r="B6920" i="106"/>
  <c r="D6920" i="106" s="1"/>
  <c r="B7190" i="106"/>
  <c r="D7190" i="106" s="1"/>
  <c r="K327" i="29"/>
  <c r="C129" i="29"/>
  <c r="K120" i="29"/>
  <c r="B4080" i="106" s="1"/>
  <c r="D4080" i="106" s="1"/>
  <c r="B4074" i="106"/>
  <c r="D4074" i="106" s="1"/>
  <c r="B7651" i="106"/>
  <c r="D7651" i="106" s="1"/>
  <c r="B6968" i="106"/>
  <c r="D6968" i="106" s="1"/>
  <c r="B6312" i="106"/>
  <c r="D6312" i="106" s="1"/>
  <c r="F88" i="34"/>
  <c r="B5393" i="106"/>
  <c r="D5393" i="106" s="1"/>
  <c r="B6189" i="106"/>
  <c r="D6189" i="106" s="1"/>
  <c r="B7674" i="106"/>
  <c r="D7674" i="106" s="1"/>
  <c r="B3561" i="106"/>
  <c r="D3561" i="106" s="1"/>
  <c r="B6876" i="106"/>
  <c r="D6876" i="106" s="1"/>
  <c r="K20" i="29"/>
  <c r="B2722" i="106"/>
  <c r="D2722" i="106" s="1"/>
  <c r="H57" i="29"/>
  <c r="B1027" i="106" s="1"/>
  <c r="D1027" i="106" s="1"/>
  <c r="B1025" i="106"/>
  <c r="D1025" i="106" s="1"/>
  <c r="B6251" i="106"/>
  <c r="D6251" i="106" s="1"/>
  <c r="B6648" i="106"/>
  <c r="D6648" i="106" s="1"/>
  <c r="B7079" i="106"/>
  <c r="D7079" i="106" s="1"/>
  <c r="K226" i="29"/>
  <c r="B7080" i="106" s="1"/>
  <c r="D7080" i="106" s="1"/>
  <c r="B7191" i="106"/>
  <c r="D7191" i="106" s="1"/>
  <c r="B845" i="106"/>
  <c r="D845" i="106" s="1"/>
  <c r="B6670" i="106"/>
  <c r="D6670" i="106" s="1"/>
  <c r="B922" i="106"/>
  <c r="D922" i="106" s="1"/>
  <c r="B834" i="106"/>
  <c r="D834" i="106" s="1"/>
  <c r="B4391" i="106"/>
  <c r="D4391" i="106" s="1"/>
  <c r="B879" i="106"/>
  <c r="D879" i="106" s="1"/>
  <c r="F33" i="29"/>
  <c r="B894" i="106" s="1"/>
  <c r="D894" i="106" s="1"/>
  <c r="B6161" i="106"/>
  <c r="D6161" i="106" s="1"/>
  <c r="B6188" i="106"/>
  <c r="D6188" i="106" s="1"/>
  <c r="B5727" i="106"/>
  <c r="D5727" i="106" s="1"/>
  <c r="B4337" i="106"/>
  <c r="D4337" i="106" s="1"/>
  <c r="B783" i="106"/>
  <c r="D783" i="106" s="1"/>
  <c r="B4808" i="106"/>
  <c r="D4808" i="106" s="1"/>
  <c r="B7806" i="106"/>
  <c r="D7806" i="106" s="1"/>
  <c r="B6407" i="106"/>
  <c r="D6407" i="106" s="1"/>
  <c r="B5879" i="106"/>
  <c r="D5879" i="106" s="1"/>
  <c r="H67" i="5"/>
  <c r="B5881" i="106" s="1"/>
  <c r="D5881" i="106" s="1"/>
  <c r="B1012" i="106"/>
  <c r="D1012" i="106" s="1"/>
  <c r="B6348" i="106"/>
  <c r="D6348" i="106" s="1"/>
  <c r="B6299" i="106"/>
  <c r="D6299" i="106" s="1"/>
  <c r="K223" i="29"/>
  <c r="B1472" i="106" s="1"/>
  <c r="D1472" i="106" s="1"/>
  <c r="B1408" i="106"/>
  <c r="D1408" i="106" s="1"/>
  <c r="B867" i="106"/>
  <c r="D867" i="106" s="1"/>
  <c r="B3251" i="106"/>
  <c r="D3251" i="106" s="1"/>
  <c r="B3056" i="106"/>
  <c r="D3056" i="106" s="1"/>
  <c r="B2848" i="106"/>
  <c r="D2848" i="106" s="1"/>
  <c r="B5998" i="106"/>
  <c r="D5998" i="106" s="1"/>
  <c r="B7653" i="106"/>
  <c r="D7653" i="106" s="1"/>
  <c r="B6377" i="106"/>
  <c r="D6377" i="106" s="1"/>
  <c r="B1033" i="106"/>
  <c r="D1033" i="106" s="1"/>
  <c r="B7130" i="106"/>
  <c r="D7130" i="106" s="1"/>
  <c r="B6846" i="106"/>
  <c r="D6846" i="106" s="1"/>
  <c r="B1347" i="106"/>
  <c r="D1347" i="106" s="1"/>
  <c r="B837" i="106"/>
  <c r="D837" i="106" s="1"/>
  <c r="E42" i="29"/>
  <c r="B6634" i="106"/>
  <c r="D6634" i="106" s="1"/>
  <c r="F136" i="34"/>
  <c r="B6709" i="106"/>
  <c r="D6709" i="106" s="1"/>
  <c r="B7127" i="106"/>
  <c r="D7127" i="106" s="1"/>
  <c r="K320" i="29"/>
  <c r="B2807" i="106"/>
  <c r="D2807" i="106" s="1"/>
  <c r="K144" i="29"/>
  <c r="B2810" i="106" s="1"/>
  <c r="D2810" i="106" s="1"/>
  <c r="B723" i="106"/>
  <c r="D723" i="106" s="1"/>
  <c r="K38" i="29"/>
  <c r="B1111" i="106" s="1"/>
  <c r="D1111" i="106" s="1"/>
  <c r="B7752" i="106"/>
  <c r="D7752" i="106" s="1"/>
  <c r="G44" i="4"/>
  <c r="B3258" i="106" s="1"/>
  <c r="D3258" i="106" s="1"/>
  <c r="B5602" i="106"/>
  <c r="D5602" i="106" s="1"/>
  <c r="B1032" i="106"/>
  <c r="D1032" i="106" s="1"/>
  <c r="B4889" i="106"/>
  <c r="D4889" i="106" s="1"/>
  <c r="B6947" i="106"/>
  <c r="D6947" i="106" s="1"/>
  <c r="B2957" i="106"/>
  <c r="D2957" i="106" s="1"/>
  <c r="B4192" i="106"/>
  <c r="D4192" i="106" s="1"/>
  <c r="B6758" i="106"/>
  <c r="D6758" i="106" s="1"/>
  <c r="F127" i="29"/>
  <c r="B1247" i="106" s="1"/>
  <c r="D1247" i="106" s="1"/>
  <c r="B1243" i="106"/>
  <c r="D1243" i="106" s="1"/>
  <c r="B7027" i="106"/>
  <c r="D7027" i="106" s="1"/>
  <c r="B1236" i="106"/>
  <c r="D1236" i="106" s="1"/>
  <c r="K97" i="29"/>
  <c r="B7005" i="106" s="1"/>
  <c r="D7005" i="106" s="1"/>
  <c r="B7004" i="106"/>
  <c r="D7004" i="106" s="1"/>
  <c r="B7264" i="106"/>
  <c r="D7264" i="106" s="1"/>
  <c r="B1031" i="106"/>
  <c r="D1031" i="106" s="1"/>
  <c r="B1006" i="106"/>
  <c r="D1006" i="106" s="1"/>
  <c r="B6965" i="106"/>
  <c r="D6965" i="106" s="1"/>
  <c r="B858" i="106"/>
  <c r="D858" i="106" s="1"/>
  <c r="F164" i="34"/>
  <c r="B7871" i="106" s="1"/>
  <c r="D7871" i="106" s="1"/>
  <c r="B5317" i="106"/>
  <c r="D5317" i="106" s="1"/>
  <c r="B6255" i="106"/>
  <c r="D6255" i="106" s="1"/>
  <c r="K109" i="29"/>
  <c r="B1149" i="106" s="1"/>
  <c r="D1149" i="106" s="1"/>
  <c r="B1051" i="106"/>
  <c r="D1051" i="106" s="1"/>
  <c r="B6975" i="106"/>
  <c r="D6975" i="106" s="1"/>
  <c r="B6345" i="106"/>
  <c r="D6345" i="106" s="1"/>
  <c r="B3372" i="106"/>
  <c r="D3372" i="106" s="1"/>
  <c r="B6086" i="106"/>
  <c r="D6086" i="106" s="1"/>
  <c r="B7168" i="106"/>
  <c r="D7168" i="106" s="1"/>
  <c r="K265" i="29"/>
  <c r="B1494" i="106" s="1"/>
  <c r="D1494" i="106" s="1"/>
  <c r="B1430" i="106"/>
  <c r="D1430" i="106" s="1"/>
  <c r="B5117" i="106"/>
  <c r="D5117" i="106" s="1"/>
  <c r="B6802" i="106"/>
  <c r="D6802" i="106" s="1"/>
  <c r="B4364" i="106"/>
  <c r="D4364" i="106" s="1"/>
  <c r="E175" i="5"/>
  <c r="B4372" i="106" s="1"/>
  <c r="D4372" i="106" s="1"/>
  <c r="K205" i="29"/>
  <c r="B7068" i="106" s="1"/>
  <c r="D7068" i="106" s="1"/>
  <c r="B7067" i="106"/>
  <c r="D7067" i="106" s="1"/>
  <c r="B5560" i="106"/>
  <c r="D5560" i="106" s="1"/>
  <c r="B6915" i="106"/>
  <c r="D6915" i="106" s="1"/>
  <c r="B6093" i="106"/>
  <c r="D6093" i="106" s="1"/>
  <c r="B3627" i="106"/>
  <c r="D3627" i="106" s="1"/>
  <c r="B3080" i="106"/>
  <c r="D3080" i="106" s="1"/>
  <c r="B156" i="106"/>
  <c r="D156" i="106" s="1"/>
  <c r="B6169" i="106"/>
  <c r="D6169" i="106" s="1"/>
  <c r="B1440" i="106"/>
  <c r="D1440" i="106" s="1"/>
  <c r="K275" i="29"/>
  <c r="B1504" i="106" s="1"/>
  <c r="D1504" i="106" s="1"/>
  <c r="B6906" i="106"/>
  <c r="D6906" i="106" s="1"/>
  <c r="B6331" i="106"/>
  <c r="D6331" i="106" s="1"/>
  <c r="B7702" i="106"/>
  <c r="D7702" i="106" s="1"/>
  <c r="B6851" i="106"/>
  <c r="D6851" i="106" s="1"/>
  <c r="B7636" i="106"/>
  <c r="B6084" i="106"/>
  <c r="D6084" i="106" s="1"/>
  <c r="B961" i="106"/>
  <c r="D961" i="106" s="1"/>
  <c r="B7132" i="106"/>
  <c r="D7132" i="106" s="1"/>
  <c r="B6789" i="106"/>
  <c r="D6789" i="106" s="1"/>
  <c r="B6101" i="106"/>
  <c r="D6101" i="106" s="1"/>
  <c r="B6117" i="106"/>
  <c r="D6117" i="106" s="1"/>
  <c r="B6919" i="106"/>
  <c r="D6919" i="106" s="1"/>
  <c r="J47" i="29"/>
  <c r="B6925" i="106" s="1"/>
  <c r="D6925" i="106" s="1"/>
  <c r="B5511" i="106"/>
  <c r="D5511" i="106" s="1"/>
  <c r="B5619" i="106"/>
  <c r="D5619" i="106" s="1"/>
  <c r="B6964" i="106"/>
  <c r="D6964" i="106" s="1"/>
  <c r="J72" i="29"/>
  <c r="B6974" i="106" s="1"/>
  <c r="D6974" i="106" s="1"/>
  <c r="B4086" i="106"/>
  <c r="D4086" i="106" s="1"/>
  <c r="H184" i="29"/>
  <c r="B1370" i="106" s="1"/>
  <c r="D1370" i="106" s="1"/>
  <c r="B7812" i="106"/>
  <c r="D7812" i="106" s="1"/>
  <c r="B6091" i="106"/>
  <c r="D6091" i="106" s="1"/>
  <c r="B4084" i="106"/>
  <c r="D4084" i="106" s="1"/>
  <c r="F184" i="29"/>
  <c r="B780" i="106"/>
  <c r="D780" i="106" s="1"/>
  <c r="B4318" i="106"/>
  <c r="D4318" i="106" s="1"/>
  <c r="B4339" i="106"/>
  <c r="D4339" i="106" s="1"/>
  <c r="B7691" i="106"/>
  <c r="D7691" i="106" s="1"/>
  <c r="B2758" i="106"/>
  <c r="D2758" i="106" s="1"/>
  <c r="B841" i="106"/>
  <c r="D841" i="106" s="1"/>
  <c r="B6631" i="106"/>
  <c r="D6631" i="106" s="1"/>
  <c r="B6097" i="106"/>
  <c r="D6097" i="106" s="1"/>
  <c r="K268" i="29"/>
  <c r="B1497" i="106" s="1"/>
  <c r="D1497" i="106" s="1"/>
  <c r="B1433" i="106"/>
  <c r="D1433" i="106" s="1"/>
  <c r="B6665" i="106"/>
  <c r="D6665" i="106" s="1"/>
  <c r="D175" i="5"/>
  <c r="B5423" i="106" s="1"/>
  <c r="D5423" i="106" s="1"/>
  <c r="B5422" i="106"/>
  <c r="D5422" i="106" s="1"/>
  <c r="B7253" i="106"/>
  <c r="D7253" i="106" s="1"/>
  <c r="B6687" i="106"/>
  <c r="D6687" i="106" s="1"/>
  <c r="B6945" i="106"/>
  <c r="D6945" i="106" s="1"/>
  <c r="J57" i="29"/>
  <c r="B6949" i="106" s="1"/>
  <c r="D6949" i="106" s="1"/>
  <c r="B6684" i="106"/>
  <c r="D6684" i="106" s="1"/>
  <c r="K55" i="29"/>
  <c r="B735" i="106"/>
  <c r="D735" i="106" s="1"/>
  <c r="C57" i="29"/>
  <c r="B737" i="106" s="1"/>
  <c r="D737" i="106" s="1"/>
  <c r="G127" i="29"/>
  <c r="B1256" i="106" s="1"/>
  <c r="D1256" i="106" s="1"/>
  <c r="B1251" i="106"/>
  <c r="D1251" i="106" s="1"/>
  <c r="B6232" i="106"/>
  <c r="D6232" i="106" s="1"/>
  <c r="B6159" i="106"/>
  <c r="D6159" i="106" s="1"/>
  <c r="B2960" i="106"/>
  <c r="D2960" i="106" s="1"/>
  <c r="B6679" i="106"/>
  <c r="D6679" i="106" s="1"/>
  <c r="B6786" i="106"/>
  <c r="D6786" i="106" s="1"/>
  <c r="B6741" i="106"/>
  <c r="D6741" i="106" s="1"/>
  <c r="B6138" i="106"/>
  <c r="D6138" i="106" s="1"/>
  <c r="B5338" i="106"/>
  <c r="D5338" i="106" s="1"/>
  <c r="B5070" i="106"/>
  <c r="D5070" i="106" s="1"/>
  <c r="D82" i="5"/>
  <c r="B5348" i="106" s="1"/>
  <c r="D5348" i="106" s="1"/>
  <c r="B5343" i="106"/>
  <c r="D5343" i="106" s="1"/>
  <c r="B6809" i="106"/>
  <c r="D6809" i="106" s="1"/>
  <c r="F155" i="34"/>
  <c r="K363" i="29"/>
  <c r="B7241" i="106" s="1"/>
  <c r="D7241" i="106" s="1"/>
  <c r="B7240" i="106"/>
  <c r="D7240" i="106" s="1"/>
  <c r="B6722" i="106"/>
  <c r="D6722" i="106" s="1"/>
  <c r="E84" i="29"/>
  <c r="B2949" i="106"/>
  <c r="D2949" i="106" s="1"/>
  <c r="K78" i="29"/>
  <c r="B7177" i="106"/>
  <c r="D7177" i="106" s="1"/>
  <c r="B996" i="106"/>
  <c r="D996" i="106" s="1"/>
  <c r="B1232" i="106"/>
  <c r="D1232" i="106" s="1"/>
  <c r="B7808" i="106"/>
  <c r="D7808" i="106" s="1"/>
  <c r="K40" i="29"/>
  <c r="B1113" i="106" s="1"/>
  <c r="D1113" i="106" s="1"/>
  <c r="B725" i="106"/>
  <c r="D725" i="106" s="1"/>
  <c r="B6296" i="106"/>
  <c r="D6296" i="106" s="1"/>
  <c r="B6639" i="106"/>
  <c r="D6639" i="106" s="1"/>
  <c r="B6701" i="106"/>
  <c r="D6701" i="106" s="1"/>
  <c r="B6801" i="106"/>
  <c r="D6801" i="106" s="1"/>
  <c r="F154" i="34"/>
  <c r="B3646" i="106"/>
  <c r="D3646" i="106" s="1"/>
  <c r="B7793" i="106"/>
  <c r="D7793" i="106" s="1"/>
  <c r="K355" i="29"/>
  <c r="B7794" i="106" s="1"/>
  <c r="D7794" i="106" s="1"/>
  <c r="B1030" i="106"/>
  <c r="D1030" i="106" s="1"/>
  <c r="B6792" i="106"/>
  <c r="D6792" i="106" s="1"/>
  <c r="B7062" i="106"/>
  <c r="D7062" i="106" s="1"/>
  <c r="B2824" i="106"/>
  <c r="D2824" i="106" s="1"/>
  <c r="K195" i="29"/>
  <c r="B2839" i="106" s="1"/>
  <c r="D2839" i="106" s="1"/>
  <c r="B652" i="106"/>
  <c r="D652" i="106" s="1"/>
  <c r="B4369" i="106"/>
  <c r="D4369" i="106" s="1"/>
  <c r="K17" i="29"/>
  <c r="B6871" i="106" s="1"/>
  <c r="D6871" i="106" s="1"/>
  <c r="B7263" i="106"/>
  <c r="D7263" i="106" s="1"/>
  <c r="B4922" i="106"/>
  <c r="D4922" i="106" s="1"/>
  <c r="G350" i="29"/>
  <c r="B3645" i="106"/>
  <c r="D3645" i="106" s="1"/>
  <c r="B5555" i="106"/>
  <c r="D5555" i="106" s="1"/>
  <c r="B1450" i="106"/>
  <c r="D1450" i="106" s="1"/>
  <c r="K289" i="29"/>
  <c r="B1513" i="106" s="1"/>
  <c r="D1513" i="106" s="1"/>
  <c r="B7753" i="106"/>
  <c r="D7753" i="106" s="1"/>
  <c r="K39" i="29"/>
  <c r="B1112" i="106" s="1"/>
  <c r="D1112" i="106" s="1"/>
  <c r="B724" i="106"/>
  <c r="D724" i="106" s="1"/>
  <c r="B4448" i="106"/>
  <c r="D4448" i="106" s="1"/>
  <c r="F350" i="29"/>
  <c r="B3638" i="106"/>
  <c r="D3638" i="106" s="1"/>
  <c r="B6330" i="106"/>
  <c r="D6330" i="106" s="1"/>
  <c r="B6727" i="106"/>
  <c r="D6727" i="106" s="1"/>
  <c r="K7" i="29"/>
  <c r="B3632" i="106"/>
  <c r="D3632" i="106" s="1"/>
  <c r="B5515" i="106"/>
  <c r="D5515" i="106" s="1"/>
  <c r="B4368" i="106"/>
  <c r="D4368" i="106" s="1"/>
  <c r="K175" i="5"/>
  <c r="B4951" i="106" s="1"/>
  <c r="D4951" i="106" s="1"/>
  <c r="B7682" i="106"/>
  <c r="D7682" i="106" s="1"/>
  <c r="B7059" i="106"/>
  <c r="D7059" i="106" s="1"/>
  <c r="B6650" i="106"/>
  <c r="D6650" i="106" s="1"/>
  <c r="F138" i="34"/>
  <c r="B4799" i="106"/>
  <c r="D4799" i="106" s="1"/>
  <c r="B324" i="106"/>
  <c r="D324" i="106" s="1"/>
  <c r="B4920" i="106"/>
  <c r="D4920" i="106" s="1"/>
  <c r="B5401" i="106"/>
  <c r="D5401" i="106" s="1"/>
  <c r="B5098" i="106"/>
  <c r="D5098" i="106" s="1"/>
  <c r="B7813" i="106"/>
  <c r="D7813" i="106" s="1"/>
  <c r="F168" i="34"/>
  <c r="F18" i="34"/>
  <c r="B5564" i="106"/>
  <c r="D5564" i="106" s="1"/>
  <c r="B7148" i="106"/>
  <c r="D7148" i="106" s="1"/>
  <c r="B974" i="106"/>
  <c r="D974" i="106" s="1"/>
  <c r="B7044" i="106"/>
  <c r="D7044" i="106" s="1"/>
  <c r="B6969" i="106"/>
  <c r="D6969" i="106" s="1"/>
  <c r="B7040" i="106"/>
  <c r="D7040" i="106" s="1"/>
  <c r="B7192" i="106"/>
  <c r="D7192" i="106" s="1"/>
  <c r="K222" i="29"/>
  <c r="B1471" i="106" s="1"/>
  <c r="D1471" i="106" s="1"/>
  <c r="B1407" i="106"/>
  <c r="D1407" i="106" s="1"/>
  <c r="B6089" i="106"/>
  <c r="D6089" i="106" s="1"/>
  <c r="B4180" i="106"/>
  <c r="D4180" i="106" s="1"/>
  <c r="B6936" i="106"/>
  <c r="D6936" i="106" s="1"/>
  <c r="B6723" i="106"/>
  <c r="D6723" i="106" s="1"/>
  <c r="B4342" i="106"/>
  <c r="D4342" i="106" s="1"/>
  <c r="B5076" i="106"/>
  <c r="D5076" i="106" s="1"/>
  <c r="B4378" i="106"/>
  <c r="D4378" i="106" s="1"/>
  <c r="B6139" i="106"/>
  <c r="D6139" i="106" s="1"/>
  <c r="I34" i="3"/>
  <c r="B2910" i="106" s="1"/>
  <c r="D2910" i="106" s="1"/>
  <c r="B6693" i="106"/>
  <c r="D6693" i="106" s="1"/>
  <c r="B6368" i="106"/>
  <c r="D6368" i="106" s="1"/>
  <c r="E169" i="5"/>
  <c r="B5537" i="106" s="1"/>
  <c r="D5537" i="106" s="1"/>
  <c r="B5231" i="106"/>
  <c r="D5231" i="106" s="1"/>
  <c r="B6152" i="106"/>
  <c r="D6152" i="106" s="1"/>
  <c r="G145" i="5"/>
  <c r="B5756" i="106" s="1"/>
  <c r="D5756" i="106" s="1"/>
  <c r="B5754" i="106"/>
  <c r="D5754" i="106" s="1"/>
  <c r="F47" i="29"/>
  <c r="B905" i="106" s="1"/>
  <c r="D905" i="106" s="1"/>
  <c r="B902" i="106"/>
  <c r="D902" i="106" s="1"/>
  <c r="B6928" i="106"/>
  <c r="D6928" i="106" s="1"/>
  <c r="B958" i="106"/>
  <c r="D958" i="106" s="1"/>
  <c r="B6664" i="106"/>
  <c r="D6664" i="106" s="1"/>
  <c r="B6864" i="106"/>
  <c r="D6864" i="106" s="1"/>
  <c r="B5113" i="106"/>
  <c r="D5113" i="106" s="1"/>
  <c r="C108" i="5"/>
  <c r="B5120" i="106" s="1"/>
  <c r="D5120" i="106" s="1"/>
  <c r="F102" i="34"/>
  <c r="B7839" i="106" s="1"/>
  <c r="D7839" i="106" s="1"/>
  <c r="B6393" i="106"/>
  <c r="D6393" i="106" s="1"/>
  <c r="K188" i="29"/>
  <c r="E194" i="29"/>
  <c r="B2989" i="106"/>
  <c r="D2989" i="106" s="1"/>
  <c r="B6980" i="106"/>
  <c r="D6980" i="106" s="1"/>
  <c r="K219" i="29"/>
  <c r="B3065" i="106" s="1"/>
  <c r="D3065" i="106" s="1"/>
  <c r="B3064" i="106"/>
  <c r="D3064" i="106" s="1"/>
  <c r="B6698" i="106"/>
  <c r="D6698" i="106" s="1"/>
  <c r="K29" i="29"/>
  <c r="B6894" i="106"/>
  <c r="D6894" i="106" s="1"/>
  <c r="B3369" i="106"/>
  <c r="D3369" i="106" s="1"/>
  <c r="B6689" i="106"/>
  <c r="D6689" i="106" s="1"/>
  <c r="B5168" i="106"/>
  <c r="D5168" i="106" s="1"/>
  <c r="F111" i="34"/>
  <c r="B7846" i="106" s="1"/>
  <c r="D7846" i="106" s="1"/>
  <c r="K9" i="12"/>
  <c r="B7714" i="106" s="1"/>
  <c r="D7714" i="106" s="1"/>
  <c r="B7023" i="106"/>
  <c r="D7023" i="106" s="1"/>
  <c r="B6116" i="106"/>
  <c r="D6116" i="106" s="1"/>
  <c r="B4381" i="106"/>
  <c r="D4381" i="106" s="1"/>
  <c r="B6627" i="106"/>
  <c r="D6627" i="106" s="1"/>
  <c r="B7693" i="106"/>
  <c r="D7693" i="106" s="1"/>
  <c r="B6245" i="106"/>
  <c r="D6245" i="106" s="1"/>
  <c r="B2956" i="106"/>
  <c r="D2956" i="106" s="1"/>
  <c r="B2998" i="106"/>
  <c r="D2998" i="106" s="1"/>
  <c r="B5351" i="106"/>
  <c r="D5351" i="106" s="1"/>
  <c r="B864" i="106"/>
  <c r="D864" i="106" s="1"/>
  <c r="B5110" i="106"/>
  <c r="D5110" i="106" s="1"/>
  <c r="F100" i="34"/>
  <c r="B4419" i="106"/>
  <c r="D4419" i="106" s="1"/>
  <c r="B5877" i="106"/>
  <c r="D5877" i="106" s="1"/>
  <c r="J42" i="29"/>
  <c r="B6905" i="106"/>
  <c r="D6905" i="106" s="1"/>
  <c r="F165" i="34"/>
  <c r="B7872" i="106" s="1"/>
  <c r="D7872" i="106" s="1"/>
  <c r="B4418" i="106"/>
  <c r="D4418" i="106" s="1"/>
  <c r="B6081" i="106"/>
  <c r="D6081" i="106" s="1"/>
  <c r="B784" i="106"/>
  <c r="D784" i="106" s="1"/>
  <c r="B206" i="106"/>
  <c r="D206" i="106" s="1"/>
  <c r="B6953" i="106"/>
  <c r="D6953" i="106" s="1"/>
  <c r="B6388" i="106"/>
  <c r="D6388" i="106" s="1"/>
  <c r="F119" i="34"/>
  <c r="B7853" i="106" s="1"/>
  <c r="D7853" i="106" s="1"/>
  <c r="B6832" i="106"/>
  <c r="D6832" i="106" s="1"/>
  <c r="B6104" i="106"/>
  <c r="D6104" i="106" s="1"/>
  <c r="B6870" i="106"/>
  <c r="D6870" i="106" s="1"/>
  <c r="B898" i="106"/>
  <c r="D898" i="106" s="1"/>
  <c r="F149" i="34"/>
  <c r="B6761" i="106"/>
  <c r="D6761" i="106" s="1"/>
  <c r="F93" i="34"/>
  <c r="B5575" i="106"/>
  <c r="D5575" i="106" s="1"/>
  <c r="B828" i="106"/>
  <c r="D828" i="106" s="1"/>
  <c r="B5583" i="106"/>
  <c r="D5583" i="106" s="1"/>
  <c r="F108" i="5"/>
  <c r="B5587" i="106" s="1"/>
  <c r="D5587" i="106" s="1"/>
  <c r="B6300" i="106"/>
  <c r="D6300" i="106" s="1"/>
  <c r="B3374" i="106"/>
  <c r="D3374" i="106" s="1"/>
  <c r="B4352" i="106"/>
  <c r="D4352" i="106" s="1"/>
  <c r="B4331" i="106"/>
  <c r="D4331" i="106" s="1"/>
  <c r="B2723" i="106"/>
  <c r="D2723" i="106" s="1"/>
  <c r="B5439" i="106"/>
  <c r="D5439" i="106" s="1"/>
  <c r="B1369" i="106"/>
  <c r="D1369" i="106" s="1"/>
  <c r="B6389" i="106"/>
  <c r="D6389" i="106" s="1"/>
  <c r="K242" i="29"/>
  <c r="B1484" i="106" s="1"/>
  <c r="D1484" i="106" s="1"/>
  <c r="B1420" i="106"/>
  <c r="D1420" i="106" s="1"/>
  <c r="B4082" i="106"/>
  <c r="D4082" i="106" s="1"/>
  <c r="D184" i="29"/>
  <c r="B7182" i="106"/>
  <c r="D7182" i="106" s="1"/>
  <c r="B1350" i="106"/>
  <c r="D1350" i="106" s="1"/>
  <c r="B6797" i="106"/>
  <c r="D6797" i="106" s="1"/>
  <c r="B6364" i="106"/>
  <c r="D6364" i="106" s="1"/>
  <c r="B325" i="106"/>
  <c r="D325" i="106" s="1"/>
  <c r="K191" i="29"/>
  <c r="B3010" i="106" s="1"/>
  <c r="D3010" i="106" s="1"/>
  <c r="B2992" i="106"/>
  <c r="D2992" i="106" s="1"/>
  <c r="B6242" i="106"/>
  <c r="D6242" i="106" s="1"/>
  <c r="B10" i="7"/>
  <c r="D10" i="7" s="1"/>
  <c r="B1765" i="106" s="1"/>
  <c r="D1765" i="106" s="1"/>
  <c r="I12" i="5"/>
  <c r="B5916" i="106"/>
  <c r="D5916" i="106" s="1"/>
  <c r="B2981" i="106"/>
  <c r="D2981" i="106" s="1"/>
  <c r="B6156" i="106"/>
  <c r="D6156" i="106" s="1"/>
  <c r="B4116" i="106"/>
  <c r="D4116" i="106" s="1"/>
  <c r="F18" i="4"/>
  <c r="B4133" i="106" s="1"/>
  <c r="D4133" i="106" s="1"/>
  <c r="B6294" i="106"/>
  <c r="D6294" i="106" s="1"/>
  <c r="B6854" i="106"/>
  <c r="D6854" i="106" s="1"/>
  <c r="B7690" i="106"/>
  <c r="D7690" i="106" s="1"/>
  <c r="B6338" i="106"/>
  <c r="D6338" i="106" s="1"/>
  <c r="B651" i="106"/>
  <c r="D651" i="106" s="1"/>
  <c r="B1260" i="106"/>
  <c r="D1260" i="106" s="1"/>
  <c r="H127" i="29"/>
  <c r="B1264" i="106" s="1"/>
  <c r="D1264" i="106" s="1"/>
  <c r="B6696" i="106"/>
  <c r="D6696" i="106" s="1"/>
  <c r="B7779" i="106"/>
  <c r="D7779" i="106" s="1"/>
  <c r="K158" i="29"/>
  <c r="B7780" i="106" s="1"/>
  <c r="D7780" i="106" s="1"/>
  <c r="B6001" i="106"/>
  <c r="D6001" i="106" s="1"/>
  <c r="B968" i="106"/>
  <c r="D968" i="106" s="1"/>
  <c r="B2887" i="106"/>
  <c r="D2887" i="106" s="1"/>
  <c r="B7815" i="106"/>
  <c r="D7815" i="106" s="1"/>
  <c r="B6860" i="106"/>
  <c r="D6860" i="106" s="1"/>
  <c r="B6732" i="106"/>
  <c r="D6732" i="106" s="1"/>
  <c r="B6103" i="106"/>
  <c r="D6103" i="106" s="1"/>
  <c r="B4344" i="106"/>
  <c r="D4344" i="106" s="1"/>
  <c r="B7175" i="106"/>
  <c r="D7175" i="106" s="1"/>
  <c r="D57" i="29"/>
  <c r="B795" i="106" s="1"/>
  <c r="D795" i="106" s="1"/>
  <c r="B793" i="106"/>
  <c r="D793" i="106" s="1"/>
  <c r="B781" i="106"/>
  <c r="D781" i="106" s="1"/>
  <c r="B1269" i="106"/>
  <c r="D1269" i="106" s="1"/>
  <c r="K143" i="29"/>
  <c r="B1284" i="106" s="1"/>
  <c r="D1284" i="106" s="1"/>
  <c r="B5609" i="106"/>
  <c r="D5609" i="106" s="1"/>
  <c r="B4796" i="106"/>
  <c r="D4796" i="106" s="1"/>
  <c r="B812" i="106"/>
  <c r="D812" i="106" s="1"/>
  <c r="B6324" i="106"/>
  <c r="D6324" i="106" s="1"/>
  <c r="I57" i="29"/>
  <c r="B6948" i="106" s="1"/>
  <c r="D6948" i="106" s="1"/>
  <c r="B6944" i="106"/>
  <c r="D6944" i="106" s="1"/>
  <c r="B7161" i="106"/>
  <c r="D7161" i="106" s="1"/>
  <c r="B6362" i="106"/>
  <c r="D6362" i="106" s="1"/>
  <c r="B7138" i="106"/>
  <c r="D7138" i="106" s="1"/>
  <c r="B6773" i="106"/>
  <c r="D6773" i="106" s="1"/>
  <c r="B6399" i="106"/>
  <c r="D6399" i="106" s="1"/>
  <c r="B6685" i="106"/>
  <c r="D6685" i="106" s="1"/>
  <c r="B1023" i="106"/>
  <c r="D1023" i="106" s="1"/>
  <c r="B909" i="106"/>
  <c r="D909" i="106" s="1"/>
  <c r="F57" i="29"/>
  <c r="B911" i="106" s="1"/>
  <c r="D911" i="106" s="1"/>
  <c r="B4885" i="106"/>
  <c r="D4885" i="106" s="1"/>
  <c r="K26" i="29"/>
  <c r="B6888" i="106"/>
  <c r="D6888" i="106" s="1"/>
  <c r="K260" i="29"/>
  <c r="B1490" i="106" s="1"/>
  <c r="D1490" i="106" s="1"/>
  <c r="B1426" i="106"/>
  <c r="D1426" i="106" s="1"/>
  <c r="B7186" i="106"/>
  <c r="D7186" i="106" s="1"/>
  <c r="B6976" i="106"/>
  <c r="D6976" i="106" s="1"/>
  <c r="B1228" i="106"/>
  <c r="D1228" i="106" s="1"/>
  <c r="B1546" i="106"/>
  <c r="D1546" i="106" s="1"/>
  <c r="B6307" i="106"/>
  <c r="D6307" i="106" s="1"/>
  <c r="B5692" i="106"/>
  <c r="D5692" i="106" s="1"/>
  <c r="B4354" i="106"/>
  <c r="D4354" i="106" s="1"/>
  <c r="B6633" i="106"/>
  <c r="D6633" i="106" s="1"/>
  <c r="B323" i="106"/>
  <c r="D323" i="106" s="1"/>
  <c r="D68" i="36"/>
  <c r="B857" i="106"/>
  <c r="D857" i="106" s="1"/>
  <c r="B7149" i="106"/>
  <c r="D7149" i="106" s="1"/>
  <c r="B782" i="106"/>
  <c r="D782" i="106" s="1"/>
  <c r="B855" i="106"/>
  <c r="D855" i="106" s="1"/>
  <c r="H293" i="29"/>
  <c r="K288" i="29"/>
  <c r="B1449" i="106"/>
  <c r="D1449" i="106" s="1"/>
  <c r="B6711" i="106"/>
  <c r="D6711" i="106" s="1"/>
  <c r="C76" i="4"/>
  <c r="B3231" i="106" s="1"/>
  <c r="D3231" i="106" s="1"/>
  <c r="B5022" i="106"/>
  <c r="D5022" i="106" s="1"/>
  <c r="B7233" i="106"/>
  <c r="D7233" i="106" s="1"/>
  <c r="B4813" i="106"/>
  <c r="D4813" i="106" s="1"/>
  <c r="B134" i="106"/>
  <c r="D134" i="106" s="1"/>
  <c r="B6651" i="106"/>
  <c r="D6651" i="106" s="1"/>
  <c r="B5024" i="106"/>
  <c r="D5024" i="106" s="1"/>
  <c r="F76" i="4"/>
  <c r="B3254" i="106" s="1"/>
  <c r="D3254" i="106" s="1"/>
  <c r="B4375" i="106"/>
  <c r="D4375" i="106" s="1"/>
  <c r="B1046" i="106"/>
  <c r="D1046" i="106" s="1"/>
  <c r="B7637" i="106"/>
  <c r="B2999" i="106"/>
  <c r="D2999" i="106" s="1"/>
  <c r="F303" i="29"/>
  <c r="B1537" i="106"/>
  <c r="D1537" i="106" s="1"/>
  <c r="B2719" i="106"/>
  <c r="D2719" i="106" s="1"/>
  <c r="B6910" i="106"/>
  <c r="D6910" i="106" s="1"/>
  <c r="B5755" i="106"/>
  <c r="D5755" i="106" s="1"/>
  <c r="B6856" i="106"/>
  <c r="D6856" i="106" s="1"/>
  <c r="B3485" i="106"/>
  <c r="D3485" i="106" s="1"/>
  <c r="B1240" i="106"/>
  <c r="D1240" i="106" s="1"/>
  <c r="F98" i="34"/>
  <c r="B5106" i="106"/>
  <c r="D5106" i="106" s="1"/>
  <c r="B3585" i="106"/>
  <c r="D3585" i="106" s="1"/>
  <c r="B3493" i="106"/>
  <c r="D3493" i="106" s="1"/>
  <c r="I350" i="29"/>
  <c r="B7226" i="106"/>
  <c r="D7226" i="106" s="1"/>
  <c r="B6717" i="106"/>
  <c r="D6717" i="106" s="1"/>
  <c r="B821" i="106"/>
  <c r="D821" i="106" s="1"/>
  <c r="E33" i="29"/>
  <c r="B836" i="106" s="1"/>
  <c r="D836" i="106" s="1"/>
  <c r="B14" i="7"/>
  <c r="H5" i="12"/>
  <c r="B5063" i="106"/>
  <c r="D5063" i="106" s="1"/>
  <c r="B839" i="106"/>
  <c r="D839" i="106" s="1"/>
  <c r="K134" i="29"/>
  <c r="B2986" i="106" s="1"/>
  <c r="D2986" i="106" s="1"/>
  <c r="B4199" i="106"/>
  <c r="D4199" i="106" s="1"/>
  <c r="B800" i="106"/>
  <c r="D800" i="106" s="1"/>
  <c r="B7087" i="106"/>
  <c r="D7087" i="106" s="1"/>
  <c r="K251" i="29"/>
  <c r="B7088" i="106" s="1"/>
  <c r="D7088" i="106" s="1"/>
  <c r="B4876" i="106"/>
  <c r="D4876" i="106" s="1"/>
  <c r="B7783" i="106"/>
  <c r="D7783" i="106" s="1"/>
  <c r="D285" i="29"/>
  <c r="B3722" i="106" s="1"/>
  <c r="D3722" i="106" s="1"/>
  <c r="K282" i="29"/>
  <c r="B956" i="106"/>
  <c r="D956" i="106" s="1"/>
  <c r="B3257" i="106"/>
  <c r="D3257" i="106" s="1"/>
  <c r="B6808" i="106"/>
  <c r="D6808" i="106" s="1"/>
  <c r="B6819" i="106"/>
  <c r="D6819" i="106" s="1"/>
  <c r="B5337" i="106"/>
  <c r="D5337" i="106" s="1"/>
  <c r="B3377" i="106"/>
  <c r="D3377" i="106" s="1"/>
  <c r="B3486" i="106"/>
  <c r="D3486" i="106" s="1"/>
  <c r="F188" i="5"/>
  <c r="B4397" i="106" s="1"/>
  <c r="D4397" i="106" s="1"/>
  <c r="B5659" i="106"/>
  <c r="D5659" i="106" s="1"/>
  <c r="B6646" i="106"/>
  <c r="D6646" i="106" s="1"/>
  <c r="B1253" i="106"/>
  <c r="D1253" i="106" s="1"/>
  <c r="B6704" i="106"/>
  <c r="D6704" i="106" s="1"/>
  <c r="B5083" i="106"/>
  <c r="D5083" i="106" s="1"/>
  <c r="B5387" i="106"/>
  <c r="D5387" i="106" s="1"/>
  <c r="F29" i="34"/>
  <c r="B7881" i="106" s="1"/>
  <c r="D7881" i="106" s="1"/>
  <c r="G72" i="29"/>
  <c r="B985" i="106" s="1"/>
  <c r="D985" i="106" s="1"/>
  <c r="B978" i="106"/>
  <c r="D978" i="106" s="1"/>
  <c r="B3236" i="106"/>
  <c r="D3236" i="106" s="1"/>
  <c r="B5089" i="106"/>
  <c r="D5089" i="106" s="1"/>
  <c r="C67" i="5"/>
  <c r="B5090" i="106" s="1"/>
  <c r="D5090" i="106" s="1"/>
  <c r="B4865" i="106"/>
  <c r="D4865" i="106" s="1"/>
  <c r="F148" i="34"/>
  <c r="B6753" i="106"/>
  <c r="D6753" i="106" s="1"/>
  <c r="K146" i="29"/>
  <c r="B1285" i="106" s="1"/>
  <c r="D1285" i="106" s="1"/>
  <c r="B1270" i="106"/>
  <c r="D1270" i="106" s="1"/>
  <c r="B4794" i="106"/>
  <c r="D4794" i="106" s="1"/>
  <c r="B4947" i="106"/>
  <c r="D4947" i="106" s="1"/>
  <c r="B7703" i="106"/>
  <c r="D7703" i="106" s="1"/>
  <c r="B5310" i="106"/>
  <c r="D5310" i="106" s="1"/>
  <c r="B764" i="106"/>
  <c r="D764" i="106" s="1"/>
  <c r="B6873" i="106"/>
  <c r="D6873" i="106" s="1"/>
  <c r="B6620" i="106"/>
  <c r="D6620" i="106" s="1"/>
  <c r="J252" i="5"/>
  <c r="B6839" i="106" s="1"/>
  <c r="D6839" i="106" s="1"/>
  <c r="B6233" i="106"/>
  <c r="D6233" i="106" s="1"/>
  <c r="B4415" i="106"/>
  <c r="D4415" i="106" s="1"/>
  <c r="F162" i="34"/>
  <c r="B7869" i="106" s="1"/>
  <c r="D7869" i="106" s="1"/>
  <c r="B6133" i="106"/>
  <c r="D6133" i="106" s="1"/>
  <c r="B6329" i="106"/>
  <c r="D6329" i="106" s="1"/>
  <c r="B5104" i="106"/>
  <c r="D5104" i="106" s="1"/>
  <c r="B7675" i="106"/>
  <c r="D7675" i="106" s="1"/>
  <c r="B6624" i="106"/>
  <c r="D6624" i="106" s="1"/>
  <c r="B3253" i="106"/>
  <c r="D3253" i="106" s="1"/>
  <c r="B6780" i="106"/>
  <c r="D6780" i="106" s="1"/>
  <c r="B6726" i="106"/>
  <c r="D6726" i="106" s="1"/>
  <c r="B7802" i="106"/>
  <c r="D7802" i="106" s="1"/>
  <c r="B6316" i="106"/>
  <c r="D6316" i="106" s="1"/>
  <c r="J67" i="5"/>
  <c r="B6318" i="106" s="1"/>
  <c r="D6318" i="106" s="1"/>
  <c r="B4917" i="106"/>
  <c r="D4917" i="106" s="1"/>
  <c r="K302" i="29"/>
  <c r="B1558" i="106" s="1"/>
  <c r="D1558" i="106" s="1"/>
  <c r="B1522" i="106"/>
  <c r="D1522" i="106" s="1"/>
  <c r="K319" i="29"/>
  <c r="B7118" i="106"/>
  <c r="D7118" i="106" s="1"/>
  <c r="C330" i="29"/>
  <c r="B198" i="106"/>
  <c r="D198" i="106" s="1"/>
  <c r="F145" i="34"/>
  <c r="B6720" i="106"/>
  <c r="D6720" i="106" s="1"/>
  <c r="B2994" i="106"/>
  <c r="D2994" i="106" s="1"/>
  <c r="K193" i="29"/>
  <c r="B3012" i="106" s="1"/>
  <c r="D3012" i="106" s="1"/>
  <c r="K221" i="29"/>
  <c r="B1406" i="106"/>
  <c r="D1406" i="106" s="1"/>
  <c r="B5494" i="106"/>
  <c r="D5494" i="106" s="1"/>
  <c r="F33" i="34"/>
  <c r="B6765" i="106"/>
  <c r="D6765" i="106" s="1"/>
  <c r="B7155" i="106"/>
  <c r="D7155" i="106" s="1"/>
  <c r="B5171" i="106"/>
  <c r="D5171" i="106" s="1"/>
  <c r="B2718" i="106"/>
  <c r="D2718" i="106" s="1"/>
  <c r="K51" i="29"/>
  <c r="H122" i="5"/>
  <c r="B7882" i="106"/>
  <c r="D7882" i="106" s="1"/>
  <c r="B5153" i="106"/>
  <c r="D5153" i="106" s="1"/>
  <c r="J76" i="4"/>
  <c r="B6261" i="106" s="1"/>
  <c r="D6261" i="106" s="1"/>
  <c r="B6239" i="106"/>
  <c r="D6239" i="106" s="1"/>
  <c r="K254" i="29"/>
  <c r="B7094" i="106" s="1"/>
  <c r="D7094" i="106" s="1"/>
  <c r="B7093" i="106"/>
  <c r="D7093" i="106" s="1"/>
  <c r="B938" i="106"/>
  <c r="D938" i="106" s="1"/>
  <c r="B1540" i="106"/>
  <c r="D1540" i="106" s="1"/>
  <c r="B3085" i="106"/>
  <c r="D3085" i="106" s="1"/>
  <c r="B951" i="106"/>
  <c r="D951" i="106" s="1"/>
  <c r="B7000" i="106"/>
  <c r="D7000" i="106" s="1"/>
  <c r="K95" i="29"/>
  <c r="B7001" i="106" s="1"/>
  <c r="D7001" i="106" s="1"/>
  <c r="B937" i="106"/>
  <c r="D937" i="106" s="1"/>
  <c r="G33" i="29"/>
  <c r="B952" i="106" s="1"/>
  <c r="D952" i="106" s="1"/>
  <c r="B6628" i="106"/>
  <c r="D6628" i="106" s="1"/>
  <c r="B6730" i="106"/>
  <c r="D6730" i="106" s="1"/>
  <c r="B721" i="106"/>
  <c r="D721" i="106" s="1"/>
  <c r="C42" i="29"/>
  <c r="B727" i="106" s="1"/>
  <c r="D727" i="106" s="1"/>
  <c r="K36" i="29"/>
  <c r="K101" i="29"/>
  <c r="B7015" i="106" s="1"/>
  <c r="D7015" i="106" s="1"/>
  <c r="B2947" i="106"/>
  <c r="D2947" i="106" s="1"/>
  <c r="C122" i="5"/>
  <c r="B5132" i="106" s="1"/>
  <c r="D5132" i="106" s="1"/>
  <c r="B5126" i="106"/>
  <c r="D5126" i="106" s="1"/>
  <c r="C181" i="5"/>
  <c r="B5230" i="106"/>
  <c r="D5230" i="106" s="1"/>
  <c r="F123" i="34"/>
  <c r="B4874" i="106"/>
  <c r="D4874" i="106" s="1"/>
  <c r="B893" i="106"/>
  <c r="D893" i="106" s="1"/>
  <c r="E252" i="5"/>
  <c r="E266" i="5" s="1"/>
  <c r="B6616" i="106"/>
  <c r="D6616" i="106" s="1"/>
  <c r="B4875" i="106"/>
  <c r="D4875" i="106" s="1"/>
  <c r="B5922" i="106"/>
  <c r="D5922" i="106" s="1"/>
  <c r="J330" i="29"/>
  <c r="B7125" i="106"/>
  <c r="D7125" i="106" s="1"/>
  <c r="B1357" i="106"/>
  <c r="D1357" i="106" s="1"/>
  <c r="B3228" i="106"/>
  <c r="D3228" i="106" s="1"/>
  <c r="B6828" i="106"/>
  <c r="D6828" i="106" s="1"/>
  <c r="K308" i="29"/>
  <c r="B4100" i="106" s="1"/>
  <c r="D4100" i="106" s="1"/>
  <c r="B7110" i="106"/>
  <c r="D7110" i="106" s="1"/>
  <c r="B2979" i="106"/>
  <c r="D2979" i="106" s="1"/>
  <c r="B7210" i="106"/>
  <c r="D7210" i="106" s="1"/>
  <c r="K338" i="29"/>
  <c r="B7211" i="106" s="1"/>
  <c r="D7211" i="106" s="1"/>
  <c r="B6847" i="106"/>
  <c r="D6847" i="106" s="1"/>
  <c r="B6295" i="106"/>
  <c r="D6295" i="106" s="1"/>
  <c r="B5384" i="106"/>
  <c r="D5384" i="106" s="1"/>
  <c r="B948" i="106"/>
  <c r="D948" i="106" s="1"/>
  <c r="B6752" i="106"/>
  <c r="D6752" i="106" s="1"/>
  <c r="K9" i="29"/>
  <c r="B7251" i="106"/>
  <c r="D7251" i="106" s="1"/>
  <c r="E184" i="29"/>
  <c r="B1351" i="106" s="1"/>
  <c r="D1351" i="106" s="1"/>
  <c r="B4083" i="106"/>
  <c r="D4083" i="106" s="1"/>
  <c r="B799" i="106"/>
  <c r="D799" i="106" s="1"/>
  <c r="B965" i="106"/>
  <c r="D965" i="106" s="1"/>
  <c r="B7147" i="106"/>
  <c r="D7147" i="106" s="1"/>
  <c r="B6764" i="106"/>
  <c r="D6764" i="106" s="1"/>
  <c r="B7684" i="106"/>
  <c r="D7684" i="106" s="1"/>
  <c r="B1254" i="106"/>
  <c r="D1254" i="106" s="1"/>
  <c r="K126" i="29"/>
  <c r="B1277" i="106" s="1"/>
  <c r="D1277" i="106" s="1"/>
  <c r="B6688" i="106"/>
  <c r="D6688" i="106" s="1"/>
  <c r="B896" i="106"/>
  <c r="D896" i="106" s="1"/>
  <c r="B1252" i="106"/>
  <c r="D1252" i="106" s="1"/>
  <c r="B5573" i="106"/>
  <c r="D5573" i="106" s="1"/>
  <c r="F92" i="34"/>
  <c r="B6912" i="106"/>
  <c r="D6912" i="106" s="1"/>
  <c r="B6865" i="106"/>
  <c r="D6865" i="106" s="1"/>
  <c r="K291" i="29"/>
  <c r="B2846" i="106" s="1"/>
  <c r="D2846" i="106" s="1"/>
  <c r="B2844" i="106"/>
  <c r="D2844" i="106" s="1"/>
  <c r="B891" i="106"/>
  <c r="D891" i="106" s="1"/>
  <c r="K225" i="29"/>
  <c r="B1460" i="106" s="1"/>
  <c r="D1460" i="106" s="1"/>
  <c r="B1396" i="106"/>
  <c r="D1396" i="106" s="1"/>
  <c r="B7157" i="106"/>
  <c r="D7157" i="106" s="1"/>
  <c r="B6341" i="106"/>
  <c r="D6341" i="106" s="1"/>
  <c r="B6128" i="106"/>
  <c r="D6128" i="106" s="1"/>
  <c r="F34" i="3"/>
  <c r="B169" i="106" s="1"/>
  <c r="D169" i="106" s="1"/>
  <c r="B2720" i="106"/>
  <c r="D2720" i="106" s="1"/>
  <c r="B13" i="7"/>
  <c r="B5026" i="106"/>
  <c r="D5026" i="106" s="1"/>
  <c r="B6861" i="106"/>
  <c r="D6861" i="106" s="1"/>
  <c r="J44" i="4"/>
  <c r="B7754" i="106"/>
  <c r="D7754" i="106" s="1"/>
  <c r="B7154" i="106"/>
  <c r="D7154" i="106" s="1"/>
  <c r="K323" i="29"/>
  <c r="B6666" i="106"/>
  <c r="D6666" i="106" s="1"/>
  <c r="F140" i="34"/>
  <c r="D229" i="29"/>
  <c r="B1410" i="106" s="1"/>
  <c r="D1410" i="106" s="1"/>
  <c r="K215" i="29"/>
  <c r="B3390" i="106" s="1"/>
  <c r="D3390" i="106" s="1"/>
  <c r="B3387" i="106"/>
  <c r="D3387" i="106" s="1"/>
  <c r="B7655" i="106"/>
  <c r="D7655" i="106" s="1"/>
  <c r="B7761" i="106"/>
  <c r="D7761" i="106" s="1"/>
  <c r="F159" i="34"/>
  <c r="B6673" i="106"/>
  <c r="D6673" i="106" s="1"/>
  <c r="B3370" i="106"/>
  <c r="D3370" i="106" s="1"/>
  <c r="B5086" i="106"/>
  <c r="D5086" i="106" s="1"/>
  <c r="G108" i="5"/>
  <c r="B5737" i="106" s="1"/>
  <c r="D5737" i="106" s="1"/>
  <c r="B5734" i="106"/>
  <c r="D5734" i="106" s="1"/>
  <c r="B6370" i="106"/>
  <c r="D6370" i="106" s="1"/>
  <c r="B6754" i="106"/>
  <c r="D6754" i="106" s="1"/>
  <c r="B776" i="106"/>
  <c r="D776" i="106" s="1"/>
  <c r="B3161" i="106"/>
  <c r="D3161" i="106" s="1"/>
  <c r="H51" i="4"/>
  <c r="B3170" i="106" s="1"/>
  <c r="D3170" i="106" s="1"/>
  <c r="B6681" i="106"/>
  <c r="D6681" i="106" s="1"/>
  <c r="B6768" i="106"/>
  <c r="D6768" i="106" s="1"/>
  <c r="K236" i="29"/>
  <c r="B1479" i="106" s="1"/>
  <c r="D1479" i="106" s="1"/>
  <c r="B1415" i="106"/>
  <c r="D1415" i="106" s="1"/>
  <c r="B786" i="106"/>
  <c r="D786" i="106" s="1"/>
  <c r="D47" i="29"/>
  <c r="B789" i="106" s="1"/>
  <c r="D789" i="106" s="1"/>
  <c r="B5255" i="106"/>
  <c r="D5255" i="106" s="1"/>
  <c r="B907" i="106"/>
  <c r="D907" i="106" s="1"/>
  <c r="B5696" i="106"/>
  <c r="D5696" i="106" s="1"/>
  <c r="B6637" i="106"/>
  <c r="D6637" i="106" s="1"/>
  <c r="B6951" i="106"/>
  <c r="D6951" i="106" s="1"/>
  <c r="J65" i="29"/>
  <c r="B6962" i="106" s="1"/>
  <c r="D6962" i="106" s="1"/>
  <c r="B7261" i="106"/>
  <c r="D7261" i="106" s="1"/>
  <c r="B3484" i="106"/>
  <c r="D3484" i="106" s="1"/>
  <c r="B164" i="106"/>
  <c r="D164" i="106" s="1"/>
  <c r="B4410" i="106"/>
  <c r="D4410" i="106" s="1"/>
  <c r="B7142" i="106"/>
  <c r="D7142" i="106" s="1"/>
  <c r="B4075" i="106"/>
  <c r="D4075" i="106" s="1"/>
  <c r="B6721" i="106"/>
  <c r="D6721" i="106" s="1"/>
  <c r="B916" i="106"/>
  <c r="D916" i="106" s="1"/>
  <c r="F169" i="34"/>
  <c r="B7874" i="106" s="1"/>
  <c r="D7874" i="106" s="1"/>
  <c r="B4358" i="106"/>
  <c r="D4358" i="106" s="1"/>
  <c r="B6106" i="106"/>
  <c r="D6106" i="106" s="1"/>
  <c r="B6166" i="106"/>
  <c r="D6166" i="106" s="1"/>
  <c r="B777" i="106"/>
  <c r="D777" i="106" s="1"/>
  <c r="B6705" i="106"/>
  <c r="D6705" i="106" s="1"/>
  <c r="B3577" i="106"/>
  <c r="D3577" i="106" s="1"/>
  <c r="B915" i="106"/>
  <c r="D915" i="106" s="1"/>
  <c r="B1409" i="106"/>
  <c r="D1409" i="106" s="1"/>
  <c r="K224" i="29"/>
  <c r="B5375" i="106"/>
  <c r="D5375" i="106" s="1"/>
  <c r="B6247" i="106"/>
  <c r="D6247" i="106" s="1"/>
  <c r="D114" i="5"/>
  <c r="B5360" i="106" s="1"/>
  <c r="D5360" i="106" s="1"/>
  <c r="B5357" i="106"/>
  <c r="D5357" i="106" s="1"/>
  <c r="B1015" i="106"/>
  <c r="D1015" i="106" s="1"/>
  <c r="B5568" i="106"/>
  <c r="D5568" i="106" s="1"/>
  <c r="F20" i="34"/>
  <c r="C217" i="5"/>
  <c r="B5286" i="106" s="1"/>
  <c r="D5286" i="106" s="1"/>
  <c r="B5274" i="106"/>
  <c r="D5274" i="106" s="1"/>
  <c r="B4191" i="106"/>
  <c r="D4191" i="106" s="1"/>
  <c r="B6778" i="106"/>
  <c r="D6778" i="106" s="1"/>
  <c r="F146" i="34"/>
  <c r="B6729" i="106"/>
  <c r="D6729" i="106" s="1"/>
  <c r="B988" i="106"/>
  <c r="D988" i="106" s="1"/>
  <c r="B1416" i="106"/>
  <c r="D1416" i="106" s="1"/>
  <c r="K237" i="29"/>
  <c r="B1480" i="106" s="1"/>
  <c r="D1480" i="106" s="1"/>
  <c r="B3655" i="106"/>
  <c r="D3655" i="106" s="1"/>
  <c r="B6360" i="106"/>
  <c r="D6360" i="106" s="1"/>
  <c r="K290" i="29"/>
  <c r="B2845" i="106" s="1"/>
  <c r="D2845" i="106" s="1"/>
  <c r="B2843" i="106"/>
  <c r="D2843" i="106" s="1"/>
  <c r="B3648" i="106"/>
  <c r="D3648" i="106" s="1"/>
  <c r="B4407" i="106"/>
  <c r="D4407" i="106" s="1"/>
  <c r="B185" i="106"/>
  <c r="D185" i="106" s="1"/>
  <c r="B872" i="106"/>
  <c r="D872" i="106" s="1"/>
  <c r="B5991" i="106"/>
  <c r="D5991" i="106" s="1"/>
  <c r="B4315" i="106"/>
  <c r="D4315" i="106" s="1"/>
  <c r="B3492" i="106"/>
  <c r="D3492" i="106" s="1"/>
  <c r="B6644" i="106"/>
  <c r="D6644" i="106" s="1"/>
  <c r="B6354" i="106"/>
  <c r="D6354" i="106" s="1"/>
  <c r="B6749" i="106"/>
  <c r="D6749" i="106" s="1"/>
  <c r="B6391" i="106"/>
  <c r="D6391" i="106" s="1"/>
  <c r="K325" i="29"/>
  <c r="B7172" i="106"/>
  <c r="D7172" i="106" s="1"/>
  <c r="B7252" i="106"/>
  <c r="D7252" i="106" s="1"/>
  <c r="B7119" i="106"/>
  <c r="D7119" i="106" s="1"/>
  <c r="D330" i="29"/>
  <c r="B6145" i="106"/>
  <c r="D6145" i="106" s="1"/>
  <c r="K255" i="29"/>
  <c r="B7096" i="106" s="1"/>
  <c r="D7096" i="106" s="1"/>
  <c r="B7095" i="106"/>
  <c r="D7095" i="106" s="1"/>
  <c r="B4416" i="106"/>
  <c r="D4416" i="106" s="1"/>
  <c r="B6756" i="106"/>
  <c r="D6756" i="106" s="1"/>
  <c r="B3533" i="106"/>
  <c r="D3533" i="106" s="1"/>
  <c r="B7031" i="106"/>
  <c r="D7031" i="106" s="1"/>
  <c r="B5069" i="106"/>
  <c r="D5069" i="106" s="1"/>
  <c r="B6814" i="106"/>
  <c r="D6814" i="106" s="1"/>
  <c r="B6302" i="106"/>
  <c r="D6302" i="106" s="1"/>
  <c r="J18" i="5"/>
  <c r="B6306" i="106" s="1"/>
  <c r="D6306" i="106" s="1"/>
  <c r="B6930" i="106"/>
  <c r="D6930" i="106" s="1"/>
  <c r="B7268" i="106"/>
  <c r="D7268" i="106" s="1"/>
  <c r="B4949" i="106"/>
  <c r="D4949" i="106" s="1"/>
  <c r="B7672" i="106"/>
  <c r="D7672" i="106" s="1"/>
  <c r="B3000" i="106"/>
  <c r="D3000" i="106" s="1"/>
  <c r="B6800" i="106"/>
  <c r="D6800" i="106" s="1"/>
  <c r="B1371" i="106"/>
  <c r="D1371" i="106" s="1"/>
  <c r="H204" i="29"/>
  <c r="K199" i="29"/>
  <c r="B7267" i="106"/>
  <c r="D7267" i="106" s="1"/>
  <c r="B6745" i="106"/>
  <c r="D6745" i="106" s="1"/>
  <c r="B5094" i="106"/>
  <c r="D5094" i="106" s="1"/>
  <c r="B6355" i="106"/>
  <c r="D6355" i="106" s="1"/>
  <c r="K7" i="12"/>
  <c r="B6339" i="106"/>
  <c r="D6339" i="106" s="1"/>
  <c r="B856" i="106"/>
  <c r="D856" i="106" s="1"/>
  <c r="I48" i="4"/>
  <c r="B2106" i="106" s="1"/>
  <c r="D2106" i="106" s="1"/>
  <c r="B321" i="106"/>
  <c r="D321" i="106" s="1"/>
  <c r="B6869" i="106"/>
  <c r="D6869" i="106" s="1"/>
  <c r="B971" i="106"/>
  <c r="D971" i="106" s="1"/>
  <c r="K136" i="29"/>
  <c r="B2988" i="106" s="1"/>
  <c r="D2988" i="106" s="1"/>
  <c r="B4201" i="106"/>
  <c r="D4201" i="106" s="1"/>
  <c r="B6654" i="106"/>
  <c r="D6654" i="106" s="1"/>
  <c r="B3534" i="106"/>
  <c r="D3534" i="106" s="1"/>
  <c r="B6658" i="106"/>
  <c r="D6658" i="106" s="1"/>
  <c r="B5084" i="106"/>
  <c r="D5084" i="106" s="1"/>
  <c r="B7638" i="106"/>
  <c r="B2769" i="106"/>
  <c r="D2769" i="106" s="1"/>
  <c r="B4915" i="106"/>
  <c r="D4915" i="106" s="1"/>
  <c r="F118" i="34"/>
  <c r="B7852" i="106" s="1"/>
  <c r="D7852" i="106" s="1"/>
  <c r="B903" i="106"/>
  <c r="D903" i="106" s="1"/>
  <c r="B6342" i="106"/>
  <c r="D6342" i="106" s="1"/>
  <c r="B6762" i="106"/>
  <c r="D6762" i="106" s="1"/>
  <c r="B6772" i="106"/>
  <c r="D6772" i="106" s="1"/>
  <c r="B5516" i="106"/>
  <c r="D5516" i="106" s="1"/>
  <c r="B5067" i="106"/>
  <c r="D5067" i="106" s="1"/>
  <c r="C18" i="5"/>
  <c r="B5071" i="106" s="1"/>
  <c r="D5071" i="106" s="1"/>
  <c r="B5101" i="106"/>
  <c r="D5101" i="106" s="1"/>
  <c r="B5463" i="106"/>
  <c r="D5463" i="106" s="1"/>
  <c r="B3275" i="106"/>
  <c r="D3275" i="106" s="1"/>
  <c r="B3657" i="106"/>
  <c r="D3657" i="106" s="1"/>
  <c r="H362" i="29"/>
  <c r="K360" i="29"/>
  <c r="B739" i="106"/>
  <c r="D739" i="106" s="1"/>
  <c r="K60" i="29"/>
  <c r="B6798" i="106"/>
  <c r="D6798" i="106" s="1"/>
  <c r="B6111" i="106"/>
  <c r="D6111" i="106" s="1"/>
  <c r="B6663" i="106"/>
  <c r="D6663" i="106" s="1"/>
  <c r="F116" i="34"/>
  <c r="B7850" i="106" s="1"/>
  <c r="D7850" i="106" s="1"/>
  <c r="B5056" i="106"/>
  <c r="D5056" i="106" s="1"/>
  <c r="B7166" i="106"/>
  <c r="D7166" i="106" s="1"/>
  <c r="B620" i="106"/>
  <c r="D620" i="106" s="1"/>
  <c r="B2757" i="106"/>
  <c r="D2757" i="106" s="1"/>
  <c r="D72" i="36"/>
  <c r="B2980" i="106"/>
  <c r="D2980" i="106" s="1"/>
  <c r="B3483" i="106"/>
  <c r="D3483" i="106" s="1"/>
  <c r="B3530" i="106"/>
  <c r="D3530" i="106" s="1"/>
  <c r="B849" i="106"/>
  <c r="D849" i="106" s="1"/>
  <c r="B7057" i="106"/>
  <c r="D7057" i="106" s="1"/>
  <c r="I184" i="29"/>
  <c r="I210" i="29" s="1"/>
  <c r="B7002" i="106"/>
  <c r="D7002" i="106" s="1"/>
  <c r="K96" i="29"/>
  <c r="B7003" i="106" s="1"/>
  <c r="D7003" i="106" s="1"/>
  <c r="B7652" i="106"/>
  <c r="D7652" i="106" s="1"/>
  <c r="B1044" i="106"/>
  <c r="D1044" i="106" s="1"/>
  <c r="B2990" i="106"/>
  <c r="D2990" i="106" s="1"/>
  <c r="K189" i="29"/>
  <c r="B3008" i="106" s="1"/>
  <c r="D3008" i="106" s="1"/>
  <c r="B6100" i="106"/>
  <c r="D6100" i="106" s="1"/>
  <c r="B910" i="106"/>
  <c r="D910" i="106" s="1"/>
  <c r="B6868" i="106"/>
  <c r="D6868" i="106" s="1"/>
  <c r="B4377" i="106"/>
  <c r="D4377" i="106" s="1"/>
  <c r="B717" i="106"/>
  <c r="D717" i="106" s="1"/>
  <c r="K13" i="29"/>
  <c r="B1105" i="106" s="1"/>
  <c r="D1105" i="106" s="1"/>
  <c r="B1313" i="106"/>
  <c r="D1313" i="106" s="1"/>
  <c r="K167" i="29"/>
  <c r="B1327" i="106" s="1"/>
  <c r="D1327" i="106" s="1"/>
  <c r="B738" i="106"/>
  <c r="D738" i="106" s="1"/>
  <c r="C65" i="29"/>
  <c r="B745" i="106" s="1"/>
  <c r="D745" i="106" s="1"/>
  <c r="K59" i="29"/>
  <c r="B1013" i="106"/>
  <c r="D1013" i="106" s="1"/>
  <c r="B3082" i="106"/>
  <c r="D3082" i="106" s="1"/>
  <c r="B5240" i="106"/>
  <c r="D5240" i="106" s="1"/>
  <c r="B5330" i="106"/>
  <c r="D5330" i="106" s="1"/>
  <c r="K71" i="29"/>
  <c r="B1139" i="106" s="1"/>
  <c r="D1139" i="106" s="1"/>
  <c r="B751" i="106"/>
  <c r="D751" i="106" s="1"/>
  <c r="B6852" i="106"/>
  <c r="D6852" i="106" s="1"/>
  <c r="C93" i="5"/>
  <c r="B5112" i="106" s="1"/>
  <c r="D5112" i="106" s="1"/>
  <c r="B5103" i="106"/>
  <c r="D5103" i="106" s="1"/>
  <c r="F97" i="34"/>
  <c r="B4420" i="106"/>
  <c r="D4420" i="106" s="1"/>
  <c r="B1229" i="106"/>
  <c r="D1229" i="106" s="1"/>
  <c r="B5566" i="106"/>
  <c r="D5566" i="106" s="1"/>
  <c r="F87" i="34"/>
  <c r="G114" i="5"/>
  <c r="G5" i="4" s="1"/>
  <c r="B3409" i="106" s="1"/>
  <c r="D3409" i="106" s="1"/>
  <c r="B5738" i="106"/>
  <c r="D5738" i="106" s="1"/>
  <c r="B6691" i="106"/>
  <c r="D6691" i="106" s="1"/>
  <c r="B3376" i="106"/>
  <c r="D3376" i="106" s="1"/>
  <c r="E13" i="3"/>
  <c r="B131" i="106" s="1"/>
  <c r="D131" i="106" s="1"/>
  <c r="B126" i="106"/>
  <c r="D126" i="106" s="1"/>
  <c r="F67" i="5"/>
  <c r="B5582" i="106" s="1"/>
  <c r="D5582" i="106" s="1"/>
  <c r="B5581" i="106"/>
  <c r="D5581" i="106" s="1"/>
  <c r="B4322" i="106"/>
  <c r="D4322" i="106" s="1"/>
  <c r="B1434" i="106"/>
  <c r="D1434" i="106" s="1"/>
  <c r="K269" i="29"/>
  <c r="B1498" i="106" s="1"/>
  <c r="D1498" i="106" s="1"/>
  <c r="K62" i="29"/>
  <c r="B741" i="106"/>
  <c r="D741" i="106" s="1"/>
  <c r="B7750" i="106"/>
  <c r="D7750" i="106" s="1"/>
  <c r="B6371" i="106"/>
  <c r="D6371" i="106" s="1"/>
  <c r="H169" i="5"/>
  <c r="B5899" i="106" s="1"/>
  <c r="D5899" i="106" s="1"/>
  <c r="B6150" i="106"/>
  <c r="D6150" i="106" s="1"/>
  <c r="K233" i="29"/>
  <c r="B1476" i="106" s="1"/>
  <c r="D1476" i="106" s="1"/>
  <c r="B1412" i="106"/>
  <c r="D1412" i="106" s="1"/>
  <c r="B1039" i="106"/>
  <c r="D1039" i="106" s="1"/>
  <c r="B4814" i="106"/>
  <c r="D4814" i="106" s="1"/>
  <c r="B4356" i="106"/>
  <c r="D4356" i="106" s="1"/>
  <c r="B4334" i="106"/>
  <c r="D4334" i="106" s="1"/>
  <c r="B6119" i="106"/>
  <c r="D6119" i="106" s="1"/>
  <c r="B1451" i="106"/>
  <c r="D1451" i="106" s="1"/>
  <c r="K292" i="29"/>
  <c r="B1514" i="106" s="1"/>
  <c r="D1514" i="106" s="1"/>
  <c r="B5275" i="106"/>
  <c r="D5275" i="106" s="1"/>
  <c r="F171" i="34"/>
  <c r="B7876" i="106" s="1"/>
  <c r="D7876" i="106" s="1"/>
  <c r="B4852" i="106"/>
  <c r="D4852" i="106" s="1"/>
  <c r="B3551" i="106"/>
  <c r="D3551" i="106" s="1"/>
  <c r="B6782" i="106"/>
  <c r="D6782" i="106" s="1"/>
  <c r="B5333" i="106"/>
  <c r="D5333" i="106" s="1"/>
  <c r="B6649" i="106"/>
  <c r="D6649" i="106" s="1"/>
  <c r="B6695" i="106"/>
  <c r="D6695" i="106" s="1"/>
  <c r="B6248" i="106"/>
  <c r="D6248" i="106" s="1"/>
  <c r="E40" i="4"/>
  <c r="B6288" i="106" s="1"/>
  <c r="D6288" i="106" s="1"/>
  <c r="B7173" i="106"/>
  <c r="D7173" i="106" s="1"/>
  <c r="B5561" i="106"/>
  <c r="D5561" i="106" s="1"/>
  <c r="B5362" i="106"/>
  <c r="D5362" i="106" s="1"/>
  <c r="K309" i="29"/>
  <c r="B3717" i="106" s="1"/>
  <c r="D3717" i="106" s="1"/>
  <c r="B7112" i="106"/>
  <c r="D7112" i="106" s="1"/>
  <c r="K12" i="29"/>
  <c r="B1104" i="106" s="1"/>
  <c r="D1104" i="106" s="1"/>
  <c r="B716" i="106"/>
  <c r="D716" i="106" s="1"/>
  <c r="K256" i="29"/>
  <c r="B7098" i="106" s="1"/>
  <c r="D7098" i="106" s="1"/>
  <c r="B7097" i="106"/>
  <c r="D7097" i="106" s="1"/>
  <c r="B3059" i="106"/>
  <c r="D3059" i="106" s="1"/>
  <c r="B6109" i="106"/>
  <c r="D6109" i="106" s="1"/>
  <c r="B6751" i="106"/>
  <c r="D6751" i="106" s="1"/>
  <c r="K85" i="29"/>
  <c r="B6982" i="106" s="1"/>
  <c r="D6982" i="106" s="1"/>
  <c r="H92" i="29"/>
  <c r="B6995" i="106" s="1"/>
  <c r="D6995" i="106" s="1"/>
  <c r="B6981" i="106"/>
  <c r="D6981" i="106" s="1"/>
  <c r="B7228" i="106"/>
  <c r="D7228" i="106" s="1"/>
  <c r="B6826" i="106"/>
  <c r="D6826" i="106" s="1"/>
  <c r="K250" i="29"/>
  <c r="B7086" i="106" s="1"/>
  <c r="D7086" i="106" s="1"/>
  <c r="B7085" i="106"/>
  <c r="D7085" i="106" s="1"/>
  <c r="B6142" i="106"/>
  <c r="D6142" i="106" s="1"/>
  <c r="B6914" i="106"/>
  <c r="D6914" i="106" s="1"/>
  <c r="B7163" i="106"/>
  <c r="D7163" i="106" s="1"/>
  <c r="K324" i="29"/>
  <c r="B6867" i="106"/>
  <c r="D6867" i="106" s="1"/>
  <c r="B4230" i="106"/>
  <c r="D4230" i="106" s="1"/>
  <c r="B870" i="106"/>
  <c r="D870" i="106" s="1"/>
  <c r="B6769" i="106"/>
  <c r="D6769" i="106" s="1"/>
  <c r="F150" i="34"/>
  <c r="B5091" i="106"/>
  <c r="D5091" i="106" s="1"/>
  <c r="B6804" i="106"/>
  <c r="D6804" i="106" s="1"/>
  <c r="B7699" i="106"/>
  <c r="D7699" i="106" s="1"/>
  <c r="B748" i="106"/>
  <c r="D748" i="106" s="1"/>
  <c r="K69" i="29"/>
  <c r="G35" i="108" s="1"/>
  <c r="B6120" i="106"/>
  <c r="D6120" i="106" s="1"/>
  <c r="B6356" i="106"/>
  <c r="D6356" i="106" s="1"/>
  <c r="B4797" i="106"/>
  <c r="D4797" i="106" s="1"/>
  <c r="B6361" i="106"/>
  <c r="D6361" i="106" s="1"/>
  <c r="B1335" i="106"/>
  <c r="D1335" i="106" s="1"/>
  <c r="K182" i="29"/>
  <c r="B1377" i="106" s="1"/>
  <c r="D1377" i="106" s="1"/>
  <c r="B7184" i="106"/>
  <c r="D7184" i="106" s="1"/>
  <c r="B130" i="106"/>
  <c r="D130" i="106" s="1"/>
  <c r="B5424" i="106"/>
  <c r="D5424" i="106" s="1"/>
  <c r="D181" i="5"/>
  <c r="B5425" i="106" s="1"/>
  <c r="D5425" i="106" s="1"/>
  <c r="B4886" i="106"/>
  <c r="D4886" i="106" s="1"/>
  <c r="B5929" i="106"/>
  <c r="D5929" i="106" s="1"/>
  <c r="B7262" i="106"/>
  <c r="D7262" i="106" s="1"/>
  <c r="B6621" i="106"/>
  <c r="D6621" i="106" s="1"/>
  <c r="K252" i="5"/>
  <c r="B6840" i="106" s="1"/>
  <c r="D6840" i="106" s="1"/>
  <c r="B2802" i="106"/>
  <c r="D2802" i="106" s="1"/>
  <c r="B6737" i="106"/>
  <c r="D6737" i="106" s="1"/>
  <c r="F147" i="34"/>
  <c r="B6675" i="106"/>
  <c r="D6675" i="106" s="1"/>
  <c r="B7077" i="106"/>
  <c r="D7077" i="106" s="1"/>
  <c r="K220" i="29"/>
  <c r="B791" i="106"/>
  <c r="D791" i="106" s="1"/>
  <c r="B718" i="106"/>
  <c r="D718" i="106" s="1"/>
  <c r="K14" i="29"/>
  <c r="B1106" i="106" s="1"/>
  <c r="D1106" i="106" s="1"/>
  <c r="B962" i="106"/>
  <c r="D962" i="106" s="1"/>
  <c r="J303" i="29"/>
  <c r="B7100" i="106"/>
  <c r="D7100" i="106" s="1"/>
  <c r="B7030" i="106"/>
  <c r="D7030" i="106" s="1"/>
  <c r="B6815" i="106"/>
  <c r="D6815" i="106" s="1"/>
  <c r="H53" i="29"/>
  <c r="B1024" i="106" s="1"/>
  <c r="D1024" i="106" s="1"/>
  <c r="B1022" i="106"/>
  <c r="D1022" i="106" s="1"/>
  <c r="B7075" i="106"/>
  <c r="D7075" i="106" s="1"/>
  <c r="K218" i="29"/>
  <c r="B6292" i="106"/>
  <c r="D6292" i="106" s="1"/>
  <c r="B5116" i="106"/>
  <c r="D5116" i="106" s="1"/>
  <c r="C75" i="5"/>
  <c r="B6031" i="106"/>
  <c r="D6031" i="106" s="1"/>
  <c r="B6246" i="106"/>
  <c r="D6246" i="106" s="1"/>
  <c r="E39" i="4"/>
  <c r="B6287" i="106" s="1"/>
  <c r="D6287" i="106" s="1"/>
  <c r="B4179" i="106"/>
  <c r="D4179" i="106" s="1"/>
  <c r="B7174" i="106"/>
  <c r="D7174" i="106" s="1"/>
  <c r="B822" i="106"/>
  <c r="D822" i="106" s="1"/>
  <c r="B5986" i="106"/>
  <c r="D5986" i="106" s="1"/>
  <c r="B6743" i="106"/>
  <c r="D6743" i="106" s="1"/>
  <c r="K321" i="29"/>
  <c r="B7144" i="106" s="1"/>
  <c r="D7144" i="106" s="1"/>
  <c r="B7136" i="106"/>
  <c r="D7136" i="106" s="1"/>
  <c r="B6394" i="106"/>
  <c r="D6394" i="106" s="1"/>
  <c r="B6725" i="106"/>
  <c r="D6725" i="106" s="1"/>
  <c r="B5594" i="106"/>
  <c r="D5594" i="106" s="1"/>
  <c r="B6822" i="106"/>
  <c r="D6822" i="106" s="1"/>
  <c r="H310" i="29"/>
  <c r="B7115" i="106" s="1"/>
  <c r="D7115" i="106" s="1"/>
  <c r="B7106" i="106"/>
  <c r="D7106" i="106" s="1"/>
  <c r="B980" i="106"/>
  <c r="D980" i="106" s="1"/>
  <c r="E72" i="29"/>
  <c r="B869" i="106" s="1"/>
  <c r="D869" i="106" s="1"/>
  <c r="B862" i="106"/>
  <c r="D862" i="106" s="1"/>
  <c r="I169" i="5"/>
  <c r="B6372" i="106"/>
  <c r="D6372" i="106" s="1"/>
  <c r="B7260" i="106"/>
  <c r="D7260" i="106" s="1"/>
  <c r="B844" i="106"/>
  <c r="D844" i="106" s="1"/>
  <c r="E47" i="29"/>
  <c r="B847" i="106" s="1"/>
  <c r="D847" i="106" s="1"/>
  <c r="K15" i="29"/>
  <c r="F38" i="34" s="1"/>
  <c r="B7830" i="106" s="1"/>
  <c r="D7830" i="106" s="1"/>
  <c r="B719" i="106"/>
  <c r="D719" i="106" s="1"/>
  <c r="B6735" i="106"/>
  <c r="D6735" i="106" s="1"/>
  <c r="B4944" i="106"/>
  <c r="D4944" i="106" s="1"/>
  <c r="B900" i="106"/>
  <c r="D900" i="106" s="1"/>
  <c r="B5464" i="106"/>
  <c r="D5464" i="106" s="1"/>
  <c r="K108" i="5"/>
  <c r="B5999" i="106" s="1"/>
  <c r="D5999" i="106" s="1"/>
  <c r="B5996" i="106"/>
  <c r="D5996" i="106" s="1"/>
  <c r="B5359" i="106"/>
  <c r="D5359" i="106" s="1"/>
  <c r="B7188" i="106"/>
  <c r="D7188" i="106" s="1"/>
  <c r="B5350" i="106"/>
  <c r="D5350" i="106" s="1"/>
  <c r="B1307" i="106"/>
  <c r="D1307" i="106" s="1"/>
  <c r="K171" i="29"/>
  <c r="B1330" i="106" s="1"/>
  <c r="D1330" i="106" s="1"/>
  <c r="E172" i="29"/>
  <c r="B4359" i="106"/>
  <c r="D4359" i="106" s="1"/>
  <c r="B6700" i="106"/>
  <c r="D6700" i="106" s="1"/>
  <c r="B173" i="106"/>
  <c r="D173" i="106" s="1"/>
  <c r="G13" i="3"/>
  <c r="B180" i="106" s="1"/>
  <c r="D180" i="106" s="1"/>
  <c r="B6158" i="106"/>
  <c r="D6158" i="106" s="1"/>
  <c r="B6336" i="106"/>
  <c r="D6336" i="106" s="1"/>
  <c r="B1531" i="106"/>
  <c r="D1531" i="106" s="1"/>
  <c r="E303" i="29"/>
  <c r="B7045" i="106"/>
  <c r="D7045" i="106" s="1"/>
  <c r="B4379" i="106"/>
  <c r="D4379" i="106" s="1"/>
  <c r="B5081" i="106"/>
  <c r="D5081" i="106" s="1"/>
  <c r="C198" i="5"/>
  <c r="F126" i="34" s="1"/>
  <c r="B7858" i="106" s="1"/>
  <c r="D7858" i="106" s="1"/>
  <c r="B6401" i="106"/>
  <c r="D6401" i="106" s="1"/>
  <c r="B925" i="106"/>
  <c r="D925" i="106" s="1"/>
  <c r="B7885" i="106"/>
  <c r="D7885" i="106" s="1"/>
  <c r="B6803" i="106"/>
  <c r="D6803" i="106" s="1"/>
  <c r="B1007" i="106"/>
  <c r="D1007" i="106" s="1"/>
  <c r="B6317" i="106"/>
  <c r="D6317" i="106" s="1"/>
  <c r="B6831" i="106"/>
  <c r="D6831" i="106" s="1"/>
  <c r="B6349" i="106"/>
  <c r="D6349" i="106" s="1"/>
  <c r="B814" i="106"/>
  <c r="D814" i="106" s="1"/>
  <c r="B5604" i="106"/>
  <c r="D5604" i="106" s="1"/>
  <c r="K207" i="29"/>
  <c r="B7070" i="106" s="1"/>
  <c r="D7070" i="106" s="1"/>
  <c r="B7069" i="106"/>
  <c r="D7069" i="106" s="1"/>
  <c r="F105" i="34"/>
  <c r="B5118" i="106"/>
  <c r="D5118" i="106" s="1"/>
  <c r="B7129" i="106"/>
  <c r="D7129" i="106" s="1"/>
  <c r="B5014" i="106"/>
  <c r="D5014" i="106" s="1"/>
  <c r="B7179" i="106"/>
  <c r="D7179" i="106" s="1"/>
  <c r="B954" i="106"/>
  <c r="D954" i="106" s="1"/>
  <c r="H12" i="5"/>
  <c r="B5873" i="106" s="1"/>
  <c r="D5873" i="106" s="1"/>
  <c r="B5871" i="106"/>
  <c r="D5871" i="106" s="1"/>
  <c r="B9" i="7"/>
  <c r="B6172" i="106"/>
  <c r="D6172" i="106" s="1"/>
  <c r="B5137" i="106"/>
  <c r="D5137" i="106" s="1"/>
  <c r="B6862" i="106"/>
  <c r="D6862" i="106" s="1"/>
  <c r="B5097" i="106"/>
  <c r="D5097" i="106" s="1"/>
  <c r="C82" i="5"/>
  <c r="B5989" i="106"/>
  <c r="D5989" i="106" s="1"/>
  <c r="H41" i="4"/>
  <c r="B6289" i="106" s="1"/>
  <c r="D6289" i="106" s="1"/>
  <c r="B6250" i="106"/>
  <c r="D6250" i="106" s="1"/>
  <c r="F130" i="34"/>
  <c r="B7862" i="106" s="1"/>
  <c r="D7862" i="106" s="1"/>
  <c r="B5279" i="106"/>
  <c r="D5279" i="106" s="1"/>
  <c r="B5625" i="106"/>
  <c r="D5625" i="106" s="1"/>
  <c r="B6347" i="106"/>
  <c r="D6347" i="106" s="1"/>
  <c r="B1422" i="106"/>
  <c r="D1422" i="106" s="1"/>
  <c r="D257" i="29"/>
  <c r="B1424" i="106" s="1"/>
  <c r="D1424" i="106" s="1"/>
  <c r="K245" i="29"/>
  <c r="H13" i="3"/>
  <c r="B203" i="106" s="1"/>
  <c r="D203" i="106" s="1"/>
  <c r="B3519" i="106"/>
  <c r="D3519" i="106" s="1"/>
  <c r="H330" i="29"/>
  <c r="B7123" i="106"/>
  <c r="D7123" i="106" s="1"/>
  <c r="B6337" i="106"/>
  <c r="D6337" i="106" s="1"/>
  <c r="B7688" i="106"/>
  <c r="D7688" i="106" s="1"/>
  <c r="K328" i="29"/>
  <c r="K330" i="29" s="1"/>
  <c r="B1431" i="106"/>
  <c r="D1431" i="106" s="1"/>
  <c r="K266" i="29"/>
  <c r="B1495" i="106" s="1"/>
  <c r="D1495" i="106" s="1"/>
  <c r="B6390" i="106"/>
  <c r="D6390" i="106" s="1"/>
  <c r="B7232" i="106"/>
  <c r="D7232" i="106" s="1"/>
  <c r="B832" i="106"/>
  <c r="D832" i="106" s="1"/>
  <c r="B6656" i="106"/>
  <c r="D6656" i="106" s="1"/>
  <c r="F163" i="34"/>
  <c r="B7870" i="106" s="1"/>
  <c r="D7870" i="106" s="1"/>
  <c r="B5315" i="106"/>
  <c r="D5315" i="106" s="1"/>
  <c r="B6742" i="106"/>
  <c r="D6742" i="106" s="1"/>
  <c r="B5858" i="106"/>
  <c r="D5858" i="106" s="1"/>
  <c r="B6767" i="106"/>
  <c r="D6767" i="106" s="1"/>
  <c r="H18" i="5"/>
  <c r="B5878" i="106" s="1"/>
  <c r="D5878" i="106" s="1"/>
  <c r="B5874" i="106"/>
  <c r="D5874" i="106" s="1"/>
  <c r="B3373" i="106"/>
  <c r="D3373" i="106" s="1"/>
  <c r="B7025" i="106"/>
  <c r="D7025" i="106" s="1"/>
  <c r="J127" i="29"/>
  <c r="B7034" i="106" s="1"/>
  <c r="D7034" i="106" s="1"/>
  <c r="B6731" i="106"/>
  <c r="D6731" i="106" s="1"/>
  <c r="B4392" i="106"/>
  <c r="D4392" i="106" s="1"/>
  <c r="K280" i="29"/>
  <c r="G14" i="4" s="1"/>
  <c r="B2609" i="106" s="1"/>
  <c r="D2609" i="106" s="1"/>
  <c r="B1447" i="106"/>
  <c r="D1447" i="106" s="1"/>
  <c r="B6325" i="106"/>
  <c r="D6325" i="106" s="1"/>
  <c r="B4311" i="106"/>
  <c r="D4311" i="106" s="1"/>
  <c r="B5517" i="106"/>
  <c r="D5517" i="106" s="1"/>
  <c r="B809" i="106"/>
  <c r="D809" i="106" s="1"/>
  <c r="F142" i="34"/>
  <c r="B6682" i="106"/>
  <c r="D6682" i="106" s="1"/>
  <c r="B3230" i="106"/>
  <c r="D3230" i="106" s="1"/>
  <c r="B1020" i="106"/>
  <c r="D1020" i="106" s="1"/>
  <c r="B5239" i="106"/>
  <c r="D5239" i="106" s="1"/>
  <c r="B5884" i="106"/>
  <c r="D5884" i="106" s="1"/>
  <c r="B6115" i="106"/>
  <c r="D6115" i="106" s="1"/>
  <c r="B5064" i="106"/>
  <c r="D5064" i="106" s="1"/>
  <c r="B17" i="7"/>
  <c r="B4121" i="106"/>
  <c r="D4121" i="106" s="1"/>
  <c r="K18" i="4"/>
  <c r="B4135" i="106" s="1"/>
  <c r="D4135" i="106" s="1"/>
  <c r="B5710" i="106"/>
  <c r="D5710" i="106" s="1"/>
  <c r="B6813" i="106"/>
  <c r="D6813" i="106" s="1"/>
  <c r="B5723" i="106"/>
  <c r="D5723" i="106" s="1"/>
  <c r="B16" i="7"/>
  <c r="B5740" i="106"/>
  <c r="D5740" i="106" s="1"/>
  <c r="K61" i="29"/>
  <c r="B740" i="106"/>
  <c r="D740" i="106" s="1"/>
  <c r="B4382" i="106"/>
  <c r="D4382" i="106" s="1"/>
  <c r="B5779" i="106"/>
  <c r="D5779" i="106" s="1"/>
  <c r="G175" i="5"/>
  <c r="B5780" i="106" s="1"/>
  <c r="D5780" i="106" s="1"/>
  <c r="B787" i="106"/>
  <c r="D787" i="106" s="1"/>
  <c r="B5821" i="106"/>
  <c r="D5821" i="106" s="1"/>
  <c r="B895" i="106"/>
  <c r="D895" i="106" s="1"/>
  <c r="F42" i="29"/>
  <c r="B5248" i="106"/>
  <c r="D5248" i="106" s="1"/>
  <c r="B917" i="106"/>
  <c r="D917" i="106" s="1"/>
  <c r="G67" i="5"/>
  <c r="B5733" i="106" s="1"/>
  <c r="D5733" i="106" s="1"/>
  <c r="B5731" i="106"/>
  <c r="D5731" i="106" s="1"/>
  <c r="J53" i="29"/>
  <c r="B6943" i="106" s="1"/>
  <c r="D6943" i="106" s="1"/>
  <c r="B6927" i="106"/>
  <c r="D6927" i="106" s="1"/>
  <c r="B7247" i="106"/>
  <c r="D7247" i="106" s="1"/>
  <c r="B6346" i="106"/>
  <c r="D6346" i="106" s="1"/>
  <c r="B930" i="106"/>
  <c r="D930" i="106" s="1"/>
  <c r="B1014" i="106"/>
  <c r="D1014" i="106" s="1"/>
  <c r="F143" i="34"/>
  <c r="B6690" i="106"/>
  <c r="D6690" i="106" s="1"/>
  <c r="B6291" i="106"/>
  <c r="D6291" i="106" s="1"/>
  <c r="B7141" i="106"/>
  <c r="D7141" i="106" s="1"/>
  <c r="B4215" i="106"/>
  <c r="D4215" i="106" s="1"/>
  <c r="K10" i="29"/>
  <c r="B3062" i="106" s="1"/>
  <c r="D3062" i="106" s="1"/>
  <c r="B3055" i="106"/>
  <c r="D3055" i="106" s="1"/>
  <c r="B5601" i="106"/>
  <c r="D5601" i="106" s="1"/>
  <c r="K164" i="29"/>
  <c r="B1325" i="106" s="1"/>
  <c r="D1325" i="106" s="1"/>
  <c r="B1311" i="106"/>
  <c r="D1311" i="106" s="1"/>
  <c r="B3368" i="106"/>
  <c r="D3368" i="106" s="1"/>
  <c r="B4345" i="106"/>
  <c r="D4345" i="106" s="1"/>
  <c r="B4916" i="106"/>
  <c r="D4916" i="106" s="1"/>
  <c r="B2954" i="106"/>
  <c r="D2954" i="106" s="1"/>
  <c r="K83" i="29"/>
  <c r="B2978" i="106" s="1"/>
  <c r="D2978" i="106" s="1"/>
  <c r="B4883" i="106"/>
  <c r="D4883" i="106" s="1"/>
  <c r="G57" i="29"/>
  <c r="B969" i="106" s="1"/>
  <c r="D969" i="106" s="1"/>
  <c r="B967" i="106"/>
  <c r="D967" i="106" s="1"/>
  <c r="K125" i="29"/>
  <c r="B3488" i="106" s="1"/>
  <c r="D3488" i="106" s="1"/>
  <c r="B3482" i="106"/>
  <c r="D3482" i="106" s="1"/>
  <c r="B6182" i="106"/>
  <c r="D6182" i="106" s="1"/>
  <c r="B5600" i="106"/>
  <c r="D5600" i="106" s="1"/>
  <c r="F132" i="5"/>
  <c r="B5614" i="106" s="1"/>
  <c r="D5614" i="106" s="1"/>
  <c r="I330" i="29"/>
  <c r="B7205" i="106" s="1"/>
  <c r="D7205" i="106" s="1"/>
  <c r="B7124" i="106"/>
  <c r="D7124" i="106" s="1"/>
  <c r="B7185" i="106"/>
  <c r="D7185" i="106" s="1"/>
  <c r="B6788" i="106"/>
  <c r="D6788" i="106" s="1"/>
  <c r="E18" i="5"/>
  <c r="B5518" i="106" s="1"/>
  <c r="D5518" i="106" s="1"/>
  <c r="B5514" i="106"/>
  <c r="D5514" i="106" s="1"/>
  <c r="F129" i="34"/>
  <c r="B7861" i="106" s="1"/>
  <c r="D7861" i="106" s="1"/>
  <c r="B5278" i="106"/>
  <c r="D5278" i="106" s="1"/>
  <c r="B7816" i="106"/>
  <c r="D7816" i="106" s="1"/>
  <c r="B2997" i="106"/>
  <c r="D2997" i="106" s="1"/>
  <c r="C53" i="29"/>
  <c r="B734" i="106" s="1"/>
  <c r="D734" i="106" s="1"/>
  <c r="B732" i="106"/>
  <c r="D732" i="106" s="1"/>
  <c r="K49" i="29"/>
  <c r="K53" i="29" s="1"/>
  <c r="B5196" i="106"/>
  <c r="D5196" i="106" s="1"/>
  <c r="B4335" i="106"/>
  <c r="D4335" i="106" s="1"/>
  <c r="B18" i="7"/>
  <c r="B5065" i="106"/>
  <c r="D5065" i="106" s="1"/>
  <c r="B6366" i="106"/>
  <c r="D6366" i="106" s="1"/>
  <c r="B6358" i="106"/>
  <c r="D6358" i="106" s="1"/>
  <c r="B1227" i="106"/>
  <c r="D1227" i="106" s="1"/>
  <c r="D127" i="29"/>
  <c r="B1231" i="106" s="1"/>
  <c r="D1231" i="106" s="1"/>
  <c r="B805" i="106"/>
  <c r="D805" i="106" s="1"/>
  <c r="B7009" i="106"/>
  <c r="D7009" i="106" s="1"/>
  <c r="K332" i="29"/>
  <c r="B7785" i="106"/>
  <c r="D7785" i="106" s="1"/>
  <c r="H334" i="29"/>
  <c r="B7789" i="106" s="1"/>
  <c r="D7789" i="106" s="1"/>
  <c r="B6632" i="106"/>
  <c r="D6632" i="106" s="1"/>
  <c r="B3057" i="106"/>
  <c r="D3057" i="106" s="1"/>
  <c r="B7036" i="106"/>
  <c r="D7036" i="106" s="1"/>
  <c r="B7143" i="106"/>
  <c r="D7143" i="106" s="1"/>
  <c r="B3366" i="106"/>
  <c r="D3366" i="106" s="1"/>
  <c r="K8" i="29"/>
  <c r="B3380" i="106" s="1"/>
  <c r="D3380" i="106" s="1"/>
  <c r="B6779" i="106"/>
  <c r="D6779" i="106" s="1"/>
  <c r="B6655" i="106"/>
  <c r="D6655" i="106" s="1"/>
  <c r="B6090" i="106"/>
  <c r="D6090" i="106" s="1"/>
  <c r="K241" i="29"/>
  <c r="B1483" i="106" s="1"/>
  <c r="D1483" i="106" s="1"/>
  <c r="B1419" i="106"/>
  <c r="D1419" i="106" s="1"/>
  <c r="K229" i="29"/>
  <c r="B7063" i="106"/>
  <c r="D7063" i="106" s="1"/>
  <c r="B3675" i="106"/>
  <c r="D3675" i="106" s="1"/>
  <c r="K362" i="29"/>
  <c r="B5893" i="106"/>
  <c r="D5893" i="106" s="1"/>
  <c r="B7200" i="106"/>
  <c r="D7200" i="106" s="1"/>
  <c r="D342" i="29"/>
  <c r="B7217" i="106" s="1"/>
  <c r="D7217" i="106" s="1"/>
  <c r="E44" i="4"/>
  <c r="D14" i="7"/>
  <c r="B1770" i="106" s="1"/>
  <c r="D1770" i="106" s="1"/>
  <c r="B1754" i="106"/>
  <c r="D1754" i="106" s="1"/>
  <c r="D37" i="108"/>
  <c r="F37" i="108"/>
  <c r="I352" i="29"/>
  <c r="B7230" i="106"/>
  <c r="D7230" i="106" s="1"/>
  <c r="B5725" i="106"/>
  <c r="D5725" i="106" s="1"/>
  <c r="H76" i="4"/>
  <c r="B3298" i="106" s="1"/>
  <c r="D3298" i="106" s="1"/>
  <c r="B7107" i="106"/>
  <c r="D7107" i="106" s="1"/>
  <c r="B7047" i="106"/>
  <c r="D7047" i="106" s="1"/>
  <c r="H149" i="29"/>
  <c r="B1272" i="106" s="1"/>
  <c r="D1272" i="106" s="1"/>
  <c r="B6897" i="106"/>
  <c r="D6897" i="106" s="1"/>
  <c r="F49" i="34"/>
  <c r="G33" i="108"/>
  <c r="E17" i="184"/>
  <c r="H17" i="184" s="1"/>
  <c r="I312" i="29"/>
  <c r="B7116" i="106" s="1"/>
  <c r="D7116" i="106" s="1"/>
  <c r="B7103" i="106"/>
  <c r="D7103" i="106" s="1"/>
  <c r="B3633" i="106"/>
  <c r="D3633" i="106" s="1"/>
  <c r="E352" i="29"/>
  <c r="B7705" i="106"/>
  <c r="D7705" i="106" s="1"/>
  <c r="E67" i="184"/>
  <c r="N67" i="184" s="1"/>
  <c r="B4398" i="106"/>
  <c r="D4398" i="106" s="1"/>
  <c r="B5369" i="106"/>
  <c r="D5369" i="106" s="1"/>
  <c r="E38" i="108"/>
  <c r="G38" i="108"/>
  <c r="B1142" i="106"/>
  <c r="D1142" i="106" s="1"/>
  <c r="F42" i="34"/>
  <c r="B6883" i="106"/>
  <c r="D6883" i="106" s="1"/>
  <c r="B3252" i="106"/>
  <c r="D3252" i="106" s="1"/>
  <c r="B4087" i="106"/>
  <c r="D4087" i="106" s="1"/>
  <c r="K184" i="29"/>
  <c r="D11" i="7"/>
  <c r="B1768" i="106" s="1"/>
  <c r="D1768" i="106" s="1"/>
  <c r="B1752" i="106"/>
  <c r="D1752" i="106" s="1"/>
  <c r="D27" i="108"/>
  <c r="B1127" i="106"/>
  <c r="D1127" i="106" s="1"/>
  <c r="F27" i="108"/>
  <c r="E59" i="184"/>
  <c r="N59" i="184" s="1"/>
  <c r="E28" i="108"/>
  <c r="B1128" i="106"/>
  <c r="D1128" i="106" s="1"/>
  <c r="F28" i="108"/>
  <c r="B1470" i="106"/>
  <c r="D1470" i="106" s="1"/>
  <c r="F70" i="34"/>
  <c r="B7126" i="106"/>
  <c r="D7126" i="106" s="1"/>
  <c r="E57" i="184"/>
  <c r="B1751" i="106"/>
  <c r="D1751" i="106" s="1"/>
  <c r="D9" i="7"/>
  <c r="B1767" i="106" s="1"/>
  <c r="D1767" i="106" s="1"/>
  <c r="F26" i="108"/>
  <c r="D26" i="108"/>
  <c r="B1126" i="106"/>
  <c r="D1126" i="106" s="1"/>
  <c r="E15" i="184"/>
  <c r="E312" i="29"/>
  <c r="B1536" i="106" s="1"/>
  <c r="D1536" i="106" s="1"/>
  <c r="B1535" i="106"/>
  <c r="D1535" i="106" s="1"/>
  <c r="F34" i="34"/>
  <c r="B7826" i="106" s="1"/>
  <c r="D7826" i="106" s="1"/>
  <c r="B6848" i="106"/>
  <c r="D6848" i="106" s="1"/>
  <c r="B1123" i="106"/>
  <c r="D1123" i="106" s="1"/>
  <c r="K57" i="29"/>
  <c r="B6357" i="106"/>
  <c r="D6357" i="106" s="1"/>
  <c r="B2823" i="106"/>
  <c r="D2823" i="106" s="1"/>
  <c r="E196" i="29"/>
  <c r="B5334" i="106"/>
  <c r="D5334" i="106" s="1"/>
  <c r="B7792" i="106"/>
  <c r="D7792" i="106" s="1"/>
  <c r="K357" i="29"/>
  <c r="B1329" i="106"/>
  <c r="D1329" i="106" s="1"/>
  <c r="F61" i="34"/>
  <c r="B1553" i="106"/>
  <c r="D1553" i="106" s="1"/>
  <c r="H312" i="29"/>
  <c r="B1554" i="106" s="1"/>
  <c r="D1554" i="106" s="1"/>
  <c r="D352" i="29"/>
  <c r="B3626" i="106"/>
  <c r="D3626" i="106" s="1"/>
  <c r="G74" i="29"/>
  <c r="B959" i="106"/>
  <c r="D959" i="106" s="1"/>
  <c r="B1144" i="106"/>
  <c r="D1144" i="106" s="1"/>
  <c r="E39" i="108"/>
  <c r="G39" i="108"/>
  <c r="B5066" i="106"/>
  <c r="D5066" i="106" s="1"/>
  <c r="J109" i="5"/>
  <c r="B6301" i="106"/>
  <c r="D6301" i="106" s="1"/>
  <c r="J342" i="29"/>
  <c r="B7223" i="106" s="1"/>
  <c r="D7223" i="106" s="1"/>
  <c r="B7206" i="106"/>
  <c r="D7206" i="106" s="1"/>
  <c r="B1511" i="106"/>
  <c r="D1511" i="106" s="1"/>
  <c r="B7784" i="106"/>
  <c r="D7784" i="106" s="1"/>
  <c r="K285" i="29"/>
  <c r="B6885" i="106"/>
  <c r="D6885" i="106" s="1"/>
  <c r="B1358" i="106"/>
  <c r="D1358" i="106" s="1"/>
  <c r="F210" i="29"/>
  <c r="B1359" i="106" s="1"/>
  <c r="D1359" i="106" s="1"/>
  <c r="B7198" i="106"/>
  <c r="D7198" i="106" s="1"/>
  <c r="E65" i="184"/>
  <c r="N65" i="184" s="1"/>
  <c r="B7776" i="106"/>
  <c r="D7776" i="106" s="1"/>
  <c r="B7202" i="106"/>
  <c r="D7202" i="106" s="1"/>
  <c r="F342" i="29"/>
  <c r="B7219" i="106" s="1"/>
  <c r="D7219" i="106" s="1"/>
  <c r="B3007" i="106"/>
  <c r="D3007" i="106" s="1"/>
  <c r="B4395" i="106"/>
  <c r="D4395" i="106" s="1"/>
  <c r="B1747" i="106"/>
  <c r="D1747" i="106" s="1"/>
  <c r="D7" i="7"/>
  <c r="B1763" i="106" s="1"/>
  <c r="D1763" i="106" s="1"/>
  <c r="B1314" i="106"/>
  <c r="D1314" i="106" s="1"/>
  <c r="H172" i="29"/>
  <c r="G129" i="29"/>
  <c r="B7203" i="106"/>
  <c r="D7203" i="106" s="1"/>
  <c r="G342" i="29"/>
  <c r="H196" i="29"/>
  <c r="B2828" i="106"/>
  <c r="D2828" i="106" s="1"/>
  <c r="B1417" i="106"/>
  <c r="D1417" i="106" s="1"/>
  <c r="B6899" i="106"/>
  <c r="D6899" i="106" s="1"/>
  <c r="F50" i="34"/>
  <c r="C210" i="29"/>
  <c r="B1340" i="106" s="1"/>
  <c r="D1340" i="106" s="1"/>
  <c r="B1339" i="106"/>
  <c r="D1339" i="106" s="1"/>
  <c r="F36" i="34"/>
  <c r="B7828" i="106" s="1"/>
  <c r="D7828" i="106" s="1"/>
  <c r="B6858" i="106"/>
  <c r="D6858" i="106" s="1"/>
  <c r="D4" i="7"/>
  <c r="B19" i="7"/>
  <c r="B1759" i="106" s="1"/>
  <c r="D1759" i="106" s="1"/>
  <c r="B1744" i="106"/>
  <c r="D1744" i="106" s="1"/>
  <c r="K266" i="5"/>
  <c r="B1136" i="106"/>
  <c r="D1136" i="106" s="1"/>
  <c r="B4102" i="106"/>
  <c r="D4102" i="106" s="1"/>
  <c r="D17" i="7"/>
  <c r="B4104" i="106" s="1"/>
  <c r="D4104" i="106" s="1"/>
  <c r="E66" i="184"/>
  <c r="N66" i="184" s="1"/>
  <c r="B7696" i="106"/>
  <c r="D7696" i="106" s="1"/>
  <c r="B1486" i="106"/>
  <c r="D1486" i="106" s="1"/>
  <c r="K257" i="29"/>
  <c r="B1488" i="106" s="1"/>
  <c r="D1488" i="106" s="1"/>
  <c r="B5102" i="106"/>
  <c r="D5102" i="106" s="1"/>
  <c r="F96" i="34"/>
  <c r="B7838" i="106" s="1"/>
  <c r="D7838" i="106" s="1"/>
  <c r="B5741" i="106"/>
  <c r="D5741" i="106" s="1"/>
  <c r="B5246" i="106"/>
  <c r="D5246" i="106" s="1"/>
  <c r="E61" i="184"/>
  <c r="N61" i="184" s="1"/>
  <c r="B7162" i="106"/>
  <c r="D7162" i="106" s="1"/>
  <c r="J77" i="4"/>
  <c r="B6262" i="106" s="1"/>
  <c r="D6262" i="106" s="1"/>
  <c r="B6238" i="106"/>
  <c r="D6238" i="106" s="1"/>
  <c r="B1512" i="106"/>
  <c r="D1512" i="106" s="1"/>
  <c r="K293" i="29"/>
  <c r="B1756" i="106"/>
  <c r="D1756" i="106" s="1"/>
  <c r="D15" i="7"/>
  <c r="B1772" i="106" s="1"/>
  <c r="D1772" i="106" s="1"/>
  <c r="B1529" i="106"/>
  <c r="D1529" i="106" s="1"/>
  <c r="D312" i="29"/>
  <c r="B1530" i="106" s="1"/>
  <c r="D1530" i="106" s="1"/>
  <c r="F352" i="29"/>
  <c r="B3640" i="106"/>
  <c r="D3640" i="106" s="1"/>
  <c r="G352" i="29"/>
  <c r="B3647" i="106"/>
  <c r="D3647" i="106" s="1"/>
  <c r="D210" i="29"/>
  <c r="B1346" i="106" s="1"/>
  <c r="D1346" i="106" s="1"/>
  <c r="B1345" i="106"/>
  <c r="D1345" i="106" s="1"/>
  <c r="B1093" i="106"/>
  <c r="D1093" i="106" s="1"/>
  <c r="E60" i="184"/>
  <c r="N60" i="184" s="1"/>
  <c r="B7153" i="106"/>
  <c r="D7153" i="106" s="1"/>
  <c r="B2081" i="106"/>
  <c r="D2081" i="106" s="1"/>
  <c r="F15" i="184"/>
  <c r="F19" i="184" s="1"/>
  <c r="B1274" i="106"/>
  <c r="D1274" i="106" s="1"/>
  <c r="E26" i="108"/>
  <c r="G26" i="108"/>
  <c r="B5752" i="106"/>
  <c r="D5752" i="106" s="1"/>
  <c r="B6006" i="106"/>
  <c r="D6006" i="106" s="1"/>
  <c r="K170" i="5"/>
  <c r="K303" i="29"/>
  <c r="B1555" i="106"/>
  <c r="D1555" i="106" s="1"/>
  <c r="F46" i="34"/>
  <c r="B6891" i="106"/>
  <c r="D6891" i="106" s="1"/>
  <c r="K340" i="29"/>
  <c r="B7209" i="106"/>
  <c r="D7209" i="106" s="1"/>
  <c r="B1308" i="106"/>
  <c r="D1308" i="106" s="1"/>
  <c r="E174" i="29"/>
  <c r="B1309" i="106" s="1"/>
  <c r="D1309" i="106" s="1"/>
  <c r="I342" i="29"/>
  <c r="B7104" i="106"/>
  <c r="D7104" i="106" s="1"/>
  <c r="J312" i="29"/>
  <c r="B7117" i="106" s="1"/>
  <c r="D7117" i="106" s="1"/>
  <c r="H208" i="29"/>
  <c r="B1375" i="106" s="1"/>
  <c r="D1375" i="106" s="1"/>
  <c r="B4156" i="106"/>
  <c r="D4156" i="106" s="1"/>
  <c r="D16" i="7"/>
  <c r="B3447" i="106" s="1"/>
  <c r="D3447" i="106" s="1"/>
  <c r="B3446" i="106"/>
  <c r="D3446" i="106" s="1"/>
  <c r="F71" i="34"/>
  <c r="B1473" i="106"/>
  <c r="D1473" i="106" s="1"/>
  <c r="B3725" i="106"/>
  <c r="D3725" i="106" s="1"/>
  <c r="D13" i="7"/>
  <c r="B3726" i="106" s="1"/>
  <c r="D3726" i="106" s="1"/>
  <c r="B1452" i="106"/>
  <c r="D1452" i="106" s="1"/>
  <c r="H295" i="29"/>
  <c r="B1454" i="106" s="1"/>
  <c r="D1454" i="106" s="1"/>
  <c r="H44" i="4"/>
  <c r="B7064" i="106"/>
  <c r="D7064" i="106" s="1"/>
  <c r="J210" i="29"/>
  <c r="B7072" i="106" s="1"/>
  <c r="D7072" i="106" s="1"/>
  <c r="B1146" i="106"/>
  <c r="D1146" i="106" s="1"/>
  <c r="B6877" i="106"/>
  <c r="D6877" i="106" s="1"/>
  <c r="F39" i="34"/>
  <c r="F48" i="34"/>
  <c r="B6895" i="106"/>
  <c r="D6895" i="106" s="1"/>
  <c r="B1753" i="106"/>
  <c r="D1753" i="106" s="1"/>
  <c r="D12" i="7"/>
  <c r="B1769" i="106" s="1"/>
  <c r="D1769" i="106" s="1"/>
  <c r="D6" i="7"/>
  <c r="B1762" i="106" s="1"/>
  <c r="D1762" i="106" s="1"/>
  <c r="B1746" i="106"/>
  <c r="D1746" i="106" s="1"/>
  <c r="G312" i="29"/>
  <c r="B1548" i="106" s="1"/>
  <c r="D1548" i="106" s="1"/>
  <c r="B1547" i="106"/>
  <c r="D1547" i="106" s="1"/>
  <c r="B6881" i="106"/>
  <c r="D6881" i="106" s="1"/>
  <c r="C312" i="29"/>
  <c r="B1524" i="106" s="1"/>
  <c r="D1524" i="106" s="1"/>
  <c r="B1523" i="106"/>
  <c r="D1523" i="106" s="1"/>
  <c r="B6887" i="106"/>
  <c r="D6887" i="106" s="1"/>
  <c r="F44" i="34"/>
  <c r="K160" i="29"/>
  <c r="B7778" i="106"/>
  <c r="D7778" i="106" s="1"/>
  <c r="I267" i="5"/>
  <c r="B4373" i="106"/>
  <c r="D4373" i="106" s="1"/>
  <c r="B4396" i="106"/>
  <c r="D4396" i="106" s="1"/>
  <c r="B5534" i="106"/>
  <c r="D5534" i="106" s="1"/>
  <c r="E170" i="5"/>
  <c r="K350" i="29"/>
  <c r="B3668" i="106"/>
  <c r="D3668" i="106" s="1"/>
  <c r="I170" i="5"/>
  <c r="B4363" i="106"/>
  <c r="D4363" i="106" s="1"/>
  <c r="B6853" i="106"/>
  <c r="D6853" i="106" s="1"/>
  <c r="F35" i="34"/>
  <c r="B7827" i="106" s="1"/>
  <c r="D7827" i="106" s="1"/>
  <c r="B5232" i="106"/>
  <c r="D5232" i="106" s="1"/>
  <c r="E63" i="184"/>
  <c r="N63" i="184" s="1"/>
  <c r="B7180" i="106"/>
  <c r="D7180" i="106" s="1"/>
  <c r="D129" i="29"/>
  <c r="B5125" i="106"/>
  <c r="D5125" i="106" s="1"/>
  <c r="C5" i="4"/>
  <c r="B3405" i="106" s="1"/>
  <c r="D3405" i="106" s="1"/>
  <c r="B2789" i="106"/>
  <c r="D2789" i="106" s="1"/>
  <c r="E102" i="29"/>
  <c r="B2790" i="106" s="1"/>
  <c r="D2790" i="106" s="1"/>
  <c r="B6901" i="106"/>
  <c r="D6901" i="106" s="1"/>
  <c r="F51" i="34"/>
  <c r="B1124" i="106"/>
  <c r="D1124" i="106" s="1"/>
  <c r="E14" i="184"/>
  <c r="H14" i="184" s="1"/>
  <c r="B7201" i="106"/>
  <c r="D7201" i="106" s="1"/>
  <c r="E342" i="29"/>
  <c r="B7218" i="106" s="1"/>
  <c r="D7218" i="106" s="1"/>
  <c r="B5592" i="106"/>
  <c r="D5592" i="106" s="1"/>
  <c r="F5" i="4"/>
  <c r="B3408" i="106" s="1"/>
  <c r="D3408" i="106" s="1"/>
  <c r="K277" i="29"/>
  <c r="B1508" i="106" s="1"/>
  <c r="D1508" i="106" s="1"/>
  <c r="B1501" i="106"/>
  <c r="D1501" i="106" s="1"/>
  <c r="B1364" i="106"/>
  <c r="D1364" i="106" s="1"/>
  <c r="G210" i="29"/>
  <c r="B3654" i="106"/>
  <c r="D3654" i="106" s="1"/>
  <c r="H352" i="29"/>
  <c r="B1489" i="106"/>
  <c r="D1489" i="106" s="1"/>
  <c r="K261" i="29"/>
  <c r="B1491" i="106" s="1"/>
  <c r="D1491" i="106" s="1"/>
  <c r="B6838" i="106"/>
  <c r="D6838" i="106" s="1"/>
  <c r="H266" i="5"/>
  <c r="B5304" i="106"/>
  <c r="D5304" i="106" s="1"/>
  <c r="B7786" i="106"/>
  <c r="D7786" i="106" s="1"/>
  <c r="K334" i="29"/>
  <c r="B5096" i="106"/>
  <c r="D5096" i="106" s="1"/>
  <c r="F95" i="34"/>
  <c r="F37" i="34"/>
  <c r="B7829" i="106" s="1"/>
  <c r="D7829" i="106" s="1"/>
  <c r="B7204" i="106"/>
  <c r="D7204" i="106" s="1"/>
  <c r="H342" i="29"/>
  <c r="B7221" i="106" s="1"/>
  <c r="D7221" i="106" s="1"/>
  <c r="B1129" i="106"/>
  <c r="D1129" i="106" s="1"/>
  <c r="E29" i="108"/>
  <c r="G29" i="108"/>
  <c r="F312" i="29"/>
  <c r="B1542" i="106" s="1"/>
  <c r="D1542" i="106" s="1"/>
  <c r="B1541" i="106"/>
  <c r="D1541" i="106" s="1"/>
  <c r="E58" i="184"/>
  <c r="N58" i="184" s="1"/>
  <c r="B7135" i="106"/>
  <c r="D7135" i="106" s="1"/>
  <c r="B1492" i="106"/>
  <c r="D1492" i="106" s="1"/>
  <c r="B2973" i="106"/>
  <c r="D2973" i="106" s="1"/>
  <c r="K84" i="29"/>
  <c r="B2088" i="106" s="1"/>
  <c r="D2088" i="106" s="1"/>
  <c r="H74" i="29"/>
  <c r="B1017" i="106"/>
  <c r="D1017" i="106" s="1"/>
  <c r="D74" i="29"/>
  <c r="B1121" i="106"/>
  <c r="D1121" i="106" s="1"/>
  <c r="E12" i="184"/>
  <c r="K76" i="4"/>
  <c r="B3702" i="106"/>
  <c r="D3702" i="106" s="1"/>
  <c r="B5513" i="106"/>
  <c r="D5513" i="106" s="1"/>
  <c r="B4411" i="106"/>
  <c r="D4411" i="106" s="1"/>
  <c r="B7189" i="106"/>
  <c r="D7189" i="106" s="1"/>
  <c r="E64" i="184"/>
  <c r="N64" i="184" s="1"/>
  <c r="B2105" i="106"/>
  <c r="D2105" i="106" s="1"/>
  <c r="B5147" i="106"/>
  <c r="D5147" i="106" s="1"/>
  <c r="B1131" i="106"/>
  <c r="D1131" i="106" s="1"/>
  <c r="F31" i="108"/>
  <c r="E16" i="184"/>
  <c r="H16" i="184" s="1"/>
  <c r="D31" i="108"/>
  <c r="B3619" i="106"/>
  <c r="D3619" i="106" s="1"/>
  <c r="C352" i="29"/>
  <c r="H365" i="29"/>
  <c r="B7242" i="106" s="1"/>
  <c r="D7242" i="106" s="1"/>
  <c r="B3658" i="106"/>
  <c r="D3658" i="106" s="1"/>
  <c r="D18" i="7"/>
  <c r="B4105" i="106" s="1"/>
  <c r="D4105" i="106" s="1"/>
  <c r="B4103" i="106"/>
  <c r="D4103" i="106" s="1"/>
  <c r="B1109" i="106"/>
  <c r="D1109" i="106" s="1"/>
  <c r="B901" i="106"/>
  <c r="D901" i="106" s="1"/>
  <c r="C342" i="29"/>
  <c r="B7216" i="106" s="1"/>
  <c r="D7216" i="106" s="1"/>
  <c r="B7199" i="106"/>
  <c r="D7199" i="106" s="1"/>
  <c r="B6889" i="106"/>
  <c r="D6889" i="106" s="1"/>
  <c r="F45" i="34"/>
  <c r="B5918" i="106"/>
  <c r="D5918" i="106" s="1"/>
  <c r="B1745" i="106"/>
  <c r="D1745" i="106" s="1"/>
  <c r="D5" i="7"/>
  <c r="B1761" i="106" s="1"/>
  <c r="D1761" i="106" s="1"/>
  <c r="B1482" i="106"/>
  <c r="D1482" i="106" s="1"/>
  <c r="B1116" i="106"/>
  <c r="D1116" i="106" s="1"/>
  <c r="K47" i="29"/>
  <c r="B6879" i="106"/>
  <c r="D6879" i="106" s="1"/>
  <c r="F40" i="34"/>
  <c r="B7231" i="106"/>
  <c r="D7231" i="106" s="1"/>
  <c r="J352" i="29"/>
  <c r="B5178" i="106"/>
  <c r="D5178" i="106" s="1"/>
  <c r="B1474" i="106"/>
  <c r="D1474" i="106" s="1"/>
  <c r="G12" i="4"/>
  <c r="B2607" i="106" s="1"/>
  <c r="D2607" i="106" s="1"/>
  <c r="A7271" i="106"/>
  <c r="D7270" i="106"/>
  <c r="F72" i="34" l="1"/>
  <c r="K310" i="29"/>
  <c r="D109" i="5"/>
  <c r="B5260" i="106"/>
  <c r="D5260" i="106" s="1"/>
  <c r="J170" i="5"/>
  <c r="B6835" i="106"/>
  <c r="D6835" i="106" s="1"/>
  <c r="C77" i="4"/>
  <c r="B3232" i="106" s="1"/>
  <c r="D3232" i="106" s="1"/>
  <c r="K270" i="29"/>
  <c r="B1500" i="106" s="1"/>
  <c r="D1500" i="106" s="1"/>
  <c r="K243" i="29"/>
  <c r="B1485" i="106" s="1"/>
  <c r="D1485" i="106" s="1"/>
  <c r="D279" i="29"/>
  <c r="K194" i="29"/>
  <c r="K137" i="29"/>
  <c r="K127" i="29"/>
  <c r="I129" i="29"/>
  <c r="J129" i="29"/>
  <c r="E129" i="29"/>
  <c r="B1241" i="106" s="1"/>
  <c r="D1241" i="106" s="1"/>
  <c r="H112" i="29"/>
  <c r="B7018" i="106" s="1"/>
  <c r="D7018" i="106" s="1"/>
  <c r="K92" i="29"/>
  <c r="B2089" i="106" s="1"/>
  <c r="D2089" i="106" s="1"/>
  <c r="H102" i="29"/>
  <c r="B1047" i="106" s="1"/>
  <c r="D1047" i="106" s="1"/>
  <c r="E35" i="108"/>
  <c r="K72" i="29"/>
  <c r="B1141" i="106" s="1"/>
  <c r="D1141" i="106" s="1"/>
  <c r="B1134" i="106"/>
  <c r="D1134" i="106" s="1"/>
  <c r="F74" i="29"/>
  <c r="F114" i="29" s="1"/>
  <c r="B931" i="106" s="1"/>
  <c r="D931" i="106" s="1"/>
  <c r="B1120" i="106"/>
  <c r="D1120" i="106" s="1"/>
  <c r="E74" i="29"/>
  <c r="I74" i="29"/>
  <c r="I114" i="29" s="1"/>
  <c r="B843" i="106"/>
  <c r="D843" i="106" s="1"/>
  <c r="K42" i="29"/>
  <c r="B6916" i="106"/>
  <c r="D6916" i="106" s="1"/>
  <c r="B6893" i="106"/>
  <c r="D6893" i="106" s="1"/>
  <c r="B1107" i="106"/>
  <c r="D1107" i="106" s="1"/>
  <c r="K33" i="29"/>
  <c r="K168" i="29"/>
  <c r="J266" i="5"/>
  <c r="B7041" i="106" s="1"/>
  <c r="D7041" i="106" s="1"/>
  <c r="G266" i="5"/>
  <c r="F133" i="34"/>
  <c r="B7865" i="106" s="1"/>
  <c r="D7865" i="106" s="1"/>
  <c r="D266" i="5"/>
  <c r="B5501" i="106" s="1"/>
  <c r="D5501" i="106" s="1"/>
  <c r="F128" i="34"/>
  <c r="B7860" i="106" s="1"/>
  <c r="D7860" i="106" s="1"/>
  <c r="F266" i="5"/>
  <c r="C266" i="5"/>
  <c r="C267" i="5" s="1"/>
  <c r="F124" i="34"/>
  <c r="B7856" i="106" s="1"/>
  <c r="D7856" i="106" s="1"/>
  <c r="H170" i="5"/>
  <c r="B5906" i="106" s="1"/>
  <c r="D5906" i="106" s="1"/>
  <c r="F169" i="5"/>
  <c r="F112" i="34"/>
  <c r="B7847" i="106" s="1"/>
  <c r="D7847" i="106" s="1"/>
  <c r="F108" i="34"/>
  <c r="B7844" i="106" s="1"/>
  <c r="D7844" i="106" s="1"/>
  <c r="G169" i="5"/>
  <c r="G170" i="5" s="1"/>
  <c r="C169" i="5"/>
  <c r="C170" i="5" s="1"/>
  <c r="D169" i="5"/>
  <c r="D170" i="5" s="1"/>
  <c r="F106" i="34"/>
  <c r="B7842" i="106" s="1"/>
  <c r="D7842" i="106" s="1"/>
  <c r="D5" i="4"/>
  <c r="B3406" i="106" s="1"/>
  <c r="D3406" i="106" s="1"/>
  <c r="E109" i="5"/>
  <c r="G109" i="5"/>
  <c r="B6024" i="106" s="1"/>
  <c r="D6024" i="106" s="1"/>
  <c r="I109" i="5"/>
  <c r="I268" i="5" s="1"/>
  <c r="B5946" i="106" s="1"/>
  <c r="D5946" i="106" s="1"/>
  <c r="C109" i="5"/>
  <c r="B5121" i="106" s="1"/>
  <c r="D5121" i="106" s="1"/>
  <c r="K109" i="5"/>
  <c r="B1749" i="106"/>
  <c r="D1749" i="106" s="1"/>
  <c r="H109" i="5"/>
  <c r="H4" i="4" s="1"/>
  <c r="B2655" i="106" s="1"/>
  <c r="D2655" i="106" s="1"/>
  <c r="F158" i="34"/>
  <c r="B7866" i="106" s="1"/>
  <c r="D7866" i="106" s="1"/>
  <c r="F77" i="4"/>
  <c r="B3255" i="106" s="1"/>
  <c r="D3255" i="106" s="1"/>
  <c r="B3235" i="106"/>
  <c r="D3235" i="106" s="1"/>
  <c r="B3229" i="106"/>
  <c r="D3229" i="106" s="1"/>
  <c r="I76" i="4"/>
  <c r="I77" i="4" s="1"/>
  <c r="B3319" i="106" s="1"/>
  <c r="D3319" i="106" s="1"/>
  <c r="G77" i="4"/>
  <c r="B3261" i="106" s="1"/>
  <c r="D3261" i="106" s="1"/>
  <c r="C74" i="29"/>
  <c r="B1283" i="106"/>
  <c r="D1283" i="106" s="1"/>
  <c r="K147" i="29"/>
  <c r="F67" i="34"/>
  <c r="B7074" i="106"/>
  <c r="D7074" i="106" s="1"/>
  <c r="B7171" i="106"/>
  <c r="D7171" i="106" s="1"/>
  <c r="E62" i="184"/>
  <c r="N62" i="184" s="1"/>
  <c r="B7712" i="106"/>
  <c r="D7712" i="106" s="1"/>
  <c r="K12" i="12"/>
  <c r="B2724" i="106"/>
  <c r="D2724" i="106" s="1"/>
  <c r="E13" i="184"/>
  <c r="H13" i="184" s="1"/>
  <c r="B1225" i="106"/>
  <c r="D1225" i="106" s="1"/>
  <c r="C151" i="29"/>
  <c r="B1226" i="106" s="1"/>
  <c r="D1226" i="106" s="1"/>
  <c r="K100" i="29"/>
  <c r="B7013" i="106" s="1"/>
  <c r="D7013" i="106" s="1"/>
  <c r="B6997" i="106"/>
  <c r="D6997" i="106" s="1"/>
  <c r="E139" i="29"/>
  <c r="B4202" i="106"/>
  <c r="D4202" i="106" s="1"/>
  <c r="B2805" i="106"/>
  <c r="D2805" i="106" s="1"/>
  <c r="D14" i="4"/>
  <c r="B2570" i="106" s="1"/>
  <c r="D2570" i="106" s="1"/>
  <c r="F56" i="34"/>
  <c r="B7832" i="106" s="1"/>
  <c r="D7832" i="106" s="1"/>
  <c r="F64" i="34"/>
  <c r="B4211" i="106"/>
  <c r="D4211" i="106" s="1"/>
  <c r="B7076" i="106"/>
  <c r="D7076" i="106" s="1"/>
  <c r="F68" i="34"/>
  <c r="F69" i="34"/>
  <c r="B7078" i="106"/>
  <c r="D7078" i="106" s="1"/>
  <c r="K65" i="29"/>
  <c r="B1133" i="106" s="1"/>
  <c r="D1133" i="106" s="1"/>
  <c r="K204" i="29"/>
  <c r="B1383" i="106"/>
  <c r="D1383" i="106" s="1"/>
  <c r="F129" i="29"/>
  <c r="B5161" i="106"/>
  <c r="D5161" i="106" s="1"/>
  <c r="F107" i="34"/>
  <c r="B7843" i="106" s="1"/>
  <c r="D7843" i="106" s="1"/>
  <c r="G30" i="108"/>
  <c r="B1130" i="106"/>
  <c r="D1130" i="106" s="1"/>
  <c r="E30" i="108"/>
  <c r="H129" i="29"/>
  <c r="B2091" i="106"/>
  <c r="D2091" i="106" s="1"/>
  <c r="H139" i="29"/>
  <c r="B1267" i="106" s="1"/>
  <c r="D1267" i="106" s="1"/>
  <c r="H12" i="12"/>
  <c r="B1972" i="106"/>
  <c r="D1972" i="106" s="1"/>
  <c r="J74" i="29"/>
  <c r="B6917" i="106"/>
  <c r="D6917" i="106" s="1"/>
  <c r="D36" i="108"/>
  <c r="F36" i="108"/>
  <c r="F41" i="108" s="1"/>
  <c r="G43" i="108" s="1"/>
  <c r="B1137" i="106"/>
  <c r="D1137" i="106" s="1"/>
  <c r="G34" i="108"/>
  <c r="B1135" i="106"/>
  <c r="D1135" i="106" s="1"/>
  <c r="E34" i="108"/>
  <c r="F109" i="5"/>
  <c r="B5557" i="106"/>
  <c r="D5557" i="106" s="1"/>
  <c r="B1475" i="106"/>
  <c r="D1475" i="106" s="1"/>
  <c r="K238" i="29"/>
  <c r="B1481" i="106" s="1"/>
  <c r="D1481" i="106" s="1"/>
  <c r="F52" i="34"/>
  <c r="B7831" i="106" s="1"/>
  <c r="D7831" i="106" s="1"/>
  <c r="C14" i="4"/>
  <c r="B2558" i="106" s="1"/>
  <c r="D2558" i="106" s="1"/>
  <c r="B3621" i="106"/>
  <c r="D3621" i="106" s="1"/>
  <c r="C367" i="29"/>
  <c r="B3622" i="106" s="1"/>
  <c r="D3622" i="106" s="1"/>
  <c r="B1045" i="106"/>
  <c r="D1045" i="106" s="1"/>
  <c r="H114" i="29"/>
  <c r="B1054" i="106" s="1"/>
  <c r="D1054" i="106" s="1"/>
  <c r="B3586" i="106"/>
  <c r="D3586" i="106" s="1"/>
  <c r="K77" i="4"/>
  <c r="B3587" i="106" s="1"/>
  <c r="D3587" i="106" s="1"/>
  <c r="B4441" i="106"/>
  <c r="D4441" i="106" s="1"/>
  <c r="H267" i="5"/>
  <c r="B4216" i="106"/>
  <c r="D4216" i="106" s="1"/>
  <c r="I6" i="4"/>
  <c r="B5011" i="106" s="1"/>
  <c r="D5011" i="106" s="1"/>
  <c r="B4435" i="106"/>
  <c r="D4435" i="106" s="1"/>
  <c r="I7" i="4"/>
  <c r="B4444" i="106" s="1"/>
  <c r="D4444" i="106" s="1"/>
  <c r="B3296" i="106"/>
  <c r="D3296" i="106" s="1"/>
  <c r="H77" i="4"/>
  <c r="B3299" i="106" s="1"/>
  <c r="D3299" i="106" s="1"/>
  <c r="B1559" i="106"/>
  <c r="D1559" i="106" s="1"/>
  <c r="K312" i="29"/>
  <c r="B1560" i="106" s="1"/>
  <c r="D1560" i="106" s="1"/>
  <c r="H13" i="4"/>
  <c r="B7038" i="106"/>
  <c r="D7038" i="106" s="1"/>
  <c r="J151" i="29"/>
  <c r="B7052" i="106" s="1"/>
  <c r="D7052" i="106" s="1"/>
  <c r="B2102" i="106"/>
  <c r="D2102" i="106" s="1"/>
  <c r="H15" i="4"/>
  <c r="B2660" i="106" s="1"/>
  <c r="D2660" i="106" s="1"/>
  <c r="H12" i="184"/>
  <c r="K6" i="4"/>
  <c r="B3570" i="106" s="1"/>
  <c r="D3570" i="106" s="1"/>
  <c r="B6014" i="106"/>
  <c r="D6014" i="106" s="1"/>
  <c r="B2830" i="106"/>
  <c r="D2830" i="106" s="1"/>
  <c r="H210" i="29"/>
  <c r="B1376" i="106" s="1"/>
  <c r="D1376" i="106" s="1"/>
  <c r="K139" i="29"/>
  <c r="B2093" i="106"/>
  <c r="D2093" i="106" s="1"/>
  <c r="G15" i="4"/>
  <c r="B6032" i="106" s="1"/>
  <c r="D6032" i="106" s="1"/>
  <c r="B3724" i="106"/>
  <c r="D3724" i="106" s="1"/>
  <c r="F73" i="34"/>
  <c r="J4" i="4"/>
  <c r="B6220" i="106" s="1"/>
  <c r="D6220" i="106" s="1"/>
  <c r="B6352" i="106"/>
  <c r="D6352" i="106" s="1"/>
  <c r="K15" i="4"/>
  <c r="B3573" i="106" s="1"/>
  <c r="D3573" i="106" s="1"/>
  <c r="B3674" i="106"/>
  <c r="D3674" i="106" s="1"/>
  <c r="B1352" i="106"/>
  <c r="D1352" i="106" s="1"/>
  <c r="E210" i="29"/>
  <c r="B1353" i="106" s="1"/>
  <c r="D1353" i="106" s="1"/>
  <c r="N57" i="184"/>
  <c r="N68" i="184" s="1"/>
  <c r="E23" i="108"/>
  <c r="B1122" i="106"/>
  <c r="D1122" i="106" s="1"/>
  <c r="G23" i="108"/>
  <c r="B7037" i="106"/>
  <c r="D7037" i="106" s="1"/>
  <c r="I151" i="29"/>
  <c r="B1108" i="106"/>
  <c r="D1108" i="106" s="1"/>
  <c r="C12" i="4"/>
  <c r="B2556" i="106" s="1"/>
  <c r="D2556" i="106" s="1"/>
  <c r="E19" i="108"/>
  <c r="G19" i="108"/>
  <c r="B7235" i="106"/>
  <c r="D7235" i="106" s="1"/>
  <c r="J367" i="29"/>
  <c r="B7245" i="106" s="1"/>
  <c r="D7245" i="106" s="1"/>
  <c r="F267" i="5"/>
  <c r="B5713" i="106"/>
  <c r="D5713" i="106" s="1"/>
  <c r="K352" i="29"/>
  <c r="B3670" i="106"/>
  <c r="D3670" i="106" s="1"/>
  <c r="K267" i="5"/>
  <c r="B4442" i="106"/>
  <c r="D4442" i="106" s="1"/>
  <c r="F75" i="34"/>
  <c r="B7886" i="106" s="1"/>
  <c r="D7886" i="106" s="1"/>
  <c r="B7220" i="106"/>
  <c r="D7220" i="106" s="1"/>
  <c r="B987" i="106"/>
  <c r="D987" i="106" s="1"/>
  <c r="G114" i="29"/>
  <c r="K342" i="29"/>
  <c r="B7207" i="106"/>
  <c r="D7207" i="106" s="1"/>
  <c r="J13" i="4"/>
  <c r="B1381" i="106"/>
  <c r="D1381" i="106" s="1"/>
  <c r="F13" i="4"/>
  <c r="B2596" i="106" s="1"/>
  <c r="D2596" i="106" s="1"/>
  <c r="B3635" i="106"/>
  <c r="D3635" i="106" s="1"/>
  <c r="E367" i="29"/>
  <c r="B3636" i="106" s="1"/>
  <c r="D3636" i="106" s="1"/>
  <c r="B3676" i="106"/>
  <c r="D3676" i="106" s="1"/>
  <c r="K365" i="29"/>
  <c r="E6" i="4"/>
  <c r="B2631" i="106" s="1"/>
  <c r="D2631" i="106" s="1"/>
  <c r="B5544" i="106"/>
  <c r="D5544" i="106" s="1"/>
  <c r="F60" i="34"/>
  <c r="E15" i="4"/>
  <c r="B2633" i="106" s="1"/>
  <c r="D2633" i="106" s="1"/>
  <c r="B1323" i="106"/>
  <c r="D1323" i="106" s="1"/>
  <c r="B6977" i="106"/>
  <c r="D6977" i="106" s="1"/>
  <c r="J6" i="4"/>
  <c r="B6221" i="106" s="1"/>
  <c r="D6221" i="106" s="1"/>
  <c r="B6397" i="106"/>
  <c r="D6397" i="106" s="1"/>
  <c r="H15" i="184"/>
  <c r="B1115" i="106"/>
  <c r="D1115" i="106" s="1"/>
  <c r="E21" i="108"/>
  <c r="G21" i="108"/>
  <c r="K74" i="29"/>
  <c r="B813" i="106"/>
  <c r="D813" i="106" s="1"/>
  <c r="D114" i="29"/>
  <c r="B815" i="106" s="1"/>
  <c r="D815" i="106" s="1"/>
  <c r="J15" i="4"/>
  <c r="B7796" i="106" s="1"/>
  <c r="D7796" i="106" s="1"/>
  <c r="F74" i="34"/>
  <c r="B7790" i="106"/>
  <c r="D7790" i="106" s="1"/>
  <c r="H367" i="29"/>
  <c r="B3660" i="106" s="1"/>
  <c r="D3660" i="106" s="1"/>
  <c r="B3656" i="106"/>
  <c r="D3656" i="106" s="1"/>
  <c r="B1233" i="106"/>
  <c r="D1233" i="106" s="1"/>
  <c r="D151" i="29"/>
  <c r="B1234" i="106" s="1"/>
  <c r="D1234" i="106" s="1"/>
  <c r="B7215" i="106"/>
  <c r="D7215" i="106" s="1"/>
  <c r="J16" i="4"/>
  <c r="B6226" i="106" s="1"/>
  <c r="D6226" i="106" s="1"/>
  <c r="G16" i="4"/>
  <c r="B2611" i="106" s="1"/>
  <c r="D2611" i="106" s="1"/>
  <c r="B1515" i="106"/>
  <c r="D1515" i="106" s="1"/>
  <c r="G151" i="29"/>
  <c r="B1258" i="106"/>
  <c r="D1258" i="106" s="1"/>
  <c r="K196" i="29"/>
  <c r="B2837" i="106"/>
  <c r="D2837" i="106" s="1"/>
  <c r="C4" i="4"/>
  <c r="B2551" i="106" s="1"/>
  <c r="D2551" i="106" s="1"/>
  <c r="D367" i="29"/>
  <c r="B3629" i="106" s="1"/>
  <c r="D3629" i="106" s="1"/>
  <c r="B3628" i="106"/>
  <c r="D3628" i="106" s="1"/>
  <c r="B1328" i="106"/>
  <c r="D1328" i="106" s="1"/>
  <c r="K172" i="29"/>
  <c r="K279" i="29"/>
  <c r="B755" i="106"/>
  <c r="D755" i="106" s="1"/>
  <c r="C114" i="29"/>
  <c r="B757" i="106" s="1"/>
  <c r="D757" i="106" s="1"/>
  <c r="B5527" i="106"/>
  <c r="D5527" i="106" s="1"/>
  <c r="E4" i="4"/>
  <c r="B2630" i="106" s="1"/>
  <c r="D2630" i="106" s="1"/>
  <c r="J267" i="5"/>
  <c r="B1151" i="106"/>
  <c r="D1151" i="106" s="1"/>
  <c r="K112" i="29"/>
  <c r="G367" i="29"/>
  <c r="B3650" i="106" s="1"/>
  <c r="D3650" i="106" s="1"/>
  <c r="B3649" i="106"/>
  <c r="D3649" i="106" s="1"/>
  <c r="B1317" i="106"/>
  <c r="D1317" i="106" s="1"/>
  <c r="H174" i="29"/>
  <c r="B1318" i="106" s="1"/>
  <c r="D1318" i="106" s="1"/>
  <c r="E24" i="108"/>
  <c r="G24" i="108"/>
  <c r="B1125" i="106"/>
  <c r="D1125" i="106" s="1"/>
  <c r="D41" i="108"/>
  <c r="E43" i="108" s="1"/>
  <c r="F66" i="34"/>
  <c r="B7071" i="106"/>
  <c r="D7071" i="106" s="1"/>
  <c r="B1365" i="106"/>
  <c r="D1365" i="106" s="1"/>
  <c r="F65" i="34"/>
  <c r="B7747" i="106"/>
  <c r="D7747" i="106" s="1"/>
  <c r="E267" i="5"/>
  <c r="B1446" i="106"/>
  <c r="D1446" i="106" s="1"/>
  <c r="D295" i="29"/>
  <c r="B1448" i="106" s="1"/>
  <c r="D1448" i="106" s="1"/>
  <c r="B5863" i="106"/>
  <c r="D5863" i="106" s="1"/>
  <c r="G267" i="5"/>
  <c r="B1119" i="106"/>
  <c r="D1119" i="106" s="1"/>
  <c r="G22" i="108"/>
  <c r="E22" i="108"/>
  <c r="E114" i="29"/>
  <c r="B873" i="106" s="1"/>
  <c r="D873" i="106" s="1"/>
  <c r="B871" i="106"/>
  <c r="D871" i="106" s="1"/>
  <c r="B7222" i="106"/>
  <c r="D7222" i="106" s="1"/>
  <c r="F76" i="34"/>
  <c r="B7887" i="106" s="1"/>
  <c r="D7887" i="106" s="1"/>
  <c r="K129" i="29"/>
  <c r="B1279" i="106"/>
  <c r="D1279" i="106" s="1"/>
  <c r="F367" i="29"/>
  <c r="B3643" i="106" s="1"/>
  <c r="D3643" i="106" s="1"/>
  <c r="B3642" i="106"/>
  <c r="D3642" i="106" s="1"/>
  <c r="B1760" i="106"/>
  <c r="D1760" i="106" s="1"/>
  <c r="D19" i="7"/>
  <c r="B1775" i="106" s="1"/>
  <c r="D1775" i="106" s="1"/>
  <c r="B5356" i="106"/>
  <c r="D5356" i="106" s="1"/>
  <c r="D4" i="4"/>
  <c r="B2564" i="106" s="1"/>
  <c r="D2564" i="106" s="1"/>
  <c r="B7234" i="106"/>
  <c r="D7234" i="106" s="1"/>
  <c r="I367" i="29"/>
  <c r="B7244" i="106" s="1"/>
  <c r="D7244" i="106" s="1"/>
  <c r="B3274" i="106"/>
  <c r="D3274" i="106" s="1"/>
  <c r="E77" i="4"/>
  <c r="B3277" i="106" s="1"/>
  <c r="D3277" i="106" s="1"/>
  <c r="F170" i="5"/>
  <c r="B5644" i="106"/>
  <c r="D5644" i="106" s="1"/>
  <c r="A7272" i="106"/>
  <c r="D7271" i="106"/>
  <c r="H6" i="4" l="1"/>
  <c r="B2656" i="106" s="1"/>
  <c r="D2656" i="106" s="1"/>
  <c r="B5770" i="106"/>
  <c r="D5770" i="106" s="1"/>
  <c r="E68" i="184"/>
  <c r="K102" i="29"/>
  <c r="F53" i="34" s="1"/>
  <c r="C15" i="4"/>
  <c r="B2559" i="106" s="1"/>
  <c r="D2559" i="106" s="1"/>
  <c r="B929" i="106"/>
  <c r="D929" i="106" s="1"/>
  <c r="E19" i="184"/>
  <c r="D267" i="5"/>
  <c r="B5507" i="106" s="1"/>
  <c r="D5507" i="106" s="1"/>
  <c r="B5320" i="106"/>
  <c r="D5320" i="106" s="1"/>
  <c r="F175" i="34"/>
  <c r="B7877" i="106" s="1"/>
  <c r="D7877" i="106" s="1"/>
  <c r="B5412" i="106"/>
  <c r="D5412" i="106" s="1"/>
  <c r="B5214" i="106"/>
  <c r="D5214" i="106" s="1"/>
  <c r="G4" i="4"/>
  <c r="B2603" i="106" s="1"/>
  <c r="D2603" i="106" s="1"/>
  <c r="B6026" i="106"/>
  <c r="D6026" i="106" s="1"/>
  <c r="I4" i="4"/>
  <c r="B6025" i="106"/>
  <c r="D6025" i="106" s="1"/>
  <c r="K4" i="4"/>
  <c r="B3569" i="106" s="1"/>
  <c r="D3569" i="106" s="1"/>
  <c r="B6028" i="106"/>
  <c r="D6028" i="106" s="1"/>
  <c r="B3318" i="106"/>
  <c r="D3318" i="106" s="1"/>
  <c r="H14" i="12"/>
  <c r="B1977" i="106"/>
  <c r="D1977" i="106" s="1"/>
  <c r="B1266" i="106"/>
  <c r="D1266" i="106" s="1"/>
  <c r="H151" i="29"/>
  <c r="B1273" i="106" s="1"/>
  <c r="D1273" i="106" s="1"/>
  <c r="K208" i="29"/>
  <c r="B4157" i="106"/>
  <c r="D4157" i="106" s="1"/>
  <c r="B4203" i="106"/>
  <c r="D4203" i="106" s="1"/>
  <c r="E151" i="29"/>
  <c r="B1242" i="106" s="1"/>
  <c r="D1242" i="106" s="1"/>
  <c r="H19" i="184"/>
  <c r="L20" i="184" s="1"/>
  <c r="B7048" i="106"/>
  <c r="D7048" i="106" s="1"/>
  <c r="K149" i="29"/>
  <c r="K151" i="29" s="1"/>
  <c r="B5588" i="106"/>
  <c r="D5588" i="106" s="1"/>
  <c r="F4" i="4"/>
  <c r="B2591" i="106" s="1"/>
  <c r="D2591" i="106" s="1"/>
  <c r="J114" i="29"/>
  <c r="B7021" i="106" s="1"/>
  <c r="D7021" i="106" s="1"/>
  <c r="B6978" i="106"/>
  <c r="D6978" i="106" s="1"/>
  <c r="F151" i="29"/>
  <c r="B1250" i="106" s="1"/>
  <c r="D1250" i="106" s="1"/>
  <c r="B1249" i="106"/>
  <c r="D1249" i="106" s="1"/>
  <c r="K24" i="12"/>
  <c r="B7719" i="106"/>
  <c r="D7719" i="106" s="1"/>
  <c r="I8" i="4"/>
  <c r="B3225" i="106"/>
  <c r="D3225" i="106" s="1"/>
  <c r="G41" i="108"/>
  <c r="G44" i="108" s="1"/>
  <c r="G45" i="108" s="1"/>
  <c r="F268" i="5"/>
  <c r="B5653" i="106"/>
  <c r="D5653" i="106" s="1"/>
  <c r="F6" i="4"/>
  <c r="F63" i="34"/>
  <c r="B1382" i="106"/>
  <c r="D1382" i="106" s="1"/>
  <c r="F15" i="4"/>
  <c r="B2598" i="106" s="1"/>
  <c r="D2598" i="106" s="1"/>
  <c r="K210" i="29"/>
  <c r="F58" i="34"/>
  <c r="B1259" i="106"/>
  <c r="D1259" i="106" s="1"/>
  <c r="B1143" i="106"/>
  <c r="D1143" i="106" s="1"/>
  <c r="K114" i="29"/>
  <c r="C13" i="4"/>
  <c r="B7243" i="106"/>
  <c r="D7243" i="106" s="1"/>
  <c r="K16" i="4"/>
  <c r="B3574" i="106" s="1"/>
  <c r="D3574" i="106" s="1"/>
  <c r="B7224" i="106"/>
  <c r="D7224" i="106" s="1"/>
  <c r="F13" i="34"/>
  <c r="B3672" i="106"/>
  <c r="D3672" i="106" s="1"/>
  <c r="K367" i="29"/>
  <c r="B3678" i="106" s="1"/>
  <c r="D3678" i="106" s="1"/>
  <c r="K13" i="4"/>
  <c r="B5914" i="106"/>
  <c r="D5914" i="106" s="1"/>
  <c r="H268" i="5"/>
  <c r="H7" i="4"/>
  <c r="B989" i="106"/>
  <c r="D989" i="106" s="1"/>
  <c r="F54" i="34"/>
  <c r="B7051" i="106"/>
  <c r="D7051" i="106" s="1"/>
  <c r="F59" i="34"/>
  <c r="B1281" i="106"/>
  <c r="D1281" i="106" s="1"/>
  <c r="D13" i="4"/>
  <c r="B2569" i="106" s="1"/>
  <c r="D2569" i="106" s="1"/>
  <c r="B5719" i="106"/>
  <c r="D5719" i="106" s="1"/>
  <c r="F7" i="4"/>
  <c r="B2594" i="106" s="1"/>
  <c r="D2594" i="106" s="1"/>
  <c r="F57" i="34"/>
  <c r="B1282" i="106"/>
  <c r="D1282" i="106" s="1"/>
  <c r="D15" i="4"/>
  <c r="B2571" i="106" s="1"/>
  <c r="D2571" i="106" s="1"/>
  <c r="E268" i="5"/>
  <c r="B4434" i="106"/>
  <c r="D4434" i="106" s="1"/>
  <c r="E7" i="4"/>
  <c r="B4443" i="106" s="1"/>
  <c r="D4443" i="106" s="1"/>
  <c r="C16" i="4"/>
  <c r="B2560" i="106" s="1"/>
  <c r="D2560" i="106" s="1"/>
  <c r="B7019" i="106"/>
  <c r="D7019" i="106" s="1"/>
  <c r="B5778" i="106"/>
  <c r="D5778" i="106" s="1"/>
  <c r="G6" i="4"/>
  <c r="G268" i="5"/>
  <c r="F55" i="34"/>
  <c r="F17" i="11"/>
  <c r="B7020" i="106"/>
  <c r="D7020" i="106" s="1"/>
  <c r="C6" i="4"/>
  <c r="B5223" i="106"/>
  <c r="D5223" i="106" s="1"/>
  <c r="C268" i="5"/>
  <c r="C7" i="4"/>
  <c r="B5326" i="106"/>
  <c r="D5326" i="106" s="1"/>
  <c r="D6" i="4"/>
  <c r="B5421" i="106"/>
  <c r="D5421" i="106" s="1"/>
  <c r="K295" i="29"/>
  <c r="B1510" i="106"/>
  <c r="D1510" i="106" s="1"/>
  <c r="G13" i="4"/>
  <c r="B7042" i="106"/>
  <c r="D7042" i="106" s="1"/>
  <c r="J17" i="4"/>
  <c r="K268" i="5"/>
  <c r="K7" i="4"/>
  <c r="B6022" i="106"/>
  <c r="D6022" i="106" s="1"/>
  <c r="E41" i="108"/>
  <c r="E44" i="108" s="1"/>
  <c r="E45" i="108" s="1"/>
  <c r="B5869" i="106"/>
  <c r="D5869" i="106" s="1"/>
  <c r="G7" i="4"/>
  <c r="B2605" i="106" s="1"/>
  <c r="D2605" i="106" s="1"/>
  <c r="J268" i="5"/>
  <c r="B7054" i="106"/>
  <c r="D7054" i="106" s="1"/>
  <c r="J7" i="4"/>
  <c r="B6222" i="106" s="1"/>
  <c r="D6222" i="106" s="1"/>
  <c r="K174" i="29"/>
  <c r="B1331" i="106"/>
  <c r="D1331" i="106" s="1"/>
  <c r="E16" i="4"/>
  <c r="H17" i="4"/>
  <c r="B2659" i="106"/>
  <c r="D2659" i="106" s="1"/>
  <c r="A7273" i="106"/>
  <c r="D7272" i="106"/>
  <c r="D7" i="4" l="1"/>
  <c r="B2567" i="106" s="1"/>
  <c r="D2567" i="106" s="1"/>
  <c r="D268" i="5"/>
  <c r="B1145" i="106"/>
  <c r="D1145" i="106" s="1"/>
  <c r="B1287" i="106"/>
  <c r="D1287" i="106" s="1"/>
  <c r="D16" i="4"/>
  <c r="B7733" i="106"/>
  <c r="D7733" i="106" s="1"/>
  <c r="K26" i="12"/>
  <c r="B7743" i="106" s="1"/>
  <c r="D7743" i="106" s="1"/>
  <c r="F16" i="4"/>
  <c r="B2599" i="106" s="1"/>
  <c r="D2599" i="106" s="1"/>
  <c r="B1387" i="106"/>
  <c r="D1387" i="106" s="1"/>
  <c r="B7720" i="106"/>
  <c r="D7720" i="106" s="1"/>
  <c r="H23" i="12"/>
  <c r="F77" i="34"/>
  <c r="B7834" i="106" s="1"/>
  <c r="D7834" i="106" s="1"/>
  <c r="E8" i="4"/>
  <c r="B1517" i="106"/>
  <c r="D1517" i="106" s="1"/>
  <c r="F12" i="34"/>
  <c r="B2553" i="106"/>
  <c r="D2553" i="106" s="1"/>
  <c r="C8" i="4"/>
  <c r="J8" i="4"/>
  <c r="H8" i="4"/>
  <c r="B2657" i="106"/>
  <c r="D2657" i="106" s="1"/>
  <c r="B6023" i="106"/>
  <c r="D6023" i="106" s="1"/>
  <c r="K368" i="29"/>
  <c r="B3681" i="106" s="1"/>
  <c r="D3681" i="106" s="1"/>
  <c r="D8" i="4"/>
  <c r="B2566" i="106"/>
  <c r="D2566" i="106" s="1"/>
  <c r="B7624" i="106"/>
  <c r="I17" i="11"/>
  <c r="B2557" i="106"/>
  <c r="D2557" i="106" s="1"/>
  <c r="C17" i="4"/>
  <c r="H19" i="4"/>
  <c r="B4141" i="106" s="1"/>
  <c r="D4141" i="106" s="1"/>
  <c r="B2661" i="106"/>
  <c r="D2661" i="106" s="1"/>
  <c r="K175" i="29"/>
  <c r="B1333" i="106" s="1"/>
  <c r="D1333" i="106" s="1"/>
  <c r="B5552" i="106"/>
  <c r="D5552" i="106" s="1"/>
  <c r="B3572" i="106"/>
  <c r="D3572" i="106" s="1"/>
  <c r="K17" i="4"/>
  <c r="E17" i="4"/>
  <c r="B2634" i="106"/>
  <c r="D2634" i="106" s="1"/>
  <c r="F9" i="34"/>
  <c r="B1288" i="106"/>
  <c r="D1288" i="106" s="1"/>
  <c r="B2593" i="106"/>
  <c r="D2593" i="106" s="1"/>
  <c r="F8" i="4"/>
  <c r="B5870" i="106"/>
  <c r="D5870" i="106" s="1"/>
  <c r="K296" i="29"/>
  <c r="B1518" i="106" s="1"/>
  <c r="D1518" i="106" s="1"/>
  <c r="G17" i="4"/>
  <c r="B2608" i="106"/>
  <c r="D2608" i="106" s="1"/>
  <c r="B5327" i="106"/>
  <c r="D5327" i="106" s="1"/>
  <c r="K115" i="29"/>
  <c r="B1153" i="106" s="1"/>
  <c r="D1153" i="106" s="1"/>
  <c r="G8" i="4"/>
  <c r="B2604" i="106"/>
  <c r="D2604" i="106" s="1"/>
  <c r="B5720" i="106"/>
  <c r="D5720" i="106" s="1"/>
  <c r="K211" i="29"/>
  <c r="B1389" i="106" s="1"/>
  <c r="D1389" i="106" s="1"/>
  <c r="J19" i="4"/>
  <c r="B6229" i="106" s="1"/>
  <c r="D6229" i="106" s="1"/>
  <c r="B6227" i="106"/>
  <c r="D6227" i="106" s="1"/>
  <c r="B1152" i="106"/>
  <c r="D1152" i="106" s="1"/>
  <c r="F8" i="34"/>
  <c r="D10" i="171"/>
  <c r="D19" i="171" s="1"/>
  <c r="D32" i="171" s="1"/>
  <c r="D49" i="171" s="1"/>
  <c r="B2554" i="106"/>
  <c r="D2554" i="106" s="1"/>
  <c r="F17" i="4"/>
  <c r="F19" i="4" s="1"/>
  <c r="B4139" i="106" s="1"/>
  <c r="D4139" i="106" s="1"/>
  <c r="F10" i="34"/>
  <c r="B1332" i="106"/>
  <c r="D1332" i="106" s="1"/>
  <c r="B1388" i="106"/>
  <c r="D1388" i="106" s="1"/>
  <c r="F11" i="34"/>
  <c r="B5508" i="106"/>
  <c r="D5508" i="106" s="1"/>
  <c r="K152" i="29"/>
  <c r="B1289" i="106" s="1"/>
  <c r="D1289" i="106" s="1"/>
  <c r="B7055" i="106"/>
  <c r="D7055" i="106" s="1"/>
  <c r="K343" i="29"/>
  <c r="B7225" i="106" s="1"/>
  <c r="D7225" i="106" s="1"/>
  <c r="B3718" i="106"/>
  <c r="D3718" i="106" s="1"/>
  <c r="K8" i="4"/>
  <c r="B5915" i="106"/>
  <c r="D5915" i="106" s="1"/>
  <c r="K313" i="29"/>
  <c r="B1561" i="106" s="1"/>
  <c r="D1561" i="106" s="1"/>
  <c r="E8" i="146"/>
  <c r="E10" i="146" s="1"/>
  <c r="I10" i="4"/>
  <c r="B4128" i="106" s="1"/>
  <c r="D4128" i="106" s="1"/>
  <c r="I20" i="4"/>
  <c r="B3226" i="106"/>
  <c r="D3226" i="106" s="1"/>
  <c r="D9" i="146"/>
  <c r="A7274" i="106"/>
  <c r="D7273" i="106"/>
  <c r="B2600" i="106" l="1"/>
  <c r="D2600" i="106" s="1"/>
  <c r="B1982" i="106"/>
  <c r="D1982" i="106" s="1"/>
  <c r="H24" i="12"/>
  <c r="B2572" i="106"/>
  <c r="D2572" i="106" s="1"/>
  <c r="D17" i="4"/>
  <c r="F16" i="37" s="1"/>
  <c r="F14" i="34"/>
  <c r="F78" i="34" s="1"/>
  <c r="B2632" i="106"/>
  <c r="D2632" i="106" s="1"/>
  <c r="E10" i="4"/>
  <c r="B4124" i="106" s="1"/>
  <c r="D4124" i="106" s="1"/>
  <c r="B2595" i="106"/>
  <c r="D2595" i="106" s="1"/>
  <c r="F10" i="4"/>
  <c r="B4125" i="106" s="1"/>
  <c r="D4125" i="106" s="1"/>
  <c r="D8" i="146"/>
  <c r="D10" i="146" s="1"/>
  <c r="F20" i="4"/>
  <c r="C19" i="4"/>
  <c r="B4136" i="106" s="1"/>
  <c r="D4136" i="106" s="1"/>
  <c r="B2561" i="106"/>
  <c r="D2561" i="106" s="1"/>
  <c r="B9" i="146"/>
  <c r="B2635" i="106"/>
  <c r="D2635" i="106" s="1"/>
  <c r="E19" i="4"/>
  <c r="B4138" i="106" s="1"/>
  <c r="D4138" i="106" s="1"/>
  <c r="E20" i="4"/>
  <c r="H10" i="4"/>
  <c r="B4127" i="106" s="1"/>
  <c r="D4127" i="106" s="1"/>
  <c r="B2658" i="106"/>
  <c r="D2658" i="106" s="1"/>
  <c r="H20" i="4"/>
  <c r="K19" i="4"/>
  <c r="B4144" i="106" s="1"/>
  <c r="D4144" i="106" s="1"/>
  <c r="B3575" i="106"/>
  <c r="D3575" i="106" s="1"/>
  <c r="I18" i="11"/>
  <c r="B7625" i="106"/>
  <c r="J10" i="4"/>
  <c r="B6225" i="106" s="1"/>
  <c r="D6225" i="106" s="1"/>
  <c r="J20" i="4"/>
  <c r="B6223" i="106"/>
  <c r="D6223" i="106" s="1"/>
  <c r="K20" i="4"/>
  <c r="B3571" i="106"/>
  <c r="D3571" i="106" s="1"/>
  <c r="K10" i="4"/>
  <c r="B4130" i="106" s="1"/>
  <c r="D4130" i="106" s="1"/>
  <c r="B2612" i="106"/>
  <c r="D2612" i="106" s="1"/>
  <c r="G19" i="4"/>
  <c r="B4140" i="106" s="1"/>
  <c r="D4140" i="106" s="1"/>
  <c r="I78" i="4"/>
  <c r="B3227" i="106"/>
  <c r="D3227" i="106" s="1"/>
  <c r="D16" i="37"/>
  <c r="B2555" i="106"/>
  <c r="D2555" i="106" s="1"/>
  <c r="C20" i="4"/>
  <c r="C10" i="4"/>
  <c r="B4122" i="106" s="1"/>
  <c r="D4122" i="106" s="1"/>
  <c r="H18" i="118"/>
  <c r="B8" i="146"/>
  <c r="H13" i="118"/>
  <c r="G20" i="4"/>
  <c r="B2606" i="106"/>
  <c r="D2606" i="106" s="1"/>
  <c r="G10" i="4"/>
  <c r="B4126" i="106" s="1"/>
  <c r="D4126" i="106" s="1"/>
  <c r="B2568" i="106"/>
  <c r="D2568" i="106" s="1"/>
  <c r="D10" i="4"/>
  <c r="B4123" i="106" s="1"/>
  <c r="D4123" i="106" s="1"/>
  <c r="C8" i="146"/>
  <c r="A7275" i="106"/>
  <c r="D7274" i="106"/>
  <c r="B7822" i="106" l="1"/>
  <c r="D20" i="4"/>
  <c r="H17" i="118"/>
  <c r="K17" i="118" s="1"/>
  <c r="C9" i="146"/>
  <c r="C10" i="146" s="1"/>
  <c r="D19" i="4"/>
  <c r="B4137" i="106" s="1"/>
  <c r="D4137" i="106" s="1"/>
  <c r="B2573" i="106"/>
  <c r="D2573" i="106" s="1"/>
  <c r="H26" i="12"/>
  <c r="B7740" i="106" s="1"/>
  <c r="D7740" i="106" s="1"/>
  <c r="B1983" i="106"/>
  <c r="D1983" i="106" s="1"/>
  <c r="H16" i="37"/>
  <c r="B2613" i="106"/>
  <c r="D2613" i="106" s="1"/>
  <c r="G78" i="4"/>
  <c r="I81" i="4"/>
  <c r="B3320" i="106"/>
  <c r="D3320" i="106" s="1"/>
  <c r="D78" i="4"/>
  <c r="B2574" i="106"/>
  <c r="D2574" i="106" s="1"/>
  <c r="F8" i="146"/>
  <c r="B10" i="146"/>
  <c r="B2636" i="106"/>
  <c r="D2636" i="106" s="1"/>
  <c r="E78" i="4"/>
  <c r="J78" i="4"/>
  <c r="B6230" i="106"/>
  <c r="D6230" i="106" s="1"/>
  <c r="B7835" i="106"/>
  <c r="D7835" i="106" s="1"/>
  <c r="F176" i="34"/>
  <c r="F80" i="34"/>
  <c r="B7837" i="106" s="1"/>
  <c r="D7837" i="106" s="1"/>
  <c r="F177" i="34"/>
  <c r="B7631" i="106"/>
  <c r="B2601" i="106"/>
  <c r="D2601" i="106" s="1"/>
  <c r="F78" i="4"/>
  <c r="B2562" i="106"/>
  <c r="D2562" i="106" s="1"/>
  <c r="C78" i="4"/>
  <c r="B3576" i="106"/>
  <c r="D3576" i="106" s="1"/>
  <c r="K78" i="4"/>
  <c r="H78" i="4"/>
  <c r="B2662" i="106"/>
  <c r="D2662" i="106" s="1"/>
  <c r="A7276" i="106"/>
  <c r="D7275" i="106"/>
  <c r="H25" i="118" l="1"/>
  <c r="K24" i="118" s="1"/>
  <c r="O23" i="118" s="1"/>
  <c r="O25" i="118" s="1"/>
  <c r="F9" i="146"/>
  <c r="F10" i="146" s="1"/>
  <c r="B3233" i="106"/>
  <c r="D3233" i="106" s="1"/>
  <c r="C81" i="4"/>
  <c r="F178" i="34"/>
  <c r="B7878" i="106"/>
  <c r="D7878" i="106" s="1"/>
  <c r="J20" i="118"/>
  <c r="K20" i="118"/>
  <c r="O16" i="118"/>
  <c r="D81" i="4"/>
  <c r="B3239" i="106"/>
  <c r="D3239" i="106" s="1"/>
  <c r="B3256" i="106"/>
  <c r="D3256" i="106" s="1"/>
  <c r="F81" i="4"/>
  <c r="J81" i="4"/>
  <c r="B6263" i="106"/>
  <c r="D6263" i="106" s="1"/>
  <c r="B3323" i="106"/>
  <c r="D3323" i="106" s="1"/>
  <c r="I82" i="4"/>
  <c r="E11" i="146"/>
  <c r="B3300" i="106"/>
  <c r="D3300" i="106" s="1"/>
  <c r="H81" i="4"/>
  <c r="E81" i="4"/>
  <c r="B3278" i="106"/>
  <c r="D3278" i="106" s="1"/>
  <c r="G81" i="4"/>
  <c r="B3262" i="106"/>
  <c r="D3262" i="106" s="1"/>
  <c r="B3588" i="106"/>
  <c r="D3588" i="106" s="1"/>
  <c r="K81" i="4"/>
  <c r="A7277" i="106"/>
  <c r="D7276" i="106"/>
  <c r="O17" i="118" l="1"/>
  <c r="O20" i="118" s="1"/>
  <c r="C11" i="146"/>
  <c r="B1644" i="106"/>
  <c r="D1644" i="106" s="1"/>
  <c r="D82" i="4"/>
  <c r="B1686" i="106"/>
  <c r="D1686" i="106" s="1"/>
  <c r="G82" i="4"/>
  <c r="I83" i="4"/>
  <c r="B6282" i="106" s="1"/>
  <c r="D6282" i="106" s="1"/>
  <c r="B6273" i="106"/>
  <c r="D6273" i="106" s="1"/>
  <c r="B1658" i="106"/>
  <c r="D1658" i="106" s="1"/>
  <c r="E82" i="4"/>
  <c r="J82" i="4"/>
  <c r="B6266" i="106"/>
  <c r="D6266" i="106" s="1"/>
  <c r="B1700" i="106"/>
  <c r="D1700" i="106" s="1"/>
  <c r="H82" i="4"/>
  <c r="F180" i="34"/>
  <c r="B7880" i="106" s="1"/>
  <c r="D7880" i="106" s="1"/>
  <c r="B7879" i="106"/>
  <c r="D7879" i="106" s="1"/>
  <c r="H12" i="118"/>
  <c r="K12" i="118" s="1"/>
  <c r="O11" i="118" s="1"/>
  <c r="O13" i="118" s="1"/>
  <c r="C82" i="4"/>
  <c r="B11" i="146"/>
  <c r="B1630" i="106"/>
  <c r="D1630" i="106" s="1"/>
  <c r="J16" i="37"/>
  <c r="B4269" i="106" s="1"/>
  <c r="D4269" i="106" s="1"/>
  <c r="D11" i="146"/>
  <c r="B1672" i="106"/>
  <c r="D1672" i="106" s="1"/>
  <c r="F82" i="4"/>
  <c r="K82" i="4"/>
  <c r="B3591" i="106"/>
  <c r="D3591" i="106" s="1"/>
  <c r="B2912" i="106"/>
  <c r="D2912" i="106" s="1"/>
  <c r="I41" i="3"/>
  <c r="D63" i="36"/>
  <c r="A7278" i="106"/>
  <c r="D7277" i="106"/>
  <c r="F11" i="146" l="1"/>
  <c r="D29" i="36" s="1"/>
  <c r="J24" i="24" s="1"/>
  <c r="O35" i="118"/>
  <c r="O37" i="118" s="1"/>
  <c r="K41" i="3"/>
  <c r="D65" i="36"/>
  <c r="B3567" i="106"/>
  <c r="D3567" i="106" s="1"/>
  <c r="D76" i="36"/>
  <c r="C41" i="3"/>
  <c r="D57" i="36"/>
  <c r="B92" i="106"/>
  <c r="D92" i="106" s="1"/>
  <c r="D62" i="36"/>
  <c r="B212" i="106"/>
  <c r="D212" i="106" s="1"/>
  <c r="H41" i="3"/>
  <c r="K83" i="4"/>
  <c r="B6284" i="106" s="1"/>
  <c r="D6284" i="106" s="1"/>
  <c r="B6275" i="106"/>
  <c r="D6275" i="106" s="1"/>
  <c r="J41" i="3"/>
  <c r="B6215" i="106"/>
  <c r="D6215" i="106" s="1"/>
  <c r="D64" i="36"/>
  <c r="G83" i="4"/>
  <c r="B6280" i="106" s="1"/>
  <c r="D6280" i="106" s="1"/>
  <c r="B6271" i="106"/>
  <c r="D6271" i="106" s="1"/>
  <c r="F83" i="4"/>
  <c r="B6279" i="106" s="1"/>
  <c r="D6279" i="106" s="1"/>
  <c r="B6270" i="106"/>
  <c r="D6270" i="106" s="1"/>
  <c r="B6267" i="106"/>
  <c r="D6267" i="106" s="1"/>
  <c r="C83" i="4"/>
  <c r="B6276" i="106" s="1"/>
  <c r="D6276" i="106" s="1"/>
  <c r="D61" i="36"/>
  <c r="G41" i="3"/>
  <c r="B189" i="106"/>
  <c r="D189" i="106" s="1"/>
  <c r="J83" i="4"/>
  <c r="B6283" i="106" s="1"/>
  <c r="D6283" i="106" s="1"/>
  <c r="B6274" i="106"/>
  <c r="D6274" i="106" s="1"/>
  <c r="D59" i="36"/>
  <c r="B140" i="106"/>
  <c r="D140" i="106" s="1"/>
  <c r="E41" i="3"/>
  <c r="B6268" i="106"/>
  <c r="D6268" i="106" s="1"/>
  <c r="D83" i="4"/>
  <c r="B6277" i="106" s="1"/>
  <c r="D6277" i="106" s="1"/>
  <c r="F41" i="3"/>
  <c r="B170" i="106"/>
  <c r="D170" i="106" s="1"/>
  <c r="D60" i="36"/>
  <c r="E83" i="4"/>
  <c r="B6278" i="106" s="1"/>
  <c r="D6278" i="106" s="1"/>
  <c r="B6269" i="106"/>
  <c r="D6269" i="106" s="1"/>
  <c r="D50" i="36"/>
  <c r="B2913" i="106"/>
  <c r="D2913" i="106" s="1"/>
  <c r="C12" i="146"/>
  <c r="B6272" i="106"/>
  <c r="D6272" i="106" s="1"/>
  <c r="H83" i="4"/>
  <c r="B6281" i="106" s="1"/>
  <c r="D6281" i="106" s="1"/>
  <c r="B123" i="106"/>
  <c r="D123" i="106" s="1"/>
  <c r="D41" i="3"/>
  <c r="D58" i="36"/>
  <c r="A7279" i="106"/>
  <c r="D7278" i="106"/>
  <c r="B141" i="106" l="1"/>
  <c r="D141" i="106" s="1"/>
  <c r="D46" i="36"/>
  <c r="B6216" i="106"/>
  <c r="D6216" i="106" s="1"/>
  <c r="D51" i="36"/>
  <c r="D44" i="36"/>
  <c r="B93" i="106"/>
  <c r="D93" i="106" s="1"/>
  <c r="B124" i="106"/>
  <c r="D124" i="106" s="1"/>
  <c r="D45" i="36"/>
  <c r="B282" i="106"/>
  <c r="D282" i="106" s="1"/>
  <c r="N23" i="3"/>
  <c r="B213" i="106"/>
  <c r="D213" i="106" s="1"/>
  <c r="D49" i="36"/>
  <c r="B190" i="106"/>
  <c r="D190" i="106" s="1"/>
  <c r="D48" i="36"/>
  <c r="B171" i="106"/>
  <c r="D171" i="106" s="1"/>
  <c r="D47" i="36"/>
  <c r="B3568" i="106"/>
  <c r="D3568" i="106" s="1"/>
  <c r="D52" i="36"/>
  <c r="A7280" i="106"/>
  <c r="D7279" i="106"/>
  <c r="D55" i="36" l="1"/>
  <c r="B284" i="106"/>
  <c r="D284" i="106" s="1"/>
  <c r="A7281" i="106"/>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<sst xmlns="http://schemas.openxmlformats.org/spreadsheetml/2006/main" count="5476" uniqueCount="2205">
  <si>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</si>
  <si>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</si>
  <si>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</si>
  <si>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</si>
  <si>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</si>
  <si>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</si>
  <si>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</si>
  <si>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</si>
  <si>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</si>
  <si>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</si>
  <si>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</si>
  <si>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</si>
  <si>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</si>
  <si>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</si>
  <si>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</si>
  <si>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</si>
  <si>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</si>
  <si>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</si>
  <si>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</si>
  <si>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</si>
  <si>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</si>
  <si>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</si>
  <si>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</si>
  <si>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</si>
  <si>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</si>
  <si>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</si>
  <si>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</si>
  <si>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</si>
  <si>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</si>
  <si>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</si>
  <si>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</si>
  <si>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</si>
  <si>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</si>
  <si>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</si>
  <si>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</si>
  <si>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</si>
  <si>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</si>
  <si>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</si>
  <si>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</si>
  <si>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</si>
  <si>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</si>
  <si>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</si>
  <si>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</si>
  <si>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</si>
  <si>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</si>
  <si>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</si>
  <si>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</si>
  <si>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</si>
  <si>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</si>
  <si>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</si>
  <si>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</si>
  <si>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</si>
  <si>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</si>
  <si>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</si>
  <si>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</si>
  <si>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</si>
  <si>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</si>
  <si>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</si>
  <si>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</si>
  <si>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</si>
  <si>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</si>
  <si>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</si>
  <si>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</si>
  <si>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</si>
  <si>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</si>
  <si>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</si>
  <si>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</si>
  <si>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</si>
  <si>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</si>
  <si>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</si>
  <si>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</si>
  <si>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</si>
  <si>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</si>
  <si>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</si>
  <si>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</si>
  <si>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</si>
  <si>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</si>
  <si>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</si>
  <si>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</si>
  <si>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</si>
  <si>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</si>
  <si>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</si>
  <si>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</si>
  <si>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</si>
  <si>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</si>
  <si>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</si>
  <si>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</si>
  <si>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</si>
  <si>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</si>
  <si>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</si>
  <si>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</si>
  <si>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</si>
  <si>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</si>
  <si>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</si>
  <si>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</si>
  <si>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</si>
  <si>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</si>
  <si>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</si>
  <si>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</si>
  <si>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</si>
  <si>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</si>
  <si>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</si>
  <si>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</si>
  <si>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</si>
  <si>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</si>
  <si>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</si>
  <si>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</si>
  <si>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</si>
  <si>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</si>
  <si>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</si>
  <si>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</si>
  <si>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</si>
  <si>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</si>
  <si>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</si>
  <si>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</si>
  <si>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</si>
  <si>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</si>
  <si>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</si>
  <si>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</si>
  <si>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</si>
  <si>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</si>
  <si>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</si>
  <si>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</si>
  <si>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</si>
  <si>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</si>
  <si>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</si>
  <si>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</si>
  <si>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</si>
  <si>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</si>
  <si>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</si>
  <si>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</si>
  <si>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</si>
  <si>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</si>
  <si>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</si>
  <si>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</si>
  <si>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</si>
  <si>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</si>
  <si>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</si>
  <si>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</si>
  <si>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</si>
  <si>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</si>
  <si>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</si>
  <si>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</si>
  <si>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</si>
  <si>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</si>
  <si>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</si>
  <si>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</si>
  <si>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</si>
  <si>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</si>
  <si>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</si>
  <si>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</si>
  <si>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</si>
  <si>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</si>
  <si>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</si>
  <si>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</si>
  <si>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</si>
  <si>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</si>
  <si>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</si>
  <si>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</si>
  <si>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</si>
  <si>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</si>
  <si>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</si>
  <si>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</si>
  <si>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</si>
  <si>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</si>
  <si>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</si>
  <si>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</si>
  <si>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</si>
  <si>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</si>
  <si>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</si>
  <si>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</si>
  <si>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</si>
  <si>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</si>
  <si>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</si>
  <si>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</si>
  <si>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</si>
  <si>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</si>
  <si>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</si>
  <si>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</si>
  <si>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</si>
  <si>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</si>
  <si>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</si>
  <si>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</si>
  <si>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</si>
  <si>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</si>
  <si>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</si>
  <si>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</si>
  <si>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</si>
  <si>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</si>
  <si>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</si>
  <si>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</si>
  <si>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</si>
  <si>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</si>
  <si>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</si>
  <si>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</si>
  <si>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</si>
  <si>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</si>
  <si>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</si>
  <si>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</si>
  <si>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</si>
  <si>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</si>
  <si>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</si>
  <si>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</si>
  <si>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</si>
  <si>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</si>
  <si>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</si>
  <si>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</si>
  <si>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</si>
  <si>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</si>
  <si>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</si>
  <si>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</si>
  <si>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</si>
  <si>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</si>
  <si>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</si>
  <si>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</si>
  <si>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</si>
  <si>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</si>
  <si>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</si>
  <si>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</si>
  <si>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</si>
  <si>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</si>
  <si>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</si>
  <si>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</si>
  <si>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</si>
  <si>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</si>
  <si>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</si>
  <si>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</si>
  <si>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</si>
  <si>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</si>
  <si>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</si>
  <si>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</si>
  <si>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</si>
  <si>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</si>
  <si>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</si>
  <si>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</si>
  <si>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</si>
  <si>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</si>
  <si>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</si>
  <si>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</si>
  <si>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</si>
  <si>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</si>
  <si>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</si>
  <si>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</si>
  <si>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</si>
  <si>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</si>
  <si>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</si>
  <si>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</si>
  <si>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</si>
  <si>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</si>
  <si>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</si>
  <si>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</si>
  <si>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</si>
  <si>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</si>
  <si>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</si>
  <si>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</si>
  <si>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</si>
  <si>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</si>
  <si>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</si>
  <si>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</si>
  <si>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</si>
  <si>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</si>
  <si>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</si>
  <si>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</si>
  <si>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</si>
  <si>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</si>
  <si>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</si>
  <si>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</si>
  <si>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</si>
  <si>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</si>
  <si>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</si>
  <si>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</si>
  <si>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</si>
  <si>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</si>
  <si>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</si>
  <si>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</si>
  <si>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</si>
  <si>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</si>
  <si>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</si>
  <si>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</si>
  <si>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</si>
  <si>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</si>
  <si>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</si>
  <si>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</si>
  <si>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</si>
  <si>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</si>
  <si>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</si>
  <si>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</si>
  <si>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</si>
  <si>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</si>
  <si>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</si>
  <si>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</si>
  <si>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</si>
  <si>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</si>
  <si>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</si>
  <si>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</si>
  <si>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</si>
  <si>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</si>
  <si>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</si>
  <si>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</si>
  <si>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</si>
  <si>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</si>
  <si>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</si>
  <si>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</si>
  <si>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</si>
  <si>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</si>
  <si>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</si>
  <si>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</si>
  <si>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</si>
  <si>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</si>
  <si>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</si>
  <si>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</si>
  <si>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</si>
  <si>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</si>
  <si>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</si>
  <si>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</si>
  <si>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</si>
  <si>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</si>
  <si>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</si>
  <si>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</si>
  <si>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</si>
  <si>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</si>
  <si>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</si>
  <si>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</si>
  <si>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</si>
  <si>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</si>
  <si>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</si>
  <si>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</si>
  <si>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</si>
  <si>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</si>
  <si>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</si>
  <si>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</si>
  <si>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</si>
  <si>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</si>
  <si>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</si>
  <si>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</si>
  <si>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</si>
  <si>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</si>
  <si>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</si>
  <si>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</si>
  <si>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</si>
  <si>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</si>
  <si>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</si>
  <si>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</si>
  <si>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</si>
  <si>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</si>
  <si>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</si>
  <si>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</si>
  <si>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</si>
  <si>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</si>
  <si>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</si>
  <si>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</si>
  <si>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</si>
  <si>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</si>
  <si>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</si>
  <si>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</si>
  <si>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</si>
  <si>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</si>
  <si>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</si>
  <si>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</si>
  <si>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</si>
  <si>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</si>
  <si>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</si>
  <si>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</si>
  <si>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</si>
  <si>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</si>
  <si>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</si>
  <si>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</si>
  <si>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</si>
  <si>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</si>
  <si>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</si>
  <si>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</si>
  <si>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</si>
  <si>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</si>
  <si>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</si>
  <si>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</si>
  <si>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</si>
  <si>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</si>
  <si>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</si>
  <si>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</si>
  <si>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</si>
  <si>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</si>
  <si>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</si>
  <si>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</si>
  <si>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</si>
  <si>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</si>
  <si>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</si>
  <si>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</si>
  <si>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</si>
  <si>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</si>
  <si>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</si>
  <si>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</si>
  <si>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</si>
  <si>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</si>
  <si>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</si>
  <si>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</si>
  <si>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</si>
  <si>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</si>
  <si>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</si>
  <si>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</si>
  <si>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</si>
  <si>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</si>
  <si>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</si>
  <si>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</si>
  <si>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</si>
  <si>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</si>
  <si>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</si>
  <si>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</si>
  <si>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</si>
  <si>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</si>
  <si>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</si>
  <si>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</si>
  <si>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</si>
  <si>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</si>
  <si>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</si>
  <si>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</si>
  <si>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</si>
  <si>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</si>
  <si>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</si>
  <si>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</si>
  <si>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</si>
  <si>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</si>
  <si>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</si>
  <si>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</si>
  <si>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</si>
  <si>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</si>
  <si>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</si>
  <si>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</si>
  <si>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</si>
  <si>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</si>
  <si>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</si>
  <si>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</si>
  <si>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</si>
  <si>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</si>
  <si>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</si>
  <si>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</si>
  <si>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</si>
  <si>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</si>
  <si>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</si>
  <si>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</si>
  <si>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</si>
  <si>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</si>
  <si>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</si>
  <si>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</si>
  <si>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</si>
  <si>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</si>
  <si>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</si>
  <si>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</si>
  <si>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</si>
  <si>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</si>
  <si>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</si>
  <si>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</si>
  <si>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</si>
  <si>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</si>
  <si>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</si>
  <si>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</si>
  <si>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</si>
  <si>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</si>
  <si>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</si>
  <si>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</si>
  <si>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</si>
  <si>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</si>
  <si>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</si>
  <si>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</si>
  <si>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</si>
  <si>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</si>
  <si>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</si>
  <si>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</si>
  <si>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</si>
  <si>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</si>
  <si>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</si>
  <si>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</si>
  <si>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</si>
  <si>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</si>
  <si>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</si>
  <si>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</si>
  <si>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</si>
  <si>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</si>
  <si>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</si>
  <si>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</si>
  <si>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</si>
  <si>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</si>
  <si>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</si>
  <si>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</si>
  <si>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</si>
  <si>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</si>
  <si>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</si>
  <si>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</si>
  <si>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</si>
  <si>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</si>
  <si>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</si>
  <si>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</si>
  <si>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</si>
  <si>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</si>
  <si>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</si>
  <si>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</si>
  <si>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</si>
  <si>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</si>
  <si>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</si>
  <si>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</si>
  <si>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</si>
  <si>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</si>
  <si>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</si>
  <si>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</si>
  <si>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</si>
  <si>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</si>
  <si>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</si>
  <si>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</si>
  <si>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</si>
  <si>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</si>
  <si>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</si>
  <si>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</si>
  <si>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</si>
  <si>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</si>
  <si>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</si>
  <si>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</si>
  <si>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</si>
  <si>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</si>
  <si>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</si>
  <si>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</si>
  <si>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</si>
  <si>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</si>
  <si>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</si>
  <si>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</si>
  <si>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</si>
  <si>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</si>
  <si>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</si>
  <si>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</si>
  <si>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</si>
  <si>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</si>
  <si>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</si>
  <si>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</si>
  <si>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</si>
  <si>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</si>
  <si>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</si>
  <si>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</si>
  <si>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</si>
  <si>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</si>
  <si>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</si>
  <si>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</si>
  <si>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</si>
  <si>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</si>
  <si>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</si>
  <si>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</si>
  <si>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</si>
  <si>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</si>
  <si>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</si>
  <si>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</si>
  <si>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</si>
  <si>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</si>
  <si>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</si>
  <si>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</si>
  <si>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</si>
  <si>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</si>
  <si>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</si>
  <si>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</si>
  <si>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</si>
  <si>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</si>
  <si>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</si>
  <si>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</si>
  <si>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</si>
  <si>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</si>
  <si>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</si>
  <si>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</si>
  <si>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</si>
  <si>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</si>
  <si>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</si>
  <si>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</si>
  <si>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</si>
  <si>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</si>
  <si>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</si>
  <si>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</si>
  <si>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</si>
  <si>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</si>
  <si>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</si>
  <si>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</si>
  <si>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</si>
  <si>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</si>
  <si>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</si>
  <si>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</si>
  <si>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</si>
  <si>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</si>
  <si>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</si>
  <si>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</si>
  <si>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</si>
  <si>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</si>
  <si>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</si>
  <si>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</si>
  <si>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</si>
  <si>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</si>
  <si>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</si>
  <si>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</si>
  <si>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</si>
  <si>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</si>
  <si>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</si>
  <si>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</si>
  <si>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</si>
  <si>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</si>
  <si>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</si>
  <si>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</si>
  <si>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</si>
  <si>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</si>
  <si>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</si>
  <si>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</si>
  <si>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</si>
  <si>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</si>
  <si>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</si>
  <si>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</si>
  <si>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</si>
  <si>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</si>
  <si>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</si>
  <si>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</si>
  <si>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</si>
  <si>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</si>
  <si>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</si>
  <si>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</si>
  <si>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</si>
  <si>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</si>
  <si>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</si>
  <si>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</si>
  <si>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</si>
  <si>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</si>
  <si>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</si>
  <si>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</si>
  <si>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</si>
  <si>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</si>
  <si>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</si>
  <si>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</si>
  <si>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</si>
  <si>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</si>
  <si>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</si>
  <si>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</si>
  <si>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</si>
  <si>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</si>
  <si>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</si>
  <si>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</si>
  <si>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</si>
  <si>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</si>
  <si>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</si>
  <si>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</si>
  <si>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</si>
  <si>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</si>
  <si>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</si>
  <si>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</si>
  <si>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</si>
  <si>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</si>
  <si>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</si>
  <si>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</si>
  <si>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</si>
  <si>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</si>
  <si>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</si>
  <si>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</si>
  <si>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</si>
  <si>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</si>
  <si>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</si>
  <si>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</si>
  <si>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</si>
  <si>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</si>
  <si>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</si>
  <si>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</si>
  <si>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</si>
  <si>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</si>
  <si>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</si>
  <si>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</si>
  <si>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</si>
  <si>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</si>
  <si>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</si>
  <si>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</si>
  <si>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</si>
  <si>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</si>
  <si>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</si>
  <si>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</si>
  <si>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</si>
  <si>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</si>
  <si>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</si>
  <si>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</si>
  <si>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</si>
  <si>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</si>
  <si>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</si>
  <si>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</si>
  <si>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</si>
  <si>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</si>
  <si>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</si>
  <si>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</si>
  <si>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</si>
  <si>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</si>
  <si>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</si>
  <si>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</si>
  <si>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</si>
  <si>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</si>
  <si>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</si>
  <si>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</si>
  <si>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</si>
  <si>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</si>
  <si>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</si>
  <si>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</si>
  <si>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</si>
  <si>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</si>
  <si>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</si>
  <si>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</si>
  <si>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</si>
  <si>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</si>
  <si>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</si>
  <si>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</si>
  <si>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</si>
  <si>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</si>
  <si>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</si>
  <si>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</si>
  <si>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</si>
  <si>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</si>
  <si>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</si>
  <si>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</si>
  <si>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</si>
  <si>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</si>
  <si>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</si>
  <si>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</si>
  <si>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</si>
  <si>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</si>
  <si>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</si>
  <si>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</si>
  <si>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</si>
  <si>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</si>
  <si>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</si>
  <si>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</si>
  <si>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</si>
  <si>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</si>
  <si>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</si>
  <si>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</si>
  <si>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</si>
  <si>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</si>
  <si>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</si>
  <si>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</si>
  <si>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</si>
  <si>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</si>
  <si>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</si>
  <si>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</si>
  <si>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</si>
  <si>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</si>
  <si>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</si>
  <si>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</si>
  <si>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</si>
  <si>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</si>
  <si>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</si>
  <si>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</si>
  <si>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</si>
  <si>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</si>
  <si>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</si>
  <si>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</si>
  <si>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</si>
  <si>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</si>
  <si>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</si>
  <si>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</si>
  <si>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</si>
  <si>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</si>
  <si>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</si>
  <si>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</si>
  <si>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</si>
  <si>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</si>
  <si>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</si>
  <si>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</si>
  <si>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</si>
  <si>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</si>
  <si>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</si>
  <si>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</si>
  <si>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</si>
  <si>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</si>
  <si>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</si>
  <si>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</si>
  <si>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</si>
  <si>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</si>
  <si>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</si>
  <si>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</si>
  <si>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</si>
  <si>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</si>
  <si>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</si>
  <si>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</si>
  <si>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</si>
  <si>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</si>
  <si>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</si>
  <si>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</si>
  <si>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</si>
  <si>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</si>
  <si>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</si>
  <si>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</si>
  <si>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</si>
  <si>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</si>
  <si>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</si>
  <si>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</si>
  <si>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</si>
  <si>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</si>
  <si>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</si>
  <si>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</si>
  <si>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</si>
  <si>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</si>
  <si>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</si>
  <si>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</si>
  <si>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</si>
  <si>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</si>
  <si>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</si>
  <si>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</si>
  <si>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</si>
  <si>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</si>
  <si>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</si>
  <si>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</si>
  <si>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</si>
  <si>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</si>
  <si>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</si>
  <si>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</si>
  <si>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</si>
  <si>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</si>
  <si>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</si>
  <si>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</si>
  <si>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</si>
  <si>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</si>
  <si>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</si>
  <si>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</si>
  <si>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</si>
  <si>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</si>
  <si>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</si>
  <si>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</si>
  <si>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</si>
  <si>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</si>
  <si>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</si>
  <si>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</si>
  <si>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</si>
  <si>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</si>
  <si>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</si>
  <si>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</si>
  <si>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</si>
  <si>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</si>
  <si>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</si>
  <si>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</si>
  <si>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</si>
  <si>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</si>
  <si>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</si>
  <si>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</si>
  <si>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</si>
  <si>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</si>
  <si>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</si>
  <si>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</si>
  <si>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</si>
  <si>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</si>
  <si>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</si>
  <si>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</si>
  <si>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</si>
  <si>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</si>
  <si>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</si>
  <si>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</si>
  <si>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</si>
  <si>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</si>
  <si>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</si>
  <si>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</si>
  <si>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</si>
  <si>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</si>
  <si>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</si>
  <si>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</si>
  <si>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</si>
  <si>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</si>
  <si>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</si>
  <si>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</si>
  <si>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</si>
  <si>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</si>
  <si>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</si>
  <si>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</si>
  <si>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</si>
  <si>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</si>
  <si>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</si>
  <si>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</si>
  <si>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</si>
  <si>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</si>
  <si>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</si>
  <si>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</si>
  <si>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</si>
  <si>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</si>
  <si>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</si>
  <si>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</si>
  <si>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</si>
  <si>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</si>
  <si>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</si>
  <si>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</si>
  <si>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</si>
  <si>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</si>
  <si>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</si>
  <si>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</si>
  <si>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</si>
  <si>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</si>
  <si>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</si>
  <si>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</si>
  <si>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</si>
  <si>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</si>
  <si>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</si>
  <si>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</si>
  <si>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</si>
  <si>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</si>
  <si>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</si>
  <si>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</si>
  <si>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</si>
  <si>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</si>
  <si>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</si>
  <si>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</si>
  <si>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</si>
  <si>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</si>
  <si>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</si>
  <si>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</si>
  <si>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</si>
  <si>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</si>
  <si>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</si>
  <si>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</si>
  <si>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</si>
  <si>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</si>
  <si>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</si>
  <si>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</si>
  <si>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</si>
  <si>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</si>
  <si>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</si>
  <si>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</si>
  <si>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</si>
  <si>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</si>
  <si>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</si>
  <si>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</si>
  <si>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</si>
  <si>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</si>
  <si>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</si>
  <si>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</si>
  <si>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</si>
  <si>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</si>
  <si>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</si>
  <si>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</si>
  <si>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</si>
  <si>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</si>
  <si>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</si>
  <si>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</si>
  <si>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</si>
  <si>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</si>
  <si>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</si>
  <si>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</si>
  <si>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</si>
  <si>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</si>
  <si>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</si>
  <si>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</si>
  <si>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</si>
  <si>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</si>
  <si>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</si>
  <si>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</si>
  <si>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</si>
  <si>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</si>
  <si>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</si>
  <si>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</si>
  <si>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</si>
  <si>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</si>
  <si>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</si>
  <si>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</si>
  <si>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</si>
  <si>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</si>
  <si>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</si>
  <si>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</si>
  <si>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</si>
  <si>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</si>
  <si>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</si>
  <si>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</si>
  <si>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</si>
  <si>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</si>
  <si>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</si>
  <si>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</si>
  <si>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</si>
  <si>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</si>
  <si>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</si>
  <si>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</si>
  <si>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</si>
  <si>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</si>
  <si>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</si>
  <si>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</si>
  <si>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</si>
  <si>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</si>
  <si>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</si>
  <si>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</si>
  <si>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</si>
  <si>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</si>
  <si>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</si>
  <si>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</si>
  <si>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</si>
  <si>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</si>
  <si>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</si>
  <si>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</si>
  <si>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</si>
  <si>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</si>
  <si>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</si>
  <si>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</si>
  <si>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</si>
  <si>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</si>
  <si>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</si>
  <si>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</si>
  <si>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</si>
  <si>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</si>
  <si>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</si>
  <si>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</si>
  <si>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</si>
  <si>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</si>
  <si>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</si>
  <si>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</si>
  <si>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</si>
  <si>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</si>
  <si>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</si>
  <si>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</si>
  <si>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</si>
  <si>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</si>
  <si>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</si>
  <si>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</si>
  <si>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</si>
  <si>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</si>
  <si>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</si>
  <si>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</si>
  <si>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</si>
  <si>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</si>
  <si>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</si>
  <si>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</si>
  <si>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</si>
  <si>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</si>
  <si>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</si>
  <si>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</si>
  <si>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</si>
  <si>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</si>
  <si>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</si>
  <si>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</si>
  <si>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</si>
  <si>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</si>
  <si>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</si>
  <si>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</si>
  <si>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</si>
  <si>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</si>
  <si>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</si>
  <si>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</si>
  <si>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</si>
  <si>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</si>
  <si>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</si>
  <si>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</si>
  <si>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</si>
  <si>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</si>
  <si>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</si>
  <si>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</si>
  <si>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</si>
  <si>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</si>
  <si>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</si>
  <si>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</si>
  <si>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</si>
  <si>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</si>
  <si>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</si>
  <si>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</si>
  <si>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</si>
  <si>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</si>
  <si>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</si>
  <si>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</si>
  <si>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</si>
  <si>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</si>
  <si>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</si>
  <si>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</si>
  <si>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</si>
  <si>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</si>
  <si>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</si>
  <si>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</si>
  <si>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</si>
  <si>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</si>
  <si>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</si>
  <si>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</si>
  <si>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</si>
  <si>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</si>
  <si>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</si>
  <si>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</si>
  <si>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</si>
  <si>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</si>
  <si>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</si>
  <si>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</si>
  <si>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</si>
  <si>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</si>
  <si>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</si>
  <si>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</si>
  <si>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</si>
  <si>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</si>
  <si>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</si>
  <si>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</si>
  <si>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</si>
  <si>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</si>
  <si>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</si>
  <si>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</si>
  <si>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</si>
  <si>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</si>
  <si>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</si>
  <si>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</si>
  <si>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</si>
  <si>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</si>
  <si>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</si>
  <si>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</si>
  <si>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</si>
  <si>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</si>
  <si>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</si>
  <si>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</si>
  <si>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</si>
  <si>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</si>
  <si>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</si>
  <si>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</si>
  <si>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</si>
  <si>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</si>
  <si>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</si>
  <si>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</si>
  <si>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</si>
  <si>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</si>
  <si>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</si>
  <si>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</si>
  <si>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</si>
  <si>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</si>
  <si>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</si>
  <si>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</si>
  <si>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</si>
  <si>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</si>
  <si>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</si>
  <si>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</si>
  <si>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</si>
  <si>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</si>
  <si>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</si>
  <si>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</si>
  <si>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</si>
  <si>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</si>
  <si>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</si>
  <si>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</si>
  <si>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</si>
  <si>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</si>
  <si>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</si>
  <si>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</si>
  <si>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</si>
  <si>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</si>
  <si>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</si>
  <si>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</si>
  <si>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</si>
  <si>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</si>
  <si>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</si>
  <si>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</si>
  <si>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</si>
  <si>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</si>
  <si>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</si>
  <si>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</si>
  <si>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</si>
  <si>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</si>
  <si>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</si>
  <si>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</si>
  <si>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</si>
  <si>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</si>
  <si>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</si>
  <si>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</si>
  <si>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</si>
  <si>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</si>
  <si>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</si>
  <si>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</si>
  <si>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</si>
  <si>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</si>
  <si>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</si>
  <si>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</si>
  <si>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</si>
  <si>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</si>
  <si>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</si>
  <si>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</si>
  <si>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</si>
  <si>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</si>
  <si>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</si>
  <si>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</si>
  <si>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</si>
  <si>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</si>
  <si>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</si>
  <si>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</si>
  <si>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</si>
  <si>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</si>
  <si>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</si>
  <si>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</si>
  <si>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</si>
  <si>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</si>
  <si>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</si>
  <si>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</si>
  <si>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</si>
  <si>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</si>
  <si>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</si>
  <si>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</si>
  <si>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</si>
  <si>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</si>
  <si>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</si>
  <si>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</si>
  <si>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</si>
  <si>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</si>
  <si>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</si>
  <si>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</si>
  <si>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</si>
  <si>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</si>
  <si>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</si>
  <si>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</si>
  <si>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</si>
  <si>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</si>
  <si>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</si>
  <si>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</si>
  <si>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</si>
  <si>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</si>
  <si>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</si>
  <si>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</si>
  <si>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</si>
  <si>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</si>
  <si>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</si>
  <si>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</si>
  <si>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</si>
  <si>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</si>
  <si>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</si>
  <si>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</si>
  <si>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</si>
  <si>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</si>
  <si>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</si>
  <si>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</si>
  <si>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</si>
  <si>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</si>
  <si>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</si>
  <si>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</si>
  <si>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</si>
  <si>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</si>
  <si>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</si>
  <si>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</si>
  <si>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</si>
  <si>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</si>
  <si>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</si>
  <si>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</si>
  <si>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</si>
  <si>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</si>
  <si>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</si>
  <si>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</si>
  <si>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</si>
  <si>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</si>
  <si>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</si>
  <si>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</si>
  <si>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</si>
  <si>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</si>
  <si>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</si>
  <si>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</si>
  <si>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</si>
  <si>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</si>
  <si>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</si>
  <si>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</si>
  <si>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</si>
  <si>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</si>
  <si>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</si>
  <si>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</si>
  <si>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</si>
  <si>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</si>
  <si>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</si>
  <si>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</si>
  <si>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</si>
  <si>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</si>
  <si>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</si>
  <si>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</si>
  <si>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</si>
  <si>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</si>
  <si>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</si>
  <si>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</si>
  <si>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</si>
  <si>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</si>
  <si>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</si>
  <si>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</si>
  <si>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</si>
  <si>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</si>
  <si>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</si>
  <si>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</si>
  <si>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</si>
  <si>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</si>
  <si>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</si>
  <si>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</si>
  <si>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</si>
  <si>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</si>
  <si>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</si>
  <si>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</si>
  <si>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</si>
  <si>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</si>
  <si>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</si>
  <si>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</si>
  <si>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</si>
  <si>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</si>
  <si>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</si>
  <si>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</si>
  <si>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</si>
  <si>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</si>
  <si>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</si>
  <si>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</si>
  <si>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</si>
  <si>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</si>
  <si>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</si>
  <si>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</si>
  <si>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</si>
  <si>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</si>
  <si>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</si>
  <si>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</si>
  <si>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</si>
  <si>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</si>
  <si>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</si>
  <si>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</si>
  <si>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</si>
  <si>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</si>
  <si>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</si>
  <si>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</si>
  <si>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</si>
  <si>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</si>
  <si>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</si>
  <si>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</si>
  <si>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</si>
  <si>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</si>
  <si>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</si>
  <si>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</si>
  <si>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</si>
  <si>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</si>
  <si>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</si>
  <si>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</si>
  <si>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</si>
  <si>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</si>
  <si>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</si>
  <si>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</si>
  <si>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</si>
  <si>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</si>
  <si>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</si>
  <si>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</si>
  <si>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</si>
  <si>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</si>
  <si>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</si>
  <si>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</si>
  <si>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</si>
  <si>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</si>
  <si>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</si>
  <si>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</si>
  <si>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</si>
  <si>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</si>
  <si>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</si>
  <si>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</si>
  <si>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</si>
  <si>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</si>
  <si>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</si>
  <si>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</si>
  <si>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</si>
  <si>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</si>
  <si>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</si>
  <si>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</si>
  <si>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</si>
  <si>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</si>
  <si>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</si>
  <si>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</si>
  <si>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</si>
  <si>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</si>
  <si>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</si>
  <si>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</si>
  <si>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</si>
  <si>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</si>
  <si>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</si>
  <si>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</si>
  <si>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</si>
  <si>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</si>
  <si>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</si>
  <si>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</si>
  <si>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</si>
  <si>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</si>
  <si>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</si>
  <si>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</si>
  <si>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</si>
  <si>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</si>
  <si>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</si>
  <si>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</si>
  <si>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</si>
  <si>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</si>
  <si>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</si>
  <si>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</si>
  <si>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</si>
  <si>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</si>
  <si>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</si>
  <si>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</si>
  <si>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</si>
  <si>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</si>
  <si>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</si>
  <si>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</si>
  <si>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</si>
  <si>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</si>
  <si>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</si>
  <si>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</si>
  <si>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</si>
  <si>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</si>
  <si>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</si>
  <si>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</si>
  <si>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</si>
  <si>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</si>
  <si>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</si>
  <si>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</si>
  <si>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</si>
  <si>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</si>
  <si>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</si>
  <si>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</si>
  <si>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</si>
  <si>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</si>
  <si>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</si>
  <si>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</si>
  <si>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</si>
  <si>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</si>
  <si>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</si>
  <si>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</si>
  <si>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</si>
  <si>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</si>
  <si>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</si>
  <si>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</si>
  <si>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</si>
  <si>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</si>
  <si>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</si>
  <si>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</si>
  <si>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</si>
  <si>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</si>
  <si>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</si>
  <si>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</si>
  <si>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</si>
  <si>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</si>
  <si>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</si>
  <si>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</si>
  <si>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</si>
  <si>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</si>
  <si>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</si>
  <si>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</si>
  <si>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</si>
  <si>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</si>
  <si>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</si>
  <si>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</si>
  <si>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</si>
  <si>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</si>
  <si>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</si>
  <si>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</si>
  <si>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</si>
  <si>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</si>
  <si>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</si>
  <si>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</si>
  <si>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</si>
  <si>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</si>
  <si>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</si>
  <si>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</si>
  <si>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</si>
  <si>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</si>
  <si>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</si>
  <si>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</si>
  <si>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</si>
  <si>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</si>
  <si>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</si>
  <si>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</si>
  <si>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</si>
  <si>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</si>
  <si>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</si>
  <si>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</si>
  <si>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</si>
  <si>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</si>
  <si>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</si>
  <si>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</si>
  <si>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</si>
  <si>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</si>
  <si>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</si>
  <si>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</si>
  <si>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</si>
  <si>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</si>
  <si>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</si>
  <si>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</si>
  <si>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</si>
  <si>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</si>
  <si>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</si>
  <si>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</si>
  <si>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</si>
  <si>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</si>
  <si>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</si>
  <si>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</si>
  <si>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</si>
  <si>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</si>
  <si>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</si>
  <si>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</si>
  <si>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</si>
  <si>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</si>
  <si>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</si>
  <si>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</si>
  <si>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</si>
  <si>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</si>
  <si>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</si>
  <si>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</si>
  <si>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</si>
  <si>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</si>
  <si>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</si>
  <si>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</si>
  <si>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</si>
  <si>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</si>
  <si>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</si>
  <si>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</si>
  <si>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</si>
  <si>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</si>
  <si>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</si>
  <si>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</si>
  <si>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</si>
  <si>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</si>
  <si>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</si>
  <si>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</si>
  <si>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</si>
  <si>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</si>
  <si>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</si>
  <si>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</si>
  <si>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</si>
  <si>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</si>
  <si>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</si>
  <si>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</si>
  <si>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</si>
  <si>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</si>
  <si>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</si>
  <si>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</si>
  <si>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</si>
  <si>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</si>
  <si>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</si>
  <si>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</si>
  <si>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</si>
  <si>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</si>
  <si>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</si>
  <si>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</si>
  <si>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</si>
  <si>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</si>
  <si>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</si>
  <si>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</si>
  <si>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</si>
  <si>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</si>
  <si>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</si>
  <si>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</si>
  <si>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</si>
  <si>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</si>
  <si>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</si>
  <si>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</si>
  <si>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</si>
  <si>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</si>
  <si>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</si>
  <si>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</si>
  <si>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</si>
  <si>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</si>
  <si>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</si>
  <si>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</si>
  <si>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</si>
  <si>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</si>
  <si>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</si>
  <si>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</si>
  <si>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</si>
  <si>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</si>
  <si>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</si>
  <si>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</si>
  <si>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</si>
  <si>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</si>
  <si>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</si>
  <si>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</si>
  <si>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</si>
  <si>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</si>
  <si>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</si>
  <si>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</si>
  <si>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</si>
  <si>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</si>
  <si>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</si>
  <si>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</si>
  <si>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</si>
  <si>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</si>
  <si>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</si>
  <si>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</si>
  <si>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</si>
  <si>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</si>
  <si>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</si>
  <si>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</si>
  <si>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</si>
  <si>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</si>
  <si>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</si>
  <si>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</si>
  <si>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</si>
  <si>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</si>
  <si>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</si>
  <si>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</si>
  <si>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</si>
  <si>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</si>
  <si>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</si>
  <si>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</si>
  <si>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</si>
  <si>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</si>
  <si>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</si>
  <si>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</si>
  <si>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</si>
  <si>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</si>
  <si>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</si>
  <si>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</si>
  <si>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</si>
  <si>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</si>
  <si>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</si>
  <si>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</si>
  <si>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</si>
  <si>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</si>
  <si>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</si>
  <si>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</si>
  <si>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</si>
  <si>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</si>
  <si>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</si>
  <si>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</si>
  <si>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</si>
  <si>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</si>
  <si>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</si>
  <si>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</si>
  <si>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</si>
  <si>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</si>
  <si>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</si>
  <si>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</si>
  <si>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</si>
  <si>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</si>
  <si>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</si>
  <si>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</si>
  <si>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</si>
  <si>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</si>
  <si>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</si>
  <si>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</si>
  <si>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</si>
  <si>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</si>
  <si>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</si>
  <si>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</si>
  <si>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</si>
  <si>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</si>
  <si>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</si>
  <si>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</si>
  <si>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</si>
  <si>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</si>
  <si>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</si>
  <si>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</si>
  <si>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</si>
  <si>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</si>
  <si>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</si>
  <si>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</si>
  <si>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</si>
  <si>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</si>
  <si>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</si>
  <si>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</si>
  <si>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</si>
  <si>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</si>
  <si>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</si>
  <si>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</si>
  <si>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</si>
  <si>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</si>
  <si>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</si>
  <si>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</si>
  <si>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</si>
  <si>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</si>
  <si>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</si>
  <si>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</si>
  <si>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</si>
  <si>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</si>
  <si>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</si>
  <si>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</si>
  <si>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</si>
  <si>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</si>
  <si>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</si>
  <si>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</si>
  <si>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</si>
  <si>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</si>
  <si>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</si>
  <si>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</si>
  <si>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</si>
  <si>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</si>
  <si>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</si>
  <si>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</si>
  <si>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</si>
  <si>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</si>
  <si>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</si>
  <si>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</si>
  <si>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</si>
  <si>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</si>
  <si>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</si>
  <si>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</si>
  <si>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</si>
  <si>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</si>
  <si>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</si>
  <si>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</si>
  <si>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</si>
  <si>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</si>
  <si>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</si>
  <si>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</si>
  <si>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</si>
  <si>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</si>
  <si>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</si>
  <si>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</si>
  <si>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</si>
  <si>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</si>
  <si>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</si>
  <si>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</si>
  <si>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</si>
  <si>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</si>
  <si>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</si>
  <si>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</si>
  <si>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</si>
  <si>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</si>
  <si>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</si>
  <si>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</si>
  <si>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</si>
  <si>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</si>
  <si>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</si>
  <si>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</si>
  <si>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</si>
  <si>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</si>
  <si>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</si>
  <si>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</si>
  <si>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</si>
  <si>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</si>
  <si>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</si>
  <si>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</si>
  <si>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</si>
  <si>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</si>
  <si>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</si>
  <si>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</si>
  <si>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</si>
  <si>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</si>
  <si>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</si>
  <si>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</si>
  <si>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</si>
  <si>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</si>
  <si>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</si>
  <si>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</si>
  <si>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</si>
  <si>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</si>
  <si>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</si>
  <si>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</si>
  <si>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</si>
  <si>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</si>
  <si>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</si>
  <si>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</si>
  <si>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</si>
  <si>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</si>
  <si>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</si>
  <si>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</si>
  <si>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</si>
  <si>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</si>
  <si>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</si>
  <si>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</si>
  <si>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</si>
  <si>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</si>
  <si>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</si>
  <si>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</si>
  <si>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</si>
  <si>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</si>
  <si>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</si>
  <si>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</si>
  <si>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</si>
  <si>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</si>
  <si>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</si>
  <si>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</si>
  <si>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</si>
  <si>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</si>
  <si>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</si>
  <si>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</si>
  <si>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</si>
  <si>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</si>
  <si>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</si>
  <si>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</si>
  <si>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</si>
  <si>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</si>
  <si>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</si>
  <si>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</si>
  <si>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</si>
  <si>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</si>
  <si>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</si>
  <si>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</si>
  <si>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</si>
  <si>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</si>
  <si>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</si>
  <si>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</si>
  <si>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</si>
  <si>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</si>
  <si>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</si>
  <si>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</si>
  <si>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</si>
  <si>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</si>
  <si>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</si>
  <si>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</si>
  <si>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</si>
  <si>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</si>
  <si>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</si>
  <si>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</si>
  <si>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</si>
  <si>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</si>
  <si>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</si>
  <si>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</si>
  <si>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</si>
  <si>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</si>
  <si>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</si>
  <si>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</si>
  <si>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</si>
  <si>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</si>
  <si>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</si>
  <si>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</si>
  <si>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</si>
  <si>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</si>
  <si>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</si>
  <si>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</si>
  <si>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</si>
  <si>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</si>
  <si>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</si>
  <si>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</si>
  <si>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</si>
  <si>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</si>
  <si>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</si>
  <si>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</si>
  <si>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</si>
  <si>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</si>
  <si>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</si>
  <si>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</si>
  <si>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</si>
  <si>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</si>
  <si>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</si>
  <si>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</si>
  <si>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</si>
  <si>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</si>
  <si>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</si>
  <si>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</si>
  <si>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</si>
  <si>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</si>
  <si>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</si>
  <si>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</si>
  <si>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</si>
  <si>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</si>
  <si>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</si>
  <si>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</si>
  <si>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</si>
  <si>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</si>
  <si>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</si>
  <si>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</si>
  <si>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</si>
  <si>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</si>
  <si>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</si>
  <si>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</si>
  <si>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</si>
  <si>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</si>
  <si>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</si>
  <si>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</si>
  <si>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</si>
  <si>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</si>
  <si>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</si>
  <si>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</si>
  <si>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</si>
  <si>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</si>
  <si>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</si>
  <si>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</si>
  <si>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</si>
  <si>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</si>
  <si>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</si>
  <si>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</si>
  <si>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</si>
  <si>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</si>
  <si>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</si>
  <si>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</si>
  <si>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</si>
  <si>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</si>
  <si>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</si>
  <si>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</si>
  <si>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</si>
  <si>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</si>
  <si>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</si>
  <si>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</si>
  <si>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</si>
  <si>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</si>
  <si>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</si>
  <si>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</si>
  <si>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</si>
  <si>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</si>
  <si>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</si>
  <si>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</si>
  <si>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</si>
  <si>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</si>
  <si>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</si>
  <si>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</si>
  <si>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</si>
  <si>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</si>
  <si>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</si>
  <si>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</si>
  <si>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</si>
  <si>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</si>
  <si>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</si>
  <si>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</si>
  <si>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</si>
  <si>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</si>
  <si>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</si>
  <si>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</si>
  <si>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</si>
  <si>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</si>
  <si>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</si>
  <si>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</si>
  <si>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</si>
  <si>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</si>
  <si>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</si>
  <si>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</si>
  <si>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</si>
  <si>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</si>
  <si>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</si>
  <si>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</si>
  <si>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</si>
  <si>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</si>
  <si>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</si>
  <si>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</si>
  <si>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</si>
  <si>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</si>
  <si>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</si>
  <si>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</si>
  <si>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</si>
  <si>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</si>
  <si>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</si>
  <si>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</si>
  <si>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</si>
  <si>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</si>
  <si>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</si>
  <si>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</si>
  <si>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</si>
  <si>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</si>
  <si>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</si>
  <si>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</si>
  <si>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</si>
  <si>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</si>
  <si>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</si>
  <si>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</si>
  <si>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</si>
  <si>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</si>
  <si>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</si>
  <si>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</si>
  <si>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</si>
  <si>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</si>
  <si>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</si>
  <si>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</si>
  <si>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</si>
  <si>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</si>
  <si>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</si>
  <si>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</si>
  <si>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</si>
  <si>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</si>
  <si>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</si>
  <si>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</si>
  <si>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</si>
  <si>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</si>
  <si>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</si>
  <si>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</si>
  <si>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</si>
  <si>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</si>
  <si>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</si>
  <si>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</si>
  <si>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</si>
  <si>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</si>
  <si>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</si>
  <si>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</si>
  <si>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</si>
  <si>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</si>
  <si>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</si>
  <si>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</si>
  <si>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</si>
  <si>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</si>
  <si>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</si>
  <si>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</si>
  <si>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</si>
  <si>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</si>
  <si>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</si>
  <si>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</si>
  <si>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</si>
  <si>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</si>
  <si>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</si>
  <si>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</si>
  <si>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</si>
  <si>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</si>
  <si>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</si>
  <si>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</si>
  <si>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</si>
  <si>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</si>
  <si>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</si>
  <si>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</si>
  <si>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</si>
  <si>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</si>
  <si>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</si>
  <si>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</si>
  <si>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</si>
  <si>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</si>
  <si>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</si>
  <si>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</si>
  <si>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</si>
  <si>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</si>
  <si>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</si>
  <si>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</si>
  <si>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</si>
  <si>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</si>
  <si>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</si>
  <si>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</si>
  <si>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</si>
  <si>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</si>
  <si>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</si>
  <si>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</si>
  <si>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</si>
  <si>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</si>
  <si>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</si>
  <si>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</si>
  <si>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</si>
  <si>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</si>
  <si>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</si>
  <si>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</si>
  <si>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</si>
  <si>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</si>
  <si>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</si>
  <si>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</si>
  <si>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</si>
  <si>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</si>
  <si>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</si>
  <si>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</si>
  <si>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</si>
  <si>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</si>
  <si>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</si>
  <si>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</si>
  <si>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</si>
  <si>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</si>
  <si>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</si>
  <si>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</si>
  <si>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</si>
  <si>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</si>
  <si>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</si>
  <si>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</si>
  <si>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</si>
  <si>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</si>
  <si>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</si>
  <si>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</si>
  <si>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</si>
  <si>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</si>
  <si>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</si>
  <si>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</si>
  <si>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</si>
  <si>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</si>
  <si>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</si>
  <si>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</si>
  <si>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</si>
  <si>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</si>
  <si>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</si>
  <si>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</si>
  <si>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</si>
  <si>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</si>
  <si>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</si>
  <si>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</si>
  <si>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</si>
  <si>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</si>
  <si>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</si>
  <si>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</si>
  <si>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</si>
  <si>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</si>
  <si>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</si>
  <si>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</si>
  <si>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</si>
  <si>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</si>
  <si>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</si>
  <si>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</si>
  <si>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</si>
  <si>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</si>
  <si>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</si>
  <si>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</si>
  <si>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</si>
  <si>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</si>
  <si>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</si>
  <si>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</si>
  <si>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</si>
  <si>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</si>
  <si>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</si>
  <si>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</si>
  <si>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CHILD NUTRITION CLUSTER</t>
  </si>
  <si>
    <t>U.S. Department of Agriculture passed through   Illinois State Board of Education</t>
  </si>
  <si>
    <t>U.S.Department of Defense passed through Illinois State Board of Education</t>
  </si>
  <si>
    <t>Subtotal  CFDA 10.555</t>
  </si>
  <si>
    <t>Subtotal  CFDA 10.553</t>
  </si>
  <si>
    <t>Total Child Nutrition Cluster</t>
  </si>
  <si>
    <t>Total CFDA "10"</t>
  </si>
  <si>
    <t xml:space="preserve">'+  Project Year End 9/30 </t>
  </si>
  <si>
    <t>Subtotal CFDA 10.559</t>
  </si>
  <si>
    <t>20-4299-00</t>
  </si>
  <si>
    <t>N/A</t>
  </si>
  <si>
    <t>19-4210-00</t>
  </si>
  <si>
    <t>20-4210-00</t>
  </si>
  <si>
    <t xml:space="preserve">Special Milk Program + </t>
  </si>
  <si>
    <t xml:space="preserve">Food Donation Program </t>
  </si>
  <si>
    <t>National School Lunch Program +</t>
  </si>
  <si>
    <t>19-4215-00</t>
  </si>
  <si>
    <t>20-4215-00</t>
  </si>
  <si>
    <t>Summer Food Service Program +</t>
  </si>
  <si>
    <t>U.S. Department of Education passed through   Illinois State Board of Education</t>
  </si>
  <si>
    <t>19-4300-00</t>
  </si>
  <si>
    <t>20-4300-00</t>
  </si>
  <si>
    <t>20-4331-20</t>
  </si>
  <si>
    <t>**  Project Year End 8/31</t>
  </si>
  <si>
    <t xml:space="preserve">Title I - Low Income (M)  ** </t>
  </si>
  <si>
    <t>Subtotal CFDA 84.010</t>
  </si>
  <si>
    <t>19-4400-00</t>
  </si>
  <si>
    <t>20-4400-00</t>
  </si>
  <si>
    <t>Subtotal CFDA 84.424</t>
  </si>
  <si>
    <t>19-4932-00</t>
  </si>
  <si>
    <t>20-4932-00</t>
  </si>
  <si>
    <t>Subtotal CFDA 84.367</t>
  </si>
  <si>
    <t xml:space="preserve">       Title IV, Part A - Student Support &amp; Academic Enrichment  **</t>
  </si>
  <si>
    <t xml:space="preserve">       Title II - Teacher Quality  **</t>
  </si>
  <si>
    <t>SPECIAL EDUCATION CLUSTER</t>
  </si>
  <si>
    <t>19-4625-XC</t>
  </si>
  <si>
    <t xml:space="preserve">       Special Education - Grants to States (M)</t>
  </si>
  <si>
    <t>19-4620-00</t>
  </si>
  <si>
    <t>20-4620-00</t>
  </si>
  <si>
    <t>Subtotal CFDA 84.027</t>
  </si>
  <si>
    <t xml:space="preserve">       Special Education - Preschool (M)</t>
  </si>
  <si>
    <t>19-4600-00</t>
  </si>
  <si>
    <t>20-4600-00</t>
  </si>
  <si>
    <t>Subtotal CFDA 84.173</t>
  </si>
  <si>
    <t>Total Special Education Cluster</t>
  </si>
  <si>
    <t>Total CFDA "84"</t>
  </si>
  <si>
    <t>U.S. Department of Education passed through Special Education District of Lake County</t>
  </si>
  <si>
    <t>MEDICAID CLUSTER</t>
  </si>
  <si>
    <t>US Department of Health and Human Services</t>
  </si>
  <si>
    <t xml:space="preserve">       Medicaid Matching Funds - Admin Outreach</t>
  </si>
  <si>
    <t>19-4991-00</t>
  </si>
  <si>
    <t>20-4991-00</t>
  </si>
  <si>
    <t>Subtotal CFDA 93.778</t>
  </si>
  <si>
    <t>Total Medicaid Cluster</t>
  </si>
  <si>
    <t>Total CFDA "93"</t>
  </si>
  <si>
    <t>Total Federal Assistance</t>
  </si>
  <si>
    <t>Medicaid Admin Fees</t>
  </si>
  <si>
    <t>Rounding</t>
  </si>
  <si>
    <t>LAKE</t>
  </si>
  <si>
    <t>364 SPAFFORD STREET</t>
  </si>
  <si>
    <t>ANTIOCH</t>
  </si>
  <si>
    <t>X</t>
  </si>
  <si>
    <t>20-4225-00</t>
  </si>
  <si>
    <t xml:space="preserve">      Special Education - IDEA - Room and Board ** (M)</t>
  </si>
  <si>
    <r>
      <t xml:space="preserve">The accompanying Schedule of Expenditures of Federal Awards includes the federal grant activity of </t>
    </r>
    <r>
      <rPr>
        <b/>
        <sz val="9"/>
        <rFont val="Calibri"/>
        <family val="2"/>
        <scheme val="minor"/>
      </rPr>
      <t>Antioch Community Consolidated School District No. 34</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</si>
  <si>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 xml:space="preserve">Antioch Community Consolidated School District No. 34 </t>
    </r>
    <r>
      <rPr>
        <sz val="9"/>
        <rFont val="Calibri"/>
        <family val="2"/>
        <scheme val="minor"/>
      </rPr>
      <t>provided federal awards to subrecipients as follows:</t>
    </r>
  </si>
  <si>
    <r>
      <t xml:space="preserve">The following amounts were expended in the form of non-cash assistance by </t>
    </r>
    <r>
      <rPr>
        <b/>
        <sz val="9"/>
        <rFont val="Calibri"/>
        <family val="2"/>
        <scheme val="minor"/>
      </rPr>
      <t xml:space="preserve">Antioch Community Consolidated School District No. 34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</si>
  <si>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UNMODIFIED</t>
  </si>
  <si>
    <t>84.027, 84.173</t>
  </si>
  <si>
    <t xml:space="preserve">TITLE I </t>
  </si>
  <si>
    <t>2019-001</t>
  </si>
  <si>
    <t xml:space="preserve">Corrective action was taken and management implemented processes to ensure timely filing. </t>
  </si>
  <si>
    <t>During the course of an audit, it was determined that grant reports were not filed on time.</t>
  </si>
  <si>
    <t>x</t>
  </si>
  <si>
    <t>CHERYDEN JUERGENSEN</t>
  </si>
  <si>
    <t>MTREOFRENCH@ANTIOCH34.COM</t>
  </si>
  <si>
    <t>Debt Certificates - 2010</t>
  </si>
  <si>
    <t>GO Limited Tax School Bonds, Series 2017</t>
  </si>
  <si>
    <t>GO Limited Tax School Bonds, Series 2018</t>
  </si>
  <si>
    <t>Apple Financial Services - iPads</t>
  </si>
  <si>
    <t>Debt Certificate</t>
  </si>
  <si>
    <t>Capital Lease</t>
  </si>
  <si>
    <t>Tax School Bonds</t>
  </si>
  <si>
    <t>Account #</t>
  </si>
  <si>
    <t>Page 5, Line 12 - Other Current Assets</t>
  </si>
  <si>
    <t>Page 9, Line 11 - Other Tax Levies</t>
  </si>
  <si>
    <t>Page 10, Line 72 - Sales to Pupils - Other</t>
  </si>
  <si>
    <t>50-000-1190</t>
  </si>
  <si>
    <t>10-000-1614</t>
  </si>
  <si>
    <t>Page 10, Line 81 - Other District/School Activity Revenue</t>
  </si>
  <si>
    <t>10-000-1790</t>
  </si>
  <si>
    <t>Page 11, Line 107 - Other Local Revenues</t>
  </si>
  <si>
    <t>10-000-1999</t>
  </si>
  <si>
    <t>40-000-1999</t>
  </si>
  <si>
    <t>Page 12, Line 168 - Other Restricted Revenue from State Sources</t>
  </si>
  <si>
    <t>10-000-3999</t>
  </si>
  <si>
    <t>20-000-3999</t>
  </si>
  <si>
    <t>Page 15, Line 41 - Other Support Services - Pupils</t>
  </si>
  <si>
    <t>10-000-2190-100</t>
  </si>
  <si>
    <t>10-000-2190-200</t>
  </si>
  <si>
    <t>10-000-2190-300</t>
  </si>
  <si>
    <t>10-000-4190-300</t>
  </si>
  <si>
    <t>Page 16, Line 83 - Other Payments to In-State Govt. Units</t>
  </si>
  <si>
    <t>30-000-5400-300</t>
  </si>
  <si>
    <t>Page 18, Line 171 - Debt Services - Other</t>
  </si>
  <si>
    <t>50-000-2190-200</t>
  </si>
  <si>
    <t>Page 19, Line 237 - Other Support Services - Pupil</t>
  </si>
  <si>
    <t>10-000-190</t>
  </si>
  <si>
    <t>50-000-190</t>
  </si>
  <si>
    <t>Prepaid IMRF</t>
  </si>
  <si>
    <t>SEDOL IMRF Tax Levy</t>
  </si>
  <si>
    <t>Misc. Sales to Pupils</t>
  </si>
  <si>
    <t>Misc. Activity Revenue</t>
  </si>
  <si>
    <t>Library Revenue, ROE Grants, Screening Fees, Payroll Refund</t>
  </si>
  <si>
    <t>Misc. Revenue</t>
  </si>
  <si>
    <t>State Library Grant</t>
  </si>
  <si>
    <t>Bond Issue Fees</t>
  </si>
  <si>
    <t>Interpreter Matching FICA</t>
  </si>
  <si>
    <t>Explanation for Errors on Audit Check Tab:</t>
  </si>
  <si>
    <t>SSCIP, SELF</t>
  </si>
  <si>
    <t>SEDOL</t>
  </si>
  <si>
    <t>State Purchasing Program</t>
  </si>
  <si>
    <t>SPED Bussing (Shared Routes via Vendor) Durham</t>
  </si>
  <si>
    <t>Antioch Park District, Antioch Historical Society, Antioch Dist 117</t>
  </si>
  <si>
    <t>Apple Financial Services - iPads (from Short-Term Long-Term Debt 24 tab):</t>
  </si>
  <si>
    <t>Other State Income</t>
  </si>
  <si>
    <t>Interpreter Services - Salary</t>
  </si>
  <si>
    <t>Interpreter Services - Health</t>
  </si>
  <si>
    <t>Translator &amp; Interpretation Services</t>
  </si>
  <si>
    <t>Support for Data</t>
  </si>
  <si>
    <t>NO CONTRACTS</t>
  </si>
  <si>
    <t>During the course of the audit, we noticed that the cash balance for the Debt Services Fund was negative.</t>
  </si>
  <si>
    <t>American Capital Lease - Apple Laptops</t>
  </si>
  <si>
    <t>Lake Region Benefit Cooperative</t>
  </si>
  <si>
    <t>Accounts Receivable, Prepaid Expenses, Flex Cash</t>
  </si>
  <si>
    <t>This lease had a commencement date of 7/1/18. However, the documentation was provided in FY20. This was added as a new lease in the current year, since it was not added in prior years.</t>
  </si>
  <si>
    <t xml:space="preserve">Overall negative cash balance in Debt Services Fund, which in effect is an interfund loan. </t>
  </si>
  <si>
    <t>Management is responsible for ensuring that no fund has a negative cash balance as of year-end and to ensure interfund loans are authorized.</t>
  </si>
  <si>
    <t>The Debt Services Fund reported a cash overdraft.</t>
  </si>
  <si>
    <t>Management should monitor cash balances to make sure that none are negative as of year-end and obtain board approval for all interfund loans.</t>
  </si>
  <si>
    <t>Management will monitor cash balances and budget for debt payments and transfers when necessary.</t>
  </si>
  <si>
    <t>Passed through Illinois Department of Healthcare and Family Services</t>
  </si>
  <si>
    <t>Title I - School Improv.&amp; Accountability (M)  **</t>
  </si>
  <si>
    <t>Due to a lack of oversight, the Debt Services Fund had an overall negative cash balance.</t>
  </si>
  <si>
    <t>PDF of signature in tab Opinion-Notes 36</t>
  </si>
  <si>
    <t xml:space="preserve">   Antioch CCSD 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</si>
</sst>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
      <sz val="10"/>
      <name val="Arial"/>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8123">
    <xf numFmtId="0" fontId="0" fillId="0" borderId="0"/>
    <xf numFmtId="43"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5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0" fillId="0" borderId="0"/>
    <xf numFmtId="0" fontId="15" fillId="0" borderId="0"/>
    <xf numFmtId="0" fontId="57" fillId="0" borderId="0" applyNumberFormat="0" applyFill="0" applyBorder="0" applyAlignment="0" applyProtection="0"/>
    <xf numFmtId="0" fontId="14" fillId="0" borderId="0"/>
    <xf numFmtId="0" fontId="13" fillId="0" borderId="0"/>
    <xf numFmtId="0" fontId="12"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6" fillId="0" borderId="0" applyAlignment="0"/>
    <xf numFmtId="185" fontId="166" fillId="0" borderId="0" applyFont="0" applyFill="0" applyBorder="0" applyAlignment="0" applyProtection="0"/>
    <xf numFmtId="186" fontId="166" fillId="0" borderId="0" applyFont="0" applyFill="0" applyBorder="0" applyAlignment="0" applyProtection="0"/>
    <xf numFmtId="43" fontId="16" fillId="0" borderId="0" applyAlignment="0"/>
    <xf numFmtId="0" fontId="8" fillId="0" borderId="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187" fontId="166" fillId="0" borderId="0" applyFont="0" applyFill="0" applyBorder="0" applyAlignment="0" applyProtection="0"/>
    <xf numFmtId="188" fontId="166" fillId="0" borderId="0" applyFont="0" applyFill="0" applyBorder="0" applyAlignment="0" applyProtection="0"/>
    <xf numFmtId="43" fontId="16" fillId="0" borderId="0" applyAlignment="0"/>
    <xf numFmtId="189" fontId="166" fillId="0" borderId="0" applyFont="0" applyFill="0" applyBorder="0" applyAlignment="0" applyProtection="0">
      <alignment horizontal="right"/>
    </xf>
    <xf numFmtId="190" fontId="166" fillId="0" borderId="0" applyFont="0" applyFill="0" applyBorder="0" applyAlignment="0" applyProtection="0"/>
    <xf numFmtId="191" fontId="166" fillId="0" borderId="0" applyFont="0" applyFill="0" applyBorder="0" applyAlignment="0" applyProtection="0">
      <alignment horizontal="right"/>
    </xf>
    <xf numFmtId="192" fontId="166" fillId="0" borderId="0" applyFont="0" applyFill="0" applyBorder="0" applyAlignment="0" applyProtection="0">
      <alignment horizontal="right"/>
    </xf>
    <xf numFmtId="193" fontId="166" fillId="0" borderId="0" applyFont="0" applyFill="0" applyBorder="0" applyAlignment="0" applyProtection="0">
      <alignment horizontal="right"/>
    </xf>
    <xf numFmtId="194" fontId="166" fillId="0" borderId="0" applyFont="0" applyFill="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60" fillId="27"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48" fillId="29" borderId="0" applyNumberFormat="0" applyBorder="0" applyAlignment="0" applyProtection="0"/>
    <xf numFmtId="0" fontId="148" fillId="30" borderId="0" applyNumberFormat="0" applyBorder="0" applyAlignment="0" applyProtection="0"/>
    <xf numFmtId="0" fontId="160" fillId="31" borderId="0" applyNumberFormat="0" applyBorder="0" applyAlignment="0" applyProtection="0"/>
    <xf numFmtId="0" fontId="160" fillId="32" borderId="0" applyNumberFormat="0" applyBorder="0" applyAlignment="0" applyProtection="0"/>
    <xf numFmtId="0" fontId="160" fillId="32" borderId="0" applyNumberFormat="0" applyBorder="0" applyAlignment="0" applyProtection="0"/>
    <xf numFmtId="0" fontId="160" fillId="32" borderId="0" applyNumberFormat="0" applyBorder="0" applyAlignment="0" applyProtection="0"/>
    <xf numFmtId="0" fontId="160" fillId="32" borderId="0" applyNumberFormat="0" applyBorder="0" applyAlignment="0" applyProtection="0"/>
    <xf numFmtId="0" fontId="160" fillId="32" borderId="0" applyNumberFormat="0" applyBorder="0" applyAlignment="0" applyProtection="0"/>
    <xf numFmtId="0" fontId="160" fillId="32" borderId="0" applyNumberFormat="0" applyBorder="0" applyAlignment="0" applyProtection="0"/>
    <xf numFmtId="0" fontId="148" fillId="29" borderId="0" applyNumberFormat="0" applyBorder="0" applyAlignment="0" applyProtection="0"/>
    <xf numFmtId="0" fontId="148" fillId="33" borderId="0" applyNumberFormat="0" applyBorder="0" applyAlignment="0" applyProtection="0"/>
    <xf numFmtId="0" fontId="160" fillId="30"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48" fillId="26" borderId="0" applyNumberFormat="0" applyBorder="0" applyAlignment="0" applyProtection="0"/>
    <xf numFmtId="0" fontId="148" fillId="30" borderId="0" applyNumberFormat="0" applyBorder="0" applyAlignment="0" applyProtection="0"/>
    <xf numFmtId="0" fontId="160" fillId="30"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60" fillId="28" borderId="0" applyNumberFormat="0" applyBorder="0" applyAlignment="0" applyProtection="0"/>
    <xf numFmtId="0" fontId="148" fillId="34" borderId="0" applyNumberFormat="0" applyBorder="0" applyAlignment="0" applyProtection="0"/>
    <xf numFmtId="0" fontId="148" fillId="26" borderId="0" applyNumberFormat="0" applyBorder="0" applyAlignment="0" applyProtection="0"/>
    <xf numFmtId="0" fontId="160" fillId="27"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60" fillId="35" borderId="0" applyNumberFormat="0" applyBorder="0" applyAlignment="0" applyProtection="0"/>
    <xf numFmtId="0" fontId="148" fillId="29" borderId="0" applyNumberFormat="0" applyBorder="0" applyAlignment="0" applyProtection="0"/>
    <xf numFmtId="0" fontId="148" fillId="36" borderId="0" applyNumberFormat="0" applyBorder="0" applyAlignment="0" applyProtection="0"/>
    <xf numFmtId="0" fontId="160" fillId="36"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0" fillId="37"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2" fillId="38" borderId="0" applyNumberFormat="0" applyBorder="0" applyAlignment="0" applyProtection="0"/>
    <xf numFmtId="0" fontId="166" fillId="0" borderId="164" applyNumberFormat="0" applyFill="0" applyAlignment="0" applyProtection="0"/>
    <xf numFmtId="195" fontId="167" fillId="0" borderId="164" applyNumberFormat="0" applyFill="0" applyAlignment="0" applyProtection="0">
      <alignment horizontal="center"/>
    </xf>
    <xf numFmtId="195" fontId="167" fillId="0" borderId="78" applyFill="0" applyAlignment="0" applyProtection="0">
      <alignment horizontal="center"/>
    </xf>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57" fillId="31" borderId="165" applyNumberFormat="0" applyAlignment="0" applyProtection="0"/>
    <xf numFmtId="0" fontId="157" fillId="31" borderId="165" applyNumberFormat="0" applyAlignment="0" applyProtection="0"/>
    <xf numFmtId="0" fontId="157" fillId="31" borderId="165" applyNumberFormat="0" applyAlignment="0" applyProtection="0"/>
    <xf numFmtId="0" fontId="157" fillId="31" borderId="165" applyNumberFormat="0" applyAlignment="0" applyProtection="0"/>
    <xf numFmtId="0" fontId="157" fillId="31" borderId="165" applyNumberFormat="0" applyAlignment="0" applyProtection="0"/>
    <xf numFmtId="0" fontId="157" fillId="31" borderId="165" applyNumberFormat="0" applyAlignment="0" applyProtection="0"/>
    <xf numFmtId="0" fontId="168" fillId="0" borderId="0" applyProtection="0"/>
    <xf numFmtId="195" fontId="167" fillId="0" borderId="0" applyFill="0" applyBorder="0" applyProtection="0">
      <alignment horizont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8" fillId="0" borderId="0" applyFont="0" applyFill="0" applyBorder="0" applyAlignment="0" applyProtection="0"/>
    <xf numFmtId="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5" fontId="16" fillId="0" borderId="0" applyFont="0" applyFill="0" applyBorder="0" applyAlignment="0" applyProtection="0"/>
    <xf numFmtId="0" fontId="147" fillId="0" borderId="0" applyProtection="0"/>
    <xf numFmtId="196" fontId="166" fillId="0" borderId="0" applyFont="0" applyFill="0" applyBorder="0" applyAlignment="0" applyProtection="0"/>
    <xf numFmtId="195" fontId="167" fillId="0" borderId="166" applyNumberFormat="0" applyFill="0" applyAlignment="0" applyProtection="0"/>
    <xf numFmtId="0" fontId="166" fillId="0" borderId="166" applyNumberFormat="0" applyFill="0" applyAlignment="0" applyProtection="0"/>
    <xf numFmtId="0" fontId="159" fillId="40" borderId="0" applyNumberFormat="0" applyBorder="0" applyAlignment="0" applyProtection="0"/>
    <xf numFmtId="0" fontId="159" fillId="41" borderId="0" applyNumberFormat="0" applyBorder="0" applyAlignment="0" applyProtection="0"/>
    <xf numFmtId="0" fontId="159" fillId="42" borderId="0" applyNumberFormat="0" applyBorder="0" applyAlignment="0" applyProtection="0"/>
    <xf numFmtId="0" fontId="169" fillId="0" borderId="0" applyProtection="0"/>
    <xf numFmtId="0" fontId="17" fillId="0" borderId="0" applyProtection="0"/>
    <xf numFmtId="0" fontId="170" fillId="0" borderId="0" applyProtection="0"/>
    <xf numFmtId="0" fontId="171" fillId="0" borderId="0" applyProtection="0"/>
    <xf numFmtId="0" fontId="172" fillId="0" borderId="0" applyProtection="0"/>
    <xf numFmtId="0" fontId="173" fillId="0" borderId="0" applyProtection="0"/>
    <xf numFmtId="0" fontId="174" fillId="0" borderId="0" applyProtection="0"/>
    <xf numFmtId="2" fontId="147" fillId="0" borderId="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0" fillId="0" borderId="167" applyNumberFormat="0" applyFill="0" applyAlignment="0" applyProtection="0"/>
    <xf numFmtId="0" fontId="150" fillId="0" borderId="167" applyNumberFormat="0" applyFill="0" applyAlignment="0" applyProtection="0"/>
    <xf numFmtId="0" fontId="150" fillId="0" borderId="167" applyNumberFormat="0" applyFill="0" applyAlignment="0" applyProtection="0"/>
    <xf numFmtId="0" fontId="150" fillId="0" borderId="167" applyNumberFormat="0" applyFill="0" applyAlignment="0" applyProtection="0"/>
    <xf numFmtId="0" fontId="150" fillId="0" borderId="167" applyNumberFormat="0" applyFill="0" applyAlignment="0" applyProtection="0"/>
    <xf numFmtId="0" fontId="150" fillId="0" borderId="167" applyNumberFormat="0" applyFill="0" applyAlignment="0" applyProtection="0"/>
    <xf numFmtId="0" fontId="151" fillId="0" borderId="168" applyNumberFormat="0" applyFill="0" applyAlignment="0" applyProtection="0"/>
    <xf numFmtId="0" fontId="151" fillId="0" borderId="168" applyNumberFormat="0" applyFill="0" applyAlignment="0" applyProtection="0"/>
    <xf numFmtId="0" fontId="151" fillId="0" borderId="168" applyNumberFormat="0" applyFill="0" applyAlignment="0" applyProtection="0"/>
    <xf numFmtId="0" fontId="151" fillId="0" borderId="168" applyNumberFormat="0" applyFill="0" applyAlignment="0" applyProtection="0"/>
    <xf numFmtId="0" fontId="151" fillId="0" borderId="168" applyNumberFormat="0" applyFill="0" applyAlignment="0" applyProtection="0"/>
    <xf numFmtId="0" fontId="151" fillId="0" borderId="168" applyNumberFormat="0" applyFill="0" applyAlignment="0" applyProtection="0"/>
    <xf numFmtId="0" fontId="152" fillId="0" borderId="169" applyNumberFormat="0" applyFill="0" applyAlignment="0" applyProtection="0"/>
    <xf numFmtId="0" fontId="152" fillId="0" borderId="169" applyNumberFormat="0" applyFill="0" applyAlignment="0" applyProtection="0"/>
    <xf numFmtId="0" fontId="152" fillId="0" borderId="169" applyNumberFormat="0" applyFill="0" applyAlignment="0" applyProtection="0"/>
    <xf numFmtId="0" fontId="152" fillId="0" borderId="169" applyNumberFormat="0" applyFill="0" applyAlignment="0" applyProtection="0"/>
    <xf numFmtId="0" fontId="152" fillId="0" borderId="169" applyNumberFormat="0" applyFill="0" applyAlignment="0" applyProtection="0"/>
    <xf numFmtId="0" fontId="152" fillId="0" borderId="169"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75" fillId="0" borderId="0" applyProtection="0"/>
    <xf numFmtId="0" fontId="142" fillId="0" borderId="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197" fontId="166" fillId="0" borderId="0" applyFont="0" applyFill="0" applyBorder="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64" fillId="0" borderId="170" applyNumberFormat="0" applyFill="0" applyAlignment="0" applyProtection="0"/>
    <xf numFmtId="0" fontId="164" fillId="0" borderId="170" applyNumberFormat="0" applyFill="0" applyAlignment="0" applyProtection="0"/>
    <xf numFmtId="0" fontId="164" fillId="0" borderId="170" applyNumberFormat="0" applyFill="0" applyAlignment="0" applyProtection="0"/>
    <xf numFmtId="0" fontId="164" fillId="0" borderId="170" applyNumberFormat="0" applyFill="0" applyAlignment="0" applyProtection="0"/>
    <xf numFmtId="0" fontId="164" fillId="0" borderId="170" applyNumberFormat="0" applyFill="0" applyAlignment="0" applyProtection="0"/>
    <xf numFmtId="0" fontId="164" fillId="0" borderId="170" applyNumberFormat="0" applyFill="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54" fillId="43" borderId="0" applyNumberFormat="0" applyBorder="0" applyAlignment="0" applyProtection="0"/>
    <xf numFmtId="0" fontId="167" fillId="0" borderId="0" applyNumberFormat="0" applyFill="0" applyAlignment="0" applyProtection="0"/>
    <xf numFmtId="0" fontId="16" fillId="0" borderId="0"/>
    <xf numFmtId="0" fontId="16" fillId="0" borderId="0"/>
    <xf numFmtId="0" fontId="16" fillId="0" borderId="0"/>
    <xf numFmtId="0" fontId="16" fillId="0" borderId="0"/>
    <xf numFmtId="0" fontId="8" fillId="0" borderId="0"/>
    <xf numFmtId="0" fontId="146" fillId="0" borderId="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198" fontId="167" fillId="0" borderId="0" applyFill="0" applyBorder="0" applyProtection="0">
      <alignment horizontal="right"/>
    </xf>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199" fontId="167" fillId="0" borderId="0" applyProtection="0"/>
    <xf numFmtId="0" fontId="149" fillId="0" borderId="0" applyNumberFormat="0" applyFill="0" applyBorder="0" applyAlignment="0" applyProtection="0"/>
    <xf numFmtId="0" fontId="167" fillId="0" borderId="78" applyNumberFormat="0" applyFill="0" applyAlignment="0" applyProtection="0"/>
    <xf numFmtId="8" fontId="176" fillId="0" borderId="0" applyNumberFormat="0" applyFill="0" applyBorder="0" applyAlignment="0" applyProtection="0"/>
    <xf numFmtId="0" fontId="165" fillId="0" borderId="0" applyNumberFormat="0" applyBorder="0" applyAlignment="0"/>
    <xf numFmtId="0" fontId="177" fillId="0" borderId="0" applyNumberFormat="0" applyBorder="0" applyAlignment="0"/>
    <xf numFmtId="0" fontId="166" fillId="0" borderId="172" applyNumberFormat="0" applyFont="0" applyFill="0" applyAlignment="0" applyProtection="0"/>
    <xf numFmtId="0" fontId="166" fillId="0" borderId="173" applyNumberFormat="0" applyFont="0" applyFill="0" applyAlignment="0" applyProtection="0"/>
    <xf numFmtId="0" fontId="166" fillId="0" borderId="139" applyNumberFormat="0" applyFon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43" fontId="16" fillId="0" borderId="0" applyAlignment="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4"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5"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6"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8"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49"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1"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52"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0"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48" fillId="53"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2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2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2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8"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2"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2"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32"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1"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1"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31"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60"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2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2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28"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5"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5"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5"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35"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56"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37"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37"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37"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62" fillId="38"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62" fillId="38"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62" fillId="38"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63" fillId="39"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63" fillId="39"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63" fillId="39"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31"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31"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31"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0" fontId="157" fillId="63" borderId="165" applyNumberForma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33"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33"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33"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50" fillId="0" borderId="167"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50" fillId="0" borderId="167"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50" fillId="0" borderId="167"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1" fillId="0" borderId="175"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51"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51"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51"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2" fillId="0" borderId="168"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52" fillId="0" borderId="169"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52" fillId="0" borderId="169"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52" fillId="0" borderId="169"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176"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36"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36"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36"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6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6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6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84" fillId="0" borderId="170" applyNumberFormat="0" applyFill="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43"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43"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43"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54" fillId="6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 fillId="0" borderId="0"/>
    <xf numFmtId="0" fontId="8" fillId="0" borderId="0"/>
    <xf numFmtId="0" fontId="146" fillId="0" borderId="0"/>
    <xf numFmtId="0" fontId="16" fillId="0" borderId="0"/>
    <xf numFmtId="0" fontId="16" fillId="0" borderId="0"/>
    <xf numFmtId="0" fontId="16" fillId="0" borderId="0"/>
    <xf numFmtId="0" fontId="16" fillId="0" borderId="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8" fillId="0" borderId="0"/>
    <xf numFmtId="0" fontId="16" fillId="0" borderId="0"/>
    <xf numFmtId="43" fontId="8" fillId="0" borderId="0" applyFont="0" applyFill="0" applyBorder="0" applyAlignment="0" applyProtection="0"/>
    <xf numFmtId="5" fontId="16" fillId="0" borderId="0" applyFont="0" applyFill="0" applyBorder="0" applyAlignment="0" applyProtection="0"/>
    <xf numFmtId="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 fillId="0" borderId="0"/>
    <xf numFmtId="0" fontId="8" fillId="0" borderId="0"/>
    <xf numFmtId="0" fontId="56" fillId="0" borderId="0"/>
    <xf numFmtId="0" fontId="8" fillId="0" borderId="0"/>
    <xf numFmtId="43" fontId="8" fillId="0" borderId="0" applyFont="0" applyFill="0" applyBorder="0" applyAlignment="0" applyProtection="0"/>
    <xf numFmtId="0" fontId="8" fillId="0" borderId="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63" fillId="39"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63" fillId="39"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63" fillId="39"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36"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36"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36"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66" fillId="0" borderId="139" applyNumberFormat="0" applyFont="0" applyFill="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61" fillId="0" borderId="0" applyNumberFormat="0" applyFill="0" applyBorder="0" applyAlignment="0" applyProtection="0">
      <alignment vertical="top"/>
      <protection locked="0"/>
    </xf>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6" fillId="0" borderId="0" applyAlignment="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3" fontId="16" fillId="0" borderId="0" applyFont="0" applyFill="0" applyBorder="0" applyAlignment="0" applyProtection="0"/>
    <xf numFmtId="44" fontId="16" fillId="0" borderId="0" applyFont="0" applyFill="0" applyBorder="0" applyAlignment="0" applyProtection="0"/>
    <xf numFmtId="5"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16" fillId="0" borderId="0"/>
    <xf numFmtId="0" fontId="8" fillId="0" borderId="0"/>
    <xf numFmtId="43" fontId="16" fillId="0" borderId="0" applyAlignment="0"/>
    <xf numFmtId="43" fontId="16" fillId="0" borderId="0" applyAlignment="0"/>
    <xf numFmtId="43" fontId="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8" fillId="0" borderId="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9" fillId="0" borderId="177" applyNumberFormat="0" applyFill="0" applyAlignment="0" applyProtection="0"/>
    <xf numFmtId="0" fontId="156" fillId="62" borderId="171" applyNumberFormat="0" applyAlignment="0" applyProtection="0"/>
    <xf numFmtId="0" fontId="159" fillId="0" borderId="177" applyNumberFormat="0" applyFill="0" applyAlignment="0" applyProtection="0"/>
    <xf numFmtId="43" fontId="8" fillId="0" borderId="0" applyFont="0" applyFill="0" applyBorder="0" applyAlignment="0" applyProtection="0"/>
    <xf numFmtId="0" fontId="8" fillId="0" borderId="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66" fillId="0" borderId="139" applyNumberFormat="0" applyFon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66" fillId="0" borderId="139" applyNumberFormat="0" applyFon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59" fillId="0" borderId="174" applyNumberFormat="0" applyFill="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29"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6" fillId="65" borderId="2" applyNumberFormat="0" applyFon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36"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36"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36"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55" fillId="49"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63" fillId="39"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63" fillId="39"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63" fillId="39"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79" fillId="62" borderId="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6" fillId="29" borderId="2" applyNumberFormat="0" applyFont="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55" fillId="36" borderId="1" applyNumberFormat="0" applyAlignment="0" applyProtection="0"/>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63" fillId="39" borderId="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4"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39"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0" fontId="156" fillId="62" borderId="171" applyNumberFormat="0" applyAlignment="0" applyProtection="0"/>
    <xf numFmtId="43" fontId="8" fillId="0" borderId="0" applyFont="0" applyFill="0" applyBorder="0" applyAlignment="0" applyProtection="0"/>
    <xf numFmtId="0" fontId="8" fillId="0" borderId="0"/>
    <xf numFmtId="0" fontId="8" fillId="0" borderId="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156" fillId="39" borderId="171" applyNumberForma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159" fillId="0" borderId="174" applyNumberFormat="0" applyFill="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159" fillId="0" borderId="177" applyNumberFormat="0" applyFill="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43" fontId="1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6" fillId="0" borderId="0" applyAlignment="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3" fontId="16" fillId="0" borderId="0" applyFont="0" applyFill="0" applyBorder="0" applyAlignment="0" applyProtection="0"/>
    <xf numFmtId="44" fontId="16" fillId="0" borderId="0" applyFont="0" applyFill="0" applyBorder="0" applyAlignment="0" applyProtection="0"/>
    <xf numFmtId="5"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16" fillId="0" borderId="0"/>
    <xf numFmtId="0" fontId="8" fillId="0" borderId="0"/>
    <xf numFmtId="43" fontId="16" fillId="0" borderId="0" applyAlignment="0"/>
    <xf numFmtId="43" fontId="16" fillId="0" borderId="0" applyAlignment="0"/>
    <xf numFmtId="43" fontId="8"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0" fillId="0" borderId="0"/>
    <xf numFmtId="43" fontId="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1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cellStyleXfs>
  <cellXfs count="2699">
    <xf numFmtId="0" fontId="0" fillId="0" borderId="0" xfId="0"/>
    <xf numFmtId="0" fontId="16" fillId="0" borderId="0" xfId="0" applyFont="1"/>
    <xf numFmtId="0" fontId="21" fillId="0" borderId="0" xfId="0" applyFont="1"/>
    <xf numFmtId="0" fontId="0" fillId="0" borderId="0" xfId="0" applyAlignment="1">
      <alignment horizontal="left" vertical="center"/>
    </xf>
    <xf numFmtId="0" fontId="17" fillId="0" borderId="0" xfId="0" applyFont="1"/>
    <xf numFmtId="0" fontId="0" fillId="0" borderId="0" xfId="0" applyProtection="1"/>
    <xf numFmtId="0" fontId="0" fillId="0" borderId="0" xfId="0" applyBorder="1" applyProtection="1"/>
    <xf numFmtId="0" fontId="21" fillId="0" borderId="0" xfId="0" applyFont="1" applyAlignment="1"/>
    <xf numFmtId="0" fontId="0" fillId="0" borderId="0" xfId="0" applyFill="1"/>
    <xf numFmtId="0" fontId="21" fillId="0" borderId="0" xfId="0" applyFont="1" applyFill="1"/>
    <xf numFmtId="0" fontId="30" fillId="0" borderId="0" xfId="0" applyFont="1" applyProtection="1"/>
    <xf numFmtId="0" fontId="30" fillId="0" borderId="0" xfId="0" applyFont="1" applyProtection="1">
      <protection locked="0"/>
    </xf>
    <xf numFmtId="0" fontId="16" fillId="0" borderId="0" xfId="0" applyFont="1" applyProtection="1"/>
    <xf numFmtId="0" fontId="0" fillId="0" borderId="0" xfId="0" applyFill="1" applyProtection="1"/>
    <xf numFmtId="0" fontId="32" fillId="0" borderId="0" xfId="0" applyFont="1" applyAlignment="1" applyProtection="1">
      <alignment horizontal="right" vertical="top"/>
    </xf>
    <xf numFmtId="164" fontId="21" fillId="0" borderId="0" xfId="0" applyNumberFormat="1" applyFont="1" applyAlignment="1" applyProtection="1">
      <alignment horizontal="left" wrapText="1"/>
    </xf>
    <xf numFmtId="0" fontId="21"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0" fillId="0" borderId="0" xfId="0" applyAlignment="1"/>
    <xf numFmtId="0" fontId="21"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pplyProtection="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0" fillId="0" borderId="0" xfId="12" applyFont="1" applyBorder="1" applyAlignment="1" applyProtection="1">
      <alignment vertical="center"/>
    </xf>
    <xf numFmtId="0" fontId="22" fillId="0" borderId="0" xfId="12" applyNumberFormat="1" applyFont="1" applyBorder="1" applyAlignment="1" applyProtection="1">
      <alignment horizontal="left" vertical="center"/>
    </xf>
    <xf numFmtId="0" fontId="22"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0" fillId="0" borderId="0" xfId="12" applyNumberFormat="1" applyFont="1" applyBorder="1" applyAlignment="1" applyProtection="1">
      <alignment horizontal="left" vertical="center"/>
    </xf>
    <xf numFmtId="0" fontId="17" fillId="0" borderId="0" xfId="12" applyNumberFormat="1" applyFont="1" applyBorder="1" applyAlignment="1" applyProtection="1">
      <alignment horizontal="left" vertical="center"/>
    </xf>
    <xf numFmtId="0" fontId="20" fillId="0" borderId="0" xfId="0" applyNumberFormat="1" applyFont="1" applyBorder="1" applyAlignment="1" applyProtection="1">
      <alignment vertical="center"/>
    </xf>
    <xf numFmtId="0" fontId="20" fillId="0" borderId="0" xfId="12" applyNumberFormat="1" applyFont="1" applyBorder="1" applyAlignment="1" applyProtection="1">
      <alignment horizontal="centerContinuous" vertical="center"/>
    </xf>
    <xf numFmtId="0" fontId="30" fillId="0" borderId="0" xfId="0" applyFont="1" applyFill="1" applyProtection="1"/>
    <xf numFmtId="0" fontId="20" fillId="0" borderId="0" xfId="12" applyFont="1" applyBorder="1" applyAlignment="1" applyProtection="1">
      <alignment horizontal="left" vertical="center"/>
    </xf>
    <xf numFmtId="0" fontId="38" fillId="0" borderId="0" xfId="12" applyFont="1" applyBorder="1" applyAlignment="1" applyProtection="1">
      <alignment vertical="center"/>
    </xf>
    <xf numFmtId="0" fontId="19" fillId="0" borderId="0" xfId="12" applyFont="1" applyBorder="1" applyAlignment="1" applyProtection="1">
      <alignment horizontal="center" vertical="center"/>
    </xf>
    <xf numFmtId="0" fontId="19" fillId="0" borderId="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20" fillId="0" borderId="0" xfId="12" quotePrefix="1" applyNumberFormat="1" applyFont="1" applyBorder="1" applyAlignment="1" applyProtection="1">
      <alignment horizontal="left" vertical="center"/>
    </xf>
    <xf numFmtId="0" fontId="20" fillId="0" borderId="16" xfId="12" applyFont="1" applyBorder="1" applyAlignment="1" applyProtection="1">
      <alignment vertical="center"/>
    </xf>
    <xf numFmtId="0" fontId="20" fillId="0" borderId="10" xfId="12" applyFont="1" applyBorder="1" applyAlignment="1" applyProtection="1">
      <alignment vertical="center"/>
    </xf>
    <xf numFmtId="0" fontId="20" fillId="0" borderId="18" xfId="12" applyFont="1" applyBorder="1" applyAlignment="1" applyProtection="1">
      <alignment vertical="center"/>
    </xf>
    <xf numFmtId="0" fontId="22" fillId="0" borderId="0" xfId="0" applyNumberFormat="1" applyFont="1" applyFill="1" applyBorder="1" applyAlignment="1" applyProtection="1">
      <alignment vertical="center"/>
    </xf>
    <xf numFmtId="0" fontId="17" fillId="0" borderId="16" xfId="12" applyNumberFormat="1" applyFont="1" applyBorder="1" applyAlignment="1" applyProtection="1">
      <alignment vertical="center"/>
    </xf>
    <xf numFmtId="0" fontId="20" fillId="0" borderId="16" xfId="12" applyNumberFormat="1" applyFont="1" applyBorder="1" applyAlignment="1" applyProtection="1">
      <alignment vertical="center"/>
    </xf>
    <xf numFmtId="0" fontId="20" fillId="0" borderId="20" xfId="12" applyNumberFormat="1" applyFont="1" applyBorder="1" applyAlignment="1" applyProtection="1">
      <alignment vertical="center"/>
    </xf>
    <xf numFmtId="0" fontId="20" fillId="0" borderId="10" xfId="12" applyNumberFormat="1" applyFont="1" applyBorder="1" applyAlignment="1" applyProtection="1">
      <alignment horizontal="left" vertical="center"/>
    </xf>
    <xf numFmtId="0" fontId="20" fillId="0" borderId="17" xfId="12" applyNumberFormat="1" applyFont="1" applyBorder="1" applyAlignment="1" applyProtection="1">
      <alignment vertical="center"/>
    </xf>
    <xf numFmtId="0" fontId="20" fillId="0" borderId="18"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20" fillId="0" borderId="10" xfId="12" applyNumberFormat="1" applyFont="1" applyBorder="1" applyAlignment="1" applyProtection="1">
      <alignment vertical="center"/>
    </xf>
    <xf numFmtId="0" fontId="20" fillId="0" borderId="16" xfId="12" applyNumberFormat="1" applyFont="1" applyFill="1" applyBorder="1" applyAlignment="1" applyProtection="1">
      <alignment vertical="center"/>
    </xf>
    <xf numFmtId="0" fontId="22" fillId="0" borderId="16" xfId="0" applyNumberFormat="1" applyFont="1" applyFill="1" applyBorder="1" applyAlignment="1" applyProtection="1">
      <alignment vertical="center"/>
    </xf>
    <xf numFmtId="0" fontId="22" fillId="0" borderId="10" xfId="0" applyNumberFormat="1" applyFont="1" applyFill="1" applyBorder="1" applyAlignment="1" applyProtection="1">
      <alignment vertical="center"/>
    </xf>
    <xf numFmtId="0" fontId="22" fillId="0" borderId="18" xfId="0" applyNumberFormat="1" applyFont="1" applyFill="1" applyBorder="1" applyAlignment="1" applyProtection="1">
      <alignment vertical="center"/>
    </xf>
    <xf numFmtId="0" fontId="17" fillId="0" borderId="10" xfId="12" applyNumberFormat="1" applyFont="1" applyFill="1" applyBorder="1" applyAlignment="1" applyProtection="1">
      <alignment vertical="center"/>
    </xf>
    <xf numFmtId="0" fontId="17" fillId="0" borderId="12" xfId="12" quotePrefix="1" applyNumberFormat="1" applyFont="1" applyBorder="1" applyAlignment="1" applyProtection="1">
      <alignment horizontal="left" vertical="center"/>
    </xf>
    <xf numFmtId="0" fontId="20" fillId="0" borderId="17" xfId="12" applyNumberFormat="1" applyFont="1" applyBorder="1" applyAlignment="1" applyProtection="1">
      <alignment horizontal="right" vertical="center"/>
    </xf>
    <xf numFmtId="0" fontId="17" fillId="0" borderId="0" xfId="0" applyFont="1" applyAlignment="1">
      <alignment horizontal="left" vertical="center"/>
    </xf>
    <xf numFmtId="0" fontId="17" fillId="0" borderId="0" xfId="0" applyFont="1" applyAlignment="1"/>
    <xf numFmtId="0" fontId="0" fillId="0" borderId="16" xfId="0" applyNumberFormat="1" applyBorder="1" applyAlignment="1">
      <alignment horizontal="left" vertical="center"/>
    </xf>
    <xf numFmtId="0" fontId="20" fillId="0" borderId="12" xfId="12" applyFont="1" applyBorder="1" applyAlignment="1" applyProtection="1">
      <alignment vertical="center"/>
    </xf>
    <xf numFmtId="0" fontId="17" fillId="0" borderId="16" xfId="0" applyNumberFormat="1" applyFont="1" applyBorder="1" applyAlignment="1">
      <alignment horizontal="left" vertical="center"/>
    </xf>
    <xf numFmtId="0" fontId="17" fillId="0" borderId="18" xfId="12" applyNumberFormat="1" applyFont="1" applyBorder="1" applyAlignment="1" applyProtection="1">
      <alignment vertical="center"/>
    </xf>
    <xf numFmtId="0" fontId="17" fillId="0" borderId="10" xfId="12" applyNumberFormat="1"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20" fillId="0" borderId="0" xfId="12"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20"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20" fillId="0" borderId="16" xfId="12" applyFont="1" applyBorder="1" applyAlignment="1" applyProtection="1">
      <alignment horizontal="left" vertical="center"/>
    </xf>
    <xf numFmtId="0" fontId="17" fillId="0" borderId="16" xfId="12" applyFont="1" applyBorder="1" applyAlignment="1" applyProtection="1">
      <alignment horizontal="left" vertical="center"/>
    </xf>
    <xf numFmtId="0" fontId="20" fillId="0" borderId="1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17" fillId="0" borderId="12" xfId="12" applyNumberFormat="1" applyFont="1" applyBorder="1" applyAlignment="1" applyProtection="1">
      <alignment horizontal="left" vertical="center"/>
    </xf>
    <xf numFmtId="0" fontId="17" fillId="0" borderId="12" xfId="12" applyNumberFormat="1" applyFont="1" applyFill="1" applyBorder="1" applyAlignment="1" applyProtection="1">
      <alignment vertical="center"/>
    </xf>
    <xf numFmtId="0" fontId="17" fillId="0" borderId="12" xfId="0" applyNumberFormat="1" applyFont="1" applyFill="1" applyBorder="1" applyAlignment="1" applyProtection="1">
      <alignment vertical="center"/>
    </xf>
    <xf numFmtId="0" fontId="17" fillId="0" borderId="17" xfId="0" applyNumberFormat="1" applyFont="1" applyFill="1" applyBorder="1" applyAlignment="1" applyProtection="1">
      <alignment vertical="center"/>
    </xf>
    <xf numFmtId="0" fontId="17" fillId="0" borderId="12" xfId="12" applyNumberFormat="1" applyFont="1" applyBorder="1" applyAlignment="1" applyProtection="1">
      <alignment vertical="center"/>
    </xf>
    <xf numFmtId="0" fontId="17" fillId="0" borderId="17" xfId="12" applyNumberFormat="1" applyFont="1" applyBorder="1" applyAlignment="1" applyProtection="1">
      <alignment horizontal="left" vertical="center"/>
    </xf>
    <xf numFmtId="0" fontId="17" fillId="0" borderId="16" xfId="12" quotePrefix="1" applyNumberFormat="1" applyFont="1" applyBorder="1" applyAlignment="1" applyProtection="1">
      <alignment horizontal="left" vertical="center"/>
    </xf>
    <xf numFmtId="0" fontId="20" fillId="0" borderId="16" xfId="0" applyNumberFormat="1" applyFont="1" applyBorder="1" applyAlignment="1">
      <alignment vertical="center"/>
    </xf>
    <xf numFmtId="0" fontId="17" fillId="0" borderId="0" xfId="12" applyNumberFormat="1" applyFont="1" applyBorder="1" applyAlignment="1" applyProtection="1">
      <alignment horizontal="left" vertical="center" indent="1"/>
    </xf>
    <xf numFmtId="0" fontId="20" fillId="0" borderId="19" xfId="12" applyNumberFormat="1" applyFont="1" applyBorder="1" applyAlignment="1" applyProtection="1">
      <alignment vertical="center"/>
    </xf>
    <xf numFmtId="0" fontId="17" fillId="0" borderId="20" xfId="12" applyNumberFormat="1" applyFont="1" applyBorder="1" applyAlignment="1" applyProtection="1">
      <alignment vertical="top"/>
    </xf>
    <xf numFmtId="0" fontId="17" fillId="0" borderId="20" xfId="12" quotePrefix="1" applyNumberFormat="1" applyFont="1" applyBorder="1" applyAlignment="1" applyProtection="1">
      <alignment horizontal="left" vertical="center"/>
    </xf>
    <xf numFmtId="0" fontId="20" fillId="0" borderId="11" xfId="12" applyNumberFormat="1" applyFont="1" applyBorder="1" applyAlignment="1" applyProtection="1">
      <alignment vertical="center"/>
    </xf>
    <xf numFmtId="0" fontId="42" fillId="0" borderId="18" xfId="0" applyFont="1" applyBorder="1" applyAlignment="1">
      <alignment horizontal="left" vertical="center" indent="1"/>
    </xf>
    <xf numFmtId="0" fontId="27" fillId="0" borderId="0" xfId="12" applyNumberFormat="1" applyFont="1" applyBorder="1" applyAlignment="1" applyProtection="1">
      <alignment horizontal="center" vertical="center"/>
    </xf>
    <xf numFmtId="0" fontId="22" fillId="0" borderId="0" xfId="12" applyNumberFormat="1" applyFont="1" applyBorder="1" applyAlignment="1" applyProtection="1">
      <alignment horizontal="left" vertical="center" indent="2"/>
    </xf>
    <xf numFmtId="0" fontId="27" fillId="0" borderId="2" xfId="12"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0" fontId="37" fillId="0" borderId="0" xfId="12" applyFont="1" applyBorder="1" applyAlignment="1" applyProtection="1">
      <alignment horizontal="left" vertical="center"/>
    </xf>
    <xf numFmtId="0" fontId="19" fillId="0" borderId="2" xfId="12" applyFont="1" applyBorder="1" applyAlignment="1" applyProtection="1">
      <alignment horizontal="center" vertical="center"/>
      <protection locked="0"/>
    </xf>
    <xf numFmtId="0" fontId="17" fillId="0" borderId="12" xfId="0" applyNumberFormat="1" applyFont="1" applyBorder="1" applyAlignment="1" applyProtection="1">
      <alignment horizontal="left" vertical="center"/>
    </xf>
    <xf numFmtId="0" fontId="19" fillId="0" borderId="16" xfId="0" applyFont="1" applyBorder="1" applyAlignment="1" applyProtection="1">
      <alignment horizontal="left" vertical="center"/>
    </xf>
    <xf numFmtId="49" fontId="19" fillId="0" borderId="16" xfId="0" applyNumberFormat="1" applyFont="1" applyBorder="1" applyAlignment="1" applyProtection="1">
      <alignment horizontal="left" vertical="center" wrapText="1"/>
    </xf>
    <xf numFmtId="49" fontId="19" fillId="0" borderId="10" xfId="0" applyNumberFormat="1" applyFont="1" applyBorder="1" applyAlignment="1" applyProtection="1">
      <alignment horizontal="left" vertical="center" wrapText="1"/>
    </xf>
    <xf numFmtId="0" fontId="19" fillId="0" borderId="12" xfId="12" applyNumberFormat="1" applyFont="1" applyFill="1" applyBorder="1" applyAlignment="1" applyProtection="1">
      <alignment horizontal="left" vertical="center" indent="1"/>
    </xf>
    <xf numFmtId="0" fontId="19" fillId="0" borderId="16" xfId="0" applyFont="1" applyBorder="1" applyAlignment="1" applyProtection="1">
      <alignment horizontal="left" vertical="center" indent="1"/>
    </xf>
    <xf numFmtId="0" fontId="20" fillId="0" borderId="0" xfId="12" applyFont="1" applyBorder="1" applyAlignment="1" applyProtection="1">
      <alignment horizontal="left" vertical="center" indent="1"/>
    </xf>
    <xf numFmtId="0" fontId="29" fillId="0" borderId="0" xfId="12" applyNumberFormat="1" applyFont="1" applyBorder="1" applyAlignment="1" applyProtection="1">
      <alignment horizontal="left" vertical="center" indent="1"/>
    </xf>
    <xf numFmtId="0" fontId="20" fillId="0" borderId="19" xfId="12" applyFont="1" applyBorder="1" applyAlignment="1" applyProtection="1">
      <alignment vertical="center"/>
    </xf>
    <xf numFmtId="0" fontId="19" fillId="0" borderId="0" xfId="0" applyFont="1" applyBorder="1" applyAlignment="1" applyProtection="1">
      <alignment horizontal="left" vertical="center" indent="1"/>
    </xf>
    <xf numFmtId="0" fontId="20" fillId="0" borderId="0" xfId="12" applyFont="1" applyFill="1" applyBorder="1" applyAlignment="1" applyProtection="1">
      <alignment vertical="center"/>
    </xf>
    <xf numFmtId="0" fontId="20" fillId="0" borderId="17" xfId="12" applyFont="1" applyBorder="1" applyAlignment="1" applyProtection="1">
      <alignment vertical="center"/>
    </xf>
    <xf numFmtId="0" fontId="22" fillId="0" borderId="20" xfId="12" applyNumberFormat="1" applyFont="1" applyBorder="1" applyAlignment="1" applyProtection="1">
      <alignment vertical="center"/>
    </xf>
    <xf numFmtId="0" fontId="17" fillId="0" borderId="0" xfId="12" applyNumberFormat="1" applyFont="1" applyBorder="1" applyAlignment="1" applyProtection="1">
      <alignment horizontal="center" vertical="center"/>
    </xf>
    <xf numFmtId="0" fontId="40" fillId="0" borderId="0" xfId="0" applyFont="1" applyBorder="1" applyAlignment="1" applyProtection="1">
      <alignment horizontal="left" vertical="center" indent="1"/>
    </xf>
    <xf numFmtId="0" fontId="20" fillId="0" borderId="12" xfId="12" applyFont="1" applyFill="1" applyBorder="1" applyAlignment="1" applyProtection="1">
      <alignment vertical="center"/>
    </xf>
    <xf numFmtId="0" fontId="20" fillId="0" borderId="16" xfId="12" applyFont="1" applyFill="1" applyBorder="1" applyAlignment="1" applyProtection="1">
      <alignment vertical="center"/>
    </xf>
    <xf numFmtId="0" fontId="20" fillId="0" borderId="10" xfId="12" applyFont="1" applyFill="1" applyBorder="1" applyAlignment="1" applyProtection="1">
      <alignment vertical="center"/>
    </xf>
    <xf numFmtId="0" fontId="20" fillId="0" borderId="18" xfId="0" applyNumberFormat="1" applyFont="1" applyBorder="1" applyAlignment="1" applyProtection="1">
      <alignment horizontal="left" vertical="center"/>
    </xf>
    <xf numFmtId="0" fontId="0" fillId="0" borderId="0" xfId="0" applyBorder="1" applyAlignment="1">
      <alignment horizontal="left" indent="2"/>
    </xf>
    <xf numFmtId="164" fontId="40" fillId="0" borderId="0" xfId="0"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30" fillId="0" borderId="0" xfId="0" applyFont="1" applyFill="1"/>
    <xf numFmtId="168" fontId="21" fillId="0" borderId="0" xfId="0" applyNumberFormat="1" applyFont="1"/>
    <xf numFmtId="0" fontId="30" fillId="0" borderId="0" xfId="0" applyFont="1"/>
    <xf numFmtId="0" fontId="41" fillId="0" borderId="0" xfId="2" applyFont="1" applyBorder="1" applyAlignment="1" applyProtection="1"/>
    <xf numFmtId="0" fontId="25" fillId="0" borderId="0" xfId="0" applyFont="1" applyBorder="1" applyProtection="1"/>
    <xf numFmtId="0" fontId="25"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9" fillId="0" borderId="22" xfId="0" applyFont="1" applyBorder="1" applyAlignment="1" applyProtection="1">
      <alignment horizontal="center"/>
      <protection locked="0"/>
    </xf>
    <xf numFmtId="0" fontId="23" fillId="0" borderId="0" xfId="12" applyFont="1" applyBorder="1" applyAlignment="1" applyProtection="1">
      <alignment horizontal="left" vertical="center" indent="1"/>
    </xf>
    <xf numFmtId="1" fontId="16" fillId="0" borderId="0" xfId="0" applyNumberFormat="1" applyFont="1" applyAlignment="1">
      <alignment horizontal="right"/>
    </xf>
    <xf numFmtId="0" fontId="20" fillId="0" borderId="0" xfId="0" applyFont="1" applyBorder="1" applyAlignment="1" applyProtection="1">
      <alignment horizontal="left" vertical="center" indent="1"/>
    </xf>
    <xf numFmtId="0" fontId="16" fillId="0" borderId="0" xfId="0" applyFont="1" applyBorder="1" applyAlignment="1" applyProtection="1">
      <alignment horizontal="left" vertical="center" indent="1"/>
    </xf>
    <xf numFmtId="0" fontId="17"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0" fontId="17" fillId="0" borderId="0" xfId="0" applyNumberFormat="1" applyFont="1" applyAlignment="1">
      <alignment horizontal="left" wrapText="1"/>
    </xf>
    <xf numFmtId="49" fontId="33" fillId="0" borderId="0" xfId="0" applyNumberFormat="1" applyFont="1" applyAlignment="1">
      <alignment horizontal="right" vertical="center"/>
    </xf>
    <xf numFmtId="0" fontId="55" fillId="0" borderId="0" xfId="0" applyFont="1" applyAlignment="1">
      <alignment horizontal="left" wrapText="1" indent="4"/>
    </xf>
    <xf numFmtId="0" fontId="26" fillId="0" borderId="2" xfId="12" applyNumberFormat="1" applyFont="1" applyBorder="1" applyAlignment="1" applyProtection="1">
      <alignment horizontal="center" vertical="center"/>
      <protection locked="0"/>
    </xf>
    <xf numFmtId="0" fontId="26" fillId="0" borderId="2" xfId="12" applyFont="1" applyBorder="1" applyAlignment="1" applyProtection="1">
      <alignment horizontal="center" vertical="center"/>
      <protection locked="0"/>
    </xf>
    <xf numFmtId="14" fontId="16" fillId="0" borderId="0" xfId="0" applyNumberFormat="1" applyFont="1" applyAlignment="1">
      <alignment horizontal="right"/>
    </xf>
    <xf numFmtId="0" fontId="40" fillId="0" borderId="17" xfId="12" applyNumberFormat="1" applyFont="1" applyFill="1" applyBorder="1" applyAlignment="1" applyProtection="1">
      <alignment horizontal="left" vertical="center" indent="1"/>
    </xf>
    <xf numFmtId="0" fontId="19" fillId="0" borderId="17" xfId="12" applyNumberFormat="1" applyFont="1" applyFill="1" applyBorder="1" applyAlignment="1" applyProtection="1">
      <alignment horizontal="left" vertical="center" indent="1"/>
    </xf>
    <xf numFmtId="0" fontId="22" fillId="0" borderId="17" xfId="12" applyNumberFormat="1" applyFont="1" applyBorder="1" applyAlignment="1" applyProtection="1">
      <alignment vertical="center"/>
    </xf>
    <xf numFmtId="0" fontId="20" fillId="0" borderId="123" xfId="12" applyNumberFormat="1" applyFont="1" applyBorder="1" applyAlignment="1" applyProtection="1">
      <alignment horizontal="right" vertical="center"/>
    </xf>
    <xf numFmtId="0" fontId="20" fillId="0" borderId="126" xfId="12" applyFont="1" applyBorder="1" applyAlignment="1" applyProtection="1">
      <alignment vertical="center"/>
    </xf>
    <xf numFmtId="0" fontId="20" fillId="0" borderId="124" xfId="12" applyFont="1" applyBorder="1" applyAlignment="1" applyProtection="1">
      <alignment vertical="center"/>
    </xf>
    <xf numFmtId="1" fontId="16" fillId="0" borderId="0" xfId="0" applyNumberFormat="1" applyFont="1" applyAlignment="1">
      <alignment horizontal="center" vertical="center"/>
    </xf>
    <xf numFmtId="0" fontId="17" fillId="0" borderId="133" xfId="12" applyFont="1" applyBorder="1" applyAlignment="1" applyProtection="1">
      <alignment vertical="center"/>
    </xf>
    <xf numFmtId="0" fontId="17"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19" xfId="0" applyFont="1" applyFill="1" applyBorder="1" applyAlignment="1" applyProtection="1">
      <alignment horizontal="left" vertical="center"/>
    </xf>
    <xf numFmtId="164" fontId="59" fillId="17" borderId="119" xfId="0" applyNumberFormat="1" applyFont="1" applyFill="1" applyBorder="1" applyAlignment="1" applyProtection="1">
      <alignment horizontal="center" vertical="center"/>
    </xf>
    <xf numFmtId="164" fontId="69" fillId="17" borderId="119" xfId="0" applyNumberFormat="1" applyFont="1" applyFill="1" applyBorder="1" applyAlignment="1" applyProtection="1">
      <alignment vertical="center"/>
    </xf>
    <xf numFmtId="0" fontId="82" fillId="10" borderId="120"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82" fillId="10" borderId="104" xfId="0" applyFont="1" applyFill="1" applyBorder="1" applyAlignment="1">
      <alignment horizontal="left" vertical="center"/>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3" fontId="67" fillId="0" borderId="0" xfId="0" applyNumberFormat="1" applyFont="1" applyBorder="1" applyProtection="1"/>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1" fontId="67" fillId="0" borderId="0" xfId="0" applyNumberFormat="1" applyFont="1" applyBorder="1" applyProtection="1"/>
    <xf numFmtId="39" fontId="67" fillId="0" borderId="0" xfId="0" applyNumberFormat="1" applyFont="1" applyBorder="1" applyProtection="1"/>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49" fontId="67" fillId="0" borderId="0" xfId="0" applyNumberFormat="1" applyFont="1" applyBorder="1" applyProtection="1"/>
    <xf numFmtId="0" fontId="67" fillId="0" borderId="0" xfId="0" applyFont="1" applyBorder="1" applyAlignment="1" applyProtection="1">
      <alignment horizontal="center"/>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0" fontId="67" fillId="0" borderId="2" xfId="0" applyFont="1" applyBorder="1" applyAlignment="1" applyProtection="1">
      <alignment horizontal="center" vertical="center"/>
    </xf>
    <xf numFmtId="0" fontId="67" fillId="0" borderId="14" xfId="0" applyFont="1" applyBorder="1" applyAlignment="1" applyProtection="1">
      <alignment horizontal="left" vertical="center" indent="1"/>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0" fontId="62" fillId="0" borderId="0" xfId="0" applyFont="1" applyFill="1" applyAlignment="1" applyProtection="1">
      <alignment vertical="center"/>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0" fontId="67" fillId="0" borderId="2" xfId="0" applyFont="1" applyFill="1" applyBorder="1" applyAlignment="1" applyProtection="1">
      <alignment horizontal="left" vertical="center" indent="1"/>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0" fontId="59" fillId="0" borderId="0" xfId="0" applyFont="1" applyAlignment="1" applyProtection="1">
      <alignment vertical="center"/>
    </xf>
    <xf numFmtId="0" fontId="70" fillId="0" borderId="0" xfId="0" applyFont="1" applyAlignment="1" applyProtection="1">
      <alignment vertical="center"/>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0" fontId="67" fillId="0" borderId="2" xfId="0" applyFont="1" applyFill="1" applyBorder="1" applyAlignment="1" applyProtection="1">
      <alignment horizontal="center" vertical="top"/>
    </xf>
    <xf numFmtId="0" fontId="60" fillId="0" borderId="0" xfId="0" applyFont="1" applyFill="1" applyBorder="1" applyAlignment="1" applyProtection="1">
      <alignment vertical="center"/>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1" fontId="67" fillId="0" borderId="4" xfId="0" applyNumberFormat="1" applyFont="1" applyBorder="1" applyAlignment="1" applyProtection="1">
      <alignment horizontal="center" vertical="center"/>
    </xf>
    <xf numFmtId="1" fontId="67" fillId="0" borderId="125" xfId="0" applyNumberFormat="1" applyFont="1" applyBorder="1" applyAlignment="1" applyProtection="1">
      <alignment horizontal="center" vertical="center"/>
    </xf>
    <xf numFmtId="1" fontId="67" fillId="0" borderId="32" xfId="0" applyNumberFormat="1" applyFont="1" applyBorder="1" applyAlignment="1" applyProtection="1">
      <alignment horizontal="center" vertical="center"/>
    </xf>
    <xf numFmtId="1" fontId="67" fillId="0" borderId="33" xfId="0" applyNumberFormat="1" applyFont="1" applyBorder="1" applyAlignment="1" applyProtection="1">
      <alignment horizontal="center" vertical="center"/>
    </xf>
    <xf numFmtId="0" fontId="67" fillId="0" borderId="2" xfId="0" applyFont="1" applyBorder="1" applyAlignment="1" applyProtection="1">
      <alignment horizontal="center" vertical="top" wrapText="1"/>
    </xf>
    <xf numFmtId="0" fontId="67" fillId="0" borderId="26" xfId="0" applyFont="1" applyBorder="1" applyAlignment="1" applyProtection="1">
      <alignment horizontal="center" vertical="center"/>
    </xf>
    <xf numFmtId="0" fontId="67" fillId="0" borderId="128"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0" fontId="67" fillId="0" borderId="0" xfId="0" applyFont="1" applyBorder="1" applyAlignment="1"/>
    <xf numFmtId="49" fontId="67" fillId="0" borderId="2" xfId="0" applyNumberFormat="1" applyFont="1" applyBorder="1" applyAlignment="1">
      <alignment horizontal="center" vertical="center"/>
    </xf>
    <xf numFmtId="49" fontId="69" fillId="2" borderId="27" xfId="0" applyNumberFormat="1" applyFont="1" applyFill="1" applyBorder="1" applyAlignment="1">
      <alignment horizontal="center" vertical="center"/>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164" fontId="69" fillId="3" borderId="123"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25" xfId="0" applyFont="1" applyFill="1" applyBorder="1" applyAlignment="1">
      <alignment horizontal="center" vertical="center"/>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49" fontId="67" fillId="0" borderId="29" xfId="0" applyNumberFormat="1" applyFont="1" applyFill="1" applyBorder="1" applyAlignment="1">
      <alignment horizontal="center" vertical="center"/>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3"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4" xfId="0" applyNumberFormat="1" applyFont="1" applyFill="1" applyBorder="1" applyAlignment="1">
      <alignment horizontal="center" vertical="center"/>
    </xf>
    <xf numFmtId="49" fontId="67" fillId="0" borderId="125"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3"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0" fontId="62" fillId="0" borderId="0" xfId="9" applyFont="1" applyFill="1" applyAlignment="1"/>
    <xf numFmtId="0" fontId="67" fillId="0" borderId="0" xfId="9" applyFont="1" applyFill="1" applyAlignment="1"/>
    <xf numFmtId="0" fontId="86" fillId="0" borderId="0" xfId="9" applyFont="1" applyFill="1" applyAlignment="1">
      <alignment vertical="top"/>
    </xf>
    <xf numFmtId="0" fontId="67" fillId="0" borderId="0" xfId="9" applyFont="1" applyFill="1" applyBorder="1" applyAlignment="1"/>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49" fontId="67" fillId="0" borderId="6" xfId="0" applyNumberFormat="1" applyFont="1" applyBorder="1" applyAlignment="1" applyProtection="1">
      <alignment horizontal="center" vertical="center"/>
    </xf>
    <xf numFmtId="49" fontId="67" fillId="6" borderId="59" xfId="0" applyNumberFormat="1" applyFont="1" applyFill="1" applyBorder="1" applyAlignment="1" applyProtection="1">
      <alignment horizontal="center"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0" fontId="67" fillId="0" borderId="46" xfId="0" applyFont="1" applyBorder="1" applyAlignment="1" applyProtection="1">
      <alignment horizontal="left" vertical="center" wrapText="1" indent="1"/>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0" fontId="62" fillId="0" borderId="0" xfId="3" applyFont="1" applyAlignment="1">
      <alignment horizontal="left" wrapText="1" indent="2"/>
    </xf>
    <xf numFmtId="0" fontId="62" fillId="0" borderId="0" xfId="3" applyFont="1" applyAlignment="1">
      <alignment vertical="top" wrapText="1"/>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50" xfId="0" applyFont="1" applyBorder="1"/>
    <xf numFmtId="0" fontId="60" fillId="0" borderId="13" xfId="0" applyFont="1" applyBorder="1"/>
    <xf numFmtId="0" fontId="60" fillId="0" borderId="123" xfId="0" applyFont="1" applyBorder="1" applyAlignment="1">
      <alignment horizontal="left" vertical="top"/>
    </xf>
    <xf numFmtId="164" fontId="118" fillId="0" borderId="126" xfId="0" applyNumberFormat="1" applyFont="1" applyBorder="1" applyAlignment="1">
      <alignment horizontal="right" vertical="top"/>
    </xf>
    <xf numFmtId="0" fontId="60" fillId="0" borderId="126" xfId="0" applyNumberFormat="1" applyFont="1" applyBorder="1" applyAlignment="1">
      <alignment horizontal="left" vertical="center" wrapText="1" indent="1"/>
    </xf>
    <xf numFmtId="0" fontId="90" fillId="0" borderId="125" xfId="0" applyFont="1" applyBorder="1" applyAlignment="1">
      <alignment horizontal="left" vertical="center" wrapText="1"/>
    </xf>
    <xf numFmtId="0" fontId="60" fillId="0" borderId="126" xfId="0" applyFont="1" applyBorder="1" applyAlignment="1">
      <alignment horizontal="left" vertical="top"/>
    </xf>
    <xf numFmtId="0" fontId="60" fillId="0" borderId="0" xfId="0" applyFont="1" applyBorder="1" applyAlignment="1">
      <alignment vertical="top"/>
    </xf>
    <xf numFmtId="0" fontId="120" fillId="0" borderId="126" xfId="0" applyNumberFormat="1" applyFont="1" applyBorder="1" applyAlignment="1">
      <alignment horizontal="left" vertical="center"/>
    </xf>
    <xf numFmtId="0" fontId="118" fillId="0" borderId="126" xfId="0" applyFont="1" applyBorder="1" applyAlignment="1">
      <alignment vertical="top"/>
    </xf>
    <xf numFmtId="0" fontId="118" fillId="0" borderId="126" xfId="0" applyFont="1" applyBorder="1" applyAlignment="1">
      <alignment horizontal="left" vertical="top"/>
    </xf>
    <xf numFmtId="0" fontId="60" fillId="0" borderId="123" xfId="0" applyFont="1" applyBorder="1" applyAlignment="1"/>
    <xf numFmtId="164" fontId="118" fillId="0" borderId="126" xfId="0" applyNumberFormat="1" applyFont="1" applyBorder="1" applyAlignment="1"/>
    <xf numFmtId="0" fontId="60" fillId="0" borderId="126" xfId="0" applyFont="1" applyBorder="1" applyAlignment="1"/>
    <xf numFmtId="0" fontId="67" fillId="0" borderId="124"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2"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3" xfId="0" applyFont="1" applyFill="1" applyBorder="1" applyAlignment="1"/>
    <xf numFmtId="0" fontId="59" fillId="0" borderId="126" xfId="0" applyFont="1" applyFill="1" applyBorder="1" applyAlignment="1">
      <alignment horizontal="left" vertical="top"/>
    </xf>
    <xf numFmtId="0" fontId="59" fillId="0" borderId="124"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4"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1" xfId="3" quotePrefix="1" applyNumberFormat="1" applyFont="1" applyBorder="1" applyAlignment="1" applyProtection="1">
      <alignment horizontal="left"/>
    </xf>
    <xf numFmtId="0" fontId="67" fillId="0" borderId="142" xfId="3" applyNumberFormat="1" applyFont="1" applyBorder="1" applyAlignment="1" applyProtection="1">
      <alignment horizontal="center"/>
    </xf>
    <xf numFmtId="0" fontId="67" fillId="0" borderId="142" xfId="3" applyNumberFormat="1" applyFont="1" applyBorder="1" applyProtection="1"/>
    <xf numFmtId="0" fontId="60" fillId="0" borderId="141" xfId="3" applyNumberFormat="1" applyFont="1" applyBorder="1" applyAlignment="1" applyProtection="1"/>
    <xf numFmtId="0" fontId="67" fillId="0" borderId="143" xfId="3" applyNumberFormat="1" applyFont="1" applyBorder="1" applyAlignment="1" applyProtection="1">
      <alignment horizontal="centerContinuous"/>
    </xf>
    <xf numFmtId="0" fontId="60" fillId="0" borderId="141" xfId="3" applyNumberFormat="1" applyFont="1" applyBorder="1" applyAlignment="1" applyProtection="1">
      <alignment horizontal="left"/>
    </xf>
    <xf numFmtId="0" fontId="67" fillId="0" borderId="143" xfId="3" applyNumberFormat="1" applyFont="1" applyBorder="1" applyProtection="1"/>
    <xf numFmtId="0" fontId="67" fillId="0" borderId="142"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1"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5"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2"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6"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4" xfId="3" applyFont="1" applyBorder="1" applyProtection="1"/>
    <xf numFmtId="0" fontId="60" fillId="0" borderId="145" xfId="3" applyFont="1" applyBorder="1" applyProtection="1">
      <protection locked="0"/>
    </xf>
    <xf numFmtId="0" fontId="60" fillId="0" borderId="144"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0" fontId="77" fillId="0" borderId="0" xfId="3" applyFont="1" applyAlignment="1" applyProtection="1">
      <alignment horizontal="center" vertical="center"/>
    </xf>
    <xf numFmtId="0" fontId="62" fillId="0" borderId="45" xfId="3" applyFont="1" applyBorder="1" applyProtection="1"/>
    <xf numFmtId="169" fontId="69" fillId="0" borderId="45" xfId="3" applyNumberFormat="1" applyFont="1" applyBorder="1" applyAlignment="1" applyProtection="1">
      <alignment horizontal="center"/>
    </xf>
    <xf numFmtId="1" fontId="69" fillId="0" borderId="143" xfId="3" applyNumberFormat="1" applyFont="1" applyBorder="1" applyAlignment="1" applyProtection="1">
      <alignment horizontal="center"/>
    </xf>
    <xf numFmtId="0" fontId="69" fillId="0" borderId="142" xfId="3" applyFont="1" applyBorder="1" applyAlignment="1" applyProtection="1">
      <alignment horizontal="centerContinuous"/>
    </xf>
    <xf numFmtId="0" fontId="69" fillId="0" borderId="143" xfId="3" applyFont="1" applyBorder="1" applyAlignment="1" applyProtection="1">
      <alignment horizontal="centerContinuous"/>
    </xf>
    <xf numFmtId="0" fontId="69" fillId="0" borderId="73" xfId="3" applyFont="1" applyBorder="1" applyAlignment="1" applyProtection="1">
      <alignment horizontal="centerContinuous"/>
    </xf>
    <xf numFmtId="0" fontId="69" fillId="0" borderId="45" xfId="3" applyFont="1" applyBorder="1" applyAlignment="1" applyProtection="1">
      <alignment horizontal="center"/>
    </xf>
    <xf numFmtId="0" fontId="69" fillId="5" borderId="45" xfId="3" applyFont="1" applyFill="1" applyBorder="1" applyAlignment="1" applyProtection="1">
      <alignment horizontal="center"/>
    </xf>
    <xf numFmtId="0" fontId="69" fillId="5" borderId="143" xfId="3" applyFont="1" applyFill="1" applyBorder="1" applyAlignment="1" applyProtection="1">
      <alignment horizontal="center"/>
    </xf>
    <xf numFmtId="0" fontId="69" fillId="0" borderId="5" xfId="3" applyFont="1" applyBorder="1" applyAlignment="1" applyProtection="1">
      <alignment horizontal="left"/>
    </xf>
    <xf numFmtId="169" fontId="69" fillId="0" borderId="44" xfId="3" applyNumberFormat="1" applyFont="1" applyBorder="1" applyAlignment="1" applyProtection="1">
      <alignment horizontal="center"/>
    </xf>
    <xf numFmtId="1" fontId="69" fillId="0" borderId="40" xfId="3" applyNumberFormat="1" applyFont="1" applyBorder="1" applyAlignment="1" applyProtection="1">
      <alignment horizontal="center"/>
    </xf>
    <xf numFmtId="0" fontId="69" fillId="0" borderId="0" xfId="3" applyFont="1" applyBorder="1" applyAlignment="1" applyProtection="1">
      <alignment horizontal="centerContinuous"/>
    </xf>
    <xf numFmtId="0" fontId="69" fillId="0" borderId="40" xfId="3" applyFont="1" applyBorder="1" applyAlignment="1" applyProtection="1">
      <alignment horizontal="centerContinuous"/>
    </xf>
    <xf numFmtId="0" fontId="69" fillId="20" borderId="72" xfId="3" applyFont="1" applyFill="1" applyBorder="1" applyAlignment="1" applyProtection="1">
      <alignment horizontal="center"/>
    </xf>
    <xf numFmtId="0" fontId="69" fillId="21" borderId="72" xfId="3" applyFont="1" applyFill="1" applyBorder="1" applyAlignment="1" applyProtection="1">
      <alignment horizontal="center"/>
    </xf>
    <xf numFmtId="0" fontId="69" fillId="0" borderId="72" xfId="3" applyFont="1" applyBorder="1" applyAlignment="1" applyProtection="1">
      <alignment horizontal="center"/>
    </xf>
    <xf numFmtId="0" fontId="69" fillId="5" borderId="72" xfId="3" applyFont="1" applyFill="1" applyBorder="1" applyAlignment="1" applyProtection="1">
      <alignment horizontal="center"/>
    </xf>
    <xf numFmtId="0" fontId="69" fillId="5" borderId="40" xfId="3" applyFont="1" applyFill="1" applyBorder="1" applyAlignment="1" applyProtection="1">
      <alignment horizontal="center"/>
    </xf>
    <xf numFmtId="0" fontId="69" fillId="0" borderId="44" xfId="3" applyFont="1" applyBorder="1" applyAlignment="1" applyProtection="1">
      <alignment horizontal="center"/>
    </xf>
    <xf numFmtId="0" fontId="69" fillId="0" borderId="40" xfId="3" applyFont="1" applyBorder="1" applyAlignment="1" applyProtection="1">
      <alignment horizontal="center"/>
    </xf>
    <xf numFmtId="0" fontId="69" fillId="0" borderId="5" xfId="3" applyFont="1" applyBorder="1" applyAlignment="1" applyProtection="1">
      <alignment horizontal="center"/>
    </xf>
    <xf numFmtId="0" fontId="69" fillId="0" borderId="71" xfId="3" applyFont="1" applyBorder="1" applyAlignment="1" applyProtection="1"/>
    <xf numFmtId="0" fontId="69" fillId="5" borderId="72" xfId="3" quotePrefix="1" applyFont="1" applyFill="1" applyBorder="1" applyAlignment="1" applyProtection="1">
      <alignment horizontal="center"/>
    </xf>
    <xf numFmtId="169" fontId="69" fillId="0" borderId="8" xfId="3" applyNumberFormat="1" applyFont="1" applyBorder="1" applyAlignment="1" applyProtection="1">
      <alignment horizontal="center"/>
    </xf>
    <xf numFmtId="1" fontId="69" fillId="0" borderId="59" xfId="3" applyNumberFormat="1" applyFont="1" applyBorder="1" applyAlignment="1" applyProtection="1">
      <alignment horizontal="center"/>
    </xf>
    <xf numFmtId="0" fontId="69" fillId="0" borderId="8" xfId="3" applyFont="1" applyBorder="1" applyAlignment="1" applyProtection="1">
      <alignment horizontal="center"/>
    </xf>
    <xf numFmtId="0" fontId="69" fillId="0" borderId="59" xfId="3" applyFont="1" applyBorder="1" applyAlignment="1" applyProtection="1">
      <alignment horizontal="center"/>
    </xf>
    <xf numFmtId="0" fontId="69" fillId="0" borderId="50" xfId="3" applyFont="1" applyBorder="1" applyAlignment="1" applyProtection="1">
      <alignment horizontal="center"/>
    </xf>
    <xf numFmtId="0" fontId="69" fillId="20" borderId="70" xfId="3" applyFont="1" applyFill="1" applyBorder="1" applyAlignment="1" applyProtection="1">
      <alignment horizontal="center"/>
    </xf>
    <xf numFmtId="0" fontId="69" fillId="5" borderId="70" xfId="3" applyFont="1" applyFill="1" applyBorder="1" applyAlignment="1" applyProtection="1">
      <alignment horizontal="center"/>
    </xf>
    <xf numFmtId="0" fontId="69" fillId="21" borderId="70" xfId="3" applyFont="1" applyFill="1" applyBorder="1" applyAlignment="1" applyProtection="1">
      <alignment horizontal="center"/>
    </xf>
    <xf numFmtId="0" fontId="69" fillId="0" borderId="70" xfId="3" applyFont="1" applyBorder="1" applyAlignment="1" applyProtection="1">
      <alignment horizontal="center"/>
    </xf>
    <xf numFmtId="0" fontId="69" fillId="5" borderId="59" xfId="3" applyFont="1" applyFill="1" applyBorder="1" applyAlignment="1" applyProtection="1">
      <alignment horizontal="center"/>
    </xf>
    <xf numFmtId="3" fontId="67" fillId="0" borderId="22" xfId="3" applyNumberFormat="1" applyFont="1" applyBorder="1" applyAlignment="1" applyProtection="1">
      <alignment horizontal="left" vertical="center" wrapText="1"/>
      <protection locked="0"/>
    </xf>
    <xf numFmtId="0" fontId="62" fillId="0" borderId="0" xfId="3" applyFont="1" applyAlignment="1" applyProtection="1">
      <alignment textRotation="180" wrapText="1"/>
    </xf>
    <xf numFmtId="3" fontId="67" fillId="0" borderId="0" xfId="3" applyNumberFormat="1" applyFont="1" applyBorder="1" applyAlignment="1" applyProtection="1">
      <alignment horizontal="left" vertical="center" wrapText="1"/>
      <protection locked="0"/>
    </xf>
    <xf numFmtId="169" fontId="67" fillId="0" borderId="0" xfId="3" applyNumberFormat="1" applyFont="1" applyBorder="1" applyAlignment="1" applyProtection="1">
      <alignment horizontal="center"/>
      <protection locked="0"/>
    </xf>
    <xf numFmtId="1" fontId="67" fillId="0" borderId="0" xfId="3" applyNumberFormat="1" applyFont="1" applyBorder="1" applyAlignment="1" applyProtection="1">
      <alignment horizontal="center"/>
      <protection locked="0"/>
    </xf>
    <xf numFmtId="3" fontId="67" fillId="0" borderId="0" xfId="3" applyNumberFormat="1" applyFont="1" applyBorder="1" applyAlignment="1" applyProtection="1">
      <alignment horizontal="center"/>
      <protection locked="0"/>
    </xf>
    <xf numFmtId="169" fontId="67" fillId="0" borderId="0" xfId="3" applyNumberFormat="1" applyFont="1" applyBorder="1" applyProtection="1"/>
    <xf numFmtId="1" fontId="67" fillId="0" borderId="0" xfId="3" applyNumberFormat="1" applyFont="1" applyBorder="1" applyProtection="1"/>
    <xf numFmtId="0" fontId="59" fillId="20" borderId="0" xfId="3" applyFont="1" applyFill="1" applyProtection="1"/>
    <xf numFmtId="169" fontId="62" fillId="20" borderId="0" xfId="3" applyNumberFormat="1" applyFont="1" applyFill="1" applyProtection="1"/>
    <xf numFmtId="1" fontId="62" fillId="20" borderId="0" xfId="3" applyNumberFormat="1" applyFont="1" applyFill="1" applyProtection="1"/>
    <xf numFmtId="0" fontId="62" fillId="20" borderId="0" xfId="3" applyFont="1" applyFill="1" applyProtection="1"/>
    <xf numFmtId="169" fontId="62" fillId="0" borderId="0" xfId="3" applyNumberFormat="1" applyFont="1" applyFill="1" applyProtection="1"/>
    <xf numFmtId="1" fontId="62" fillId="0" borderId="0" xfId="3" applyNumberFormat="1" applyFont="1" applyFill="1" applyProtection="1"/>
    <xf numFmtId="169" fontId="62" fillId="0" borderId="0" xfId="3" applyNumberFormat="1" applyFont="1" applyProtection="1"/>
    <xf numFmtId="1" fontId="62" fillId="0" borderId="0" xfId="3" applyNumberFormat="1" applyFont="1" applyProtection="1"/>
    <xf numFmtId="0" fontId="59" fillId="0" borderId="78" xfId="3" applyFont="1" applyBorder="1" applyProtection="1"/>
    <xf numFmtId="169" fontId="62" fillId="0" borderId="78" xfId="3" applyNumberFormat="1" applyFont="1" applyBorder="1" applyProtection="1"/>
    <xf numFmtId="1" fontId="62" fillId="0" borderId="78" xfId="3" applyNumberFormat="1" applyFont="1" applyBorder="1" applyProtection="1"/>
    <xf numFmtId="0" fontId="62" fillId="0" borderId="78" xfId="3" applyFont="1" applyBorder="1" applyAlignment="1" applyProtection="1">
      <alignment horizontal="center"/>
    </xf>
    <xf numFmtId="0" fontId="124" fillId="0" borderId="0" xfId="3" applyFont="1" applyAlignment="1" applyProtection="1">
      <alignment horizontal="left" wrapText="1"/>
    </xf>
    <xf numFmtId="0" fontId="124" fillId="0" borderId="0" xfId="3" applyFont="1" applyAlignment="1" applyProtection="1"/>
    <xf numFmtId="0" fontId="124" fillId="0" borderId="0" xfId="3" applyFont="1" applyAlignment="1" applyProtection="1">
      <alignment wrapText="1"/>
    </xf>
    <xf numFmtId="0" fontId="67" fillId="0" borderId="0" xfId="3" applyFont="1" applyAlignment="1" applyProtection="1">
      <alignment horizontal="left" wrapText="1"/>
    </xf>
    <xf numFmtId="0" fontId="67" fillId="0" borderId="0" xfId="3" applyFont="1" applyAlignment="1" applyProtection="1">
      <alignment horizontal="left"/>
    </xf>
    <xf numFmtId="169" fontId="67" fillId="0" borderId="0" xfId="3" applyNumberFormat="1" applyFont="1" applyProtection="1"/>
    <xf numFmtId="1" fontId="67" fillId="0" borderId="0" xfId="3" applyNumberFormat="1" applyFont="1" applyProtection="1"/>
    <xf numFmtId="0" fontId="67" fillId="0" borderId="0" xfId="3" applyFont="1" applyAlignment="1" applyProtection="1">
      <alignment horizontal="center"/>
    </xf>
    <xf numFmtId="0" fontId="124" fillId="0" borderId="0" xfId="3" applyFont="1" applyAlignment="1" applyProtection="1">
      <alignment vertical="center"/>
    </xf>
    <xf numFmtId="0" fontId="125" fillId="0" borderId="0" xfId="3" applyFont="1" applyFill="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2" xfId="3" applyFont="1" applyBorder="1" applyProtection="1"/>
    <xf numFmtId="0" fontId="62" fillId="0" borderId="142" xfId="3" applyFont="1" applyBorder="1" applyProtection="1"/>
    <xf numFmtId="0" fontId="62" fillId="0" borderId="142"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2" xfId="3" quotePrefix="1" applyFont="1" applyBorder="1" applyAlignment="1" applyProtection="1">
      <alignment horizontal="left"/>
    </xf>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2" xfId="3" applyFont="1" applyBorder="1" applyProtection="1"/>
    <xf numFmtId="0" fontId="62" fillId="0" borderId="0" xfId="3" applyFont="1" applyBorder="1" applyAlignment="1" applyProtection="1">
      <alignment horizontal="left"/>
    </xf>
    <xf numFmtId="0" fontId="69" fillId="0" borderId="142"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2"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7"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9" xfId="3" applyFont="1" applyBorder="1" applyAlignment="1" applyProtection="1">
      <alignment horizontal="left"/>
    </xf>
    <xf numFmtId="0" fontId="62" fillId="0" borderId="149" xfId="3" applyFont="1" applyBorder="1" applyProtection="1"/>
    <xf numFmtId="0" fontId="62" fillId="0" borderId="149"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6"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7"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5" xfId="0" applyNumberFormat="1" applyFont="1" applyBorder="1" applyAlignment="1">
      <alignment horizontal="left" vertical="center" wrapText="1" indent="1"/>
    </xf>
    <xf numFmtId="3" fontId="67" fillId="0" borderId="123"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5"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59" fillId="6" borderId="153" xfId="0" applyNumberFormat="1" applyFont="1" applyFill="1" applyBorder="1" applyAlignment="1">
      <alignment horizontal="center" vertical="center" wrapText="1"/>
    </xf>
    <xf numFmtId="38" fontId="59" fillId="6" borderId="153" xfId="0" applyNumberFormat="1" applyFont="1" applyFill="1" applyBorder="1" applyAlignment="1">
      <alignment horizontal="center" vertical="top" wrapText="1"/>
    </xf>
    <xf numFmtId="38" fontId="69" fillId="6" borderId="153"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3" fontId="60" fillId="22" borderId="129" xfId="0" applyNumberFormat="1" applyFont="1" applyFill="1" applyBorder="1" applyAlignment="1">
      <alignment horizontal="center"/>
    </xf>
    <xf numFmtId="3" fontId="60" fillId="22" borderId="129" xfId="0" applyNumberFormat="1" applyFont="1" applyFill="1" applyBorder="1" applyAlignment="1">
      <alignment horizontal="right"/>
    </xf>
    <xf numFmtId="3" fontId="60" fillId="22" borderId="130" xfId="0" applyNumberFormat="1" applyFont="1" applyFill="1" applyBorder="1" applyAlignment="1">
      <alignment horizontal="center"/>
    </xf>
    <xf numFmtId="3" fontId="70" fillId="22" borderId="123" xfId="0" applyNumberFormat="1" applyFont="1" applyFill="1" applyBorder="1" applyAlignment="1">
      <alignment horizontal="center" vertical="center" wrapText="1"/>
    </xf>
    <xf numFmtId="49" fontId="67" fillId="22" borderId="11" xfId="0" applyNumberFormat="1" applyFont="1" applyFill="1" applyBorder="1" applyAlignment="1">
      <alignment horizontal="center" vertical="center"/>
    </xf>
    <xf numFmtId="38" fontId="59" fillId="22" borderId="13" xfId="0" applyNumberFormat="1" applyFont="1" applyFill="1" applyBorder="1" applyAlignment="1" applyProtection="1">
      <alignment horizontal="right"/>
    </xf>
    <xf numFmtId="38" fontId="59" fillId="22" borderId="21" xfId="0" applyNumberFormat="1" applyFont="1" applyFill="1" applyBorder="1" applyAlignment="1" applyProtection="1">
      <alignment horizontal="right"/>
    </xf>
    <xf numFmtId="38" fontId="59" fillId="22" borderId="21" xfId="1" applyNumberFormat="1" applyFont="1" applyFill="1" applyBorder="1" applyAlignment="1" applyProtection="1">
      <alignment horizontal="right"/>
    </xf>
    <xf numFmtId="38" fontId="59" fillId="22" borderId="14" xfId="0" applyNumberFormat="1" applyFont="1" applyFill="1" applyBorder="1" applyAlignment="1" applyProtection="1">
      <alignment horizontal="right"/>
    </xf>
    <xf numFmtId="0" fontId="62" fillId="22" borderId="31" xfId="0" applyFont="1" applyFill="1" applyBorder="1" applyAlignment="1">
      <alignment horizontal="center" vertical="center"/>
    </xf>
    <xf numFmtId="3" fontId="59" fillId="22" borderId="13" xfId="0" applyNumberFormat="1" applyFont="1" applyFill="1" applyBorder="1" applyAlignment="1" applyProtection="1">
      <alignment horizontal="right" vertical="center"/>
    </xf>
    <xf numFmtId="3" fontId="59" fillId="22" borderId="21" xfId="0" applyNumberFormat="1" applyFont="1" applyFill="1" applyBorder="1" applyAlignment="1" applyProtection="1">
      <alignment horizontal="right" vertical="center"/>
    </xf>
    <xf numFmtId="3" fontId="59" fillId="22"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2" borderId="13" xfId="0" applyNumberFormat="1" applyFont="1" applyFill="1" applyBorder="1" applyAlignment="1" applyProtection="1">
      <alignment horizontal="center" vertical="center"/>
    </xf>
    <xf numFmtId="49" fontId="69" fillId="22" borderId="21" xfId="0" applyNumberFormat="1" applyFont="1" applyFill="1" applyBorder="1" applyAlignment="1" applyProtection="1">
      <alignment horizontal="center" vertical="center"/>
    </xf>
    <xf numFmtId="3" fontId="60" fillId="22" borderId="21" xfId="0" applyNumberFormat="1" applyFont="1" applyFill="1" applyBorder="1" applyAlignment="1" applyProtection="1">
      <alignment horizontal="center"/>
    </xf>
    <xf numFmtId="3" fontId="62" fillId="22" borderId="21" xfId="0" applyNumberFormat="1" applyFont="1" applyFill="1" applyBorder="1" applyAlignment="1" applyProtection="1">
      <alignment horizontal="center"/>
    </xf>
    <xf numFmtId="38" fontId="62" fillId="22" borderId="21" xfId="0" applyNumberFormat="1" applyFont="1" applyFill="1" applyBorder="1" applyAlignment="1" applyProtection="1">
      <alignment horizontal="center"/>
    </xf>
    <xf numFmtId="3" fontId="62" fillId="22" borderId="14" xfId="0" applyNumberFormat="1" applyFont="1" applyFill="1" applyBorder="1" applyAlignment="1" applyProtection="1">
      <alignment horizontal="center"/>
    </xf>
    <xf numFmtId="0" fontId="59" fillId="22" borderId="49" xfId="0" applyFont="1" applyFill="1" applyBorder="1" applyAlignment="1" applyProtection="1">
      <alignment horizontal="center" vertical="center" wrapText="1"/>
    </xf>
    <xf numFmtId="0" fontId="60" fillId="22" borderId="34" xfId="0" applyFont="1" applyFill="1" applyBorder="1" applyAlignment="1">
      <alignment horizontal="center" vertical="center" wrapText="1"/>
    </xf>
    <xf numFmtId="164" fontId="59" fillId="22" borderId="49" xfId="0" applyNumberFormat="1" applyFont="1" applyFill="1" applyBorder="1" applyAlignment="1" applyProtection="1">
      <alignment horizontal="center" vertical="center" wrapText="1"/>
    </xf>
    <xf numFmtId="0" fontId="62" fillId="22" borderId="31" xfId="0" applyFont="1" applyFill="1" applyBorder="1" applyAlignment="1">
      <alignment horizontal="center" vertical="center" wrapText="1"/>
    </xf>
    <xf numFmtId="164" fontId="59" fillId="22"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5"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3" xfId="0" applyNumberFormat="1" applyFont="1" applyFill="1" applyBorder="1" applyAlignment="1">
      <alignment horizontal="left" vertical="center" wrapText="1"/>
    </xf>
    <xf numFmtId="49" fontId="69" fillId="17" borderId="125"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3"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5" xfId="0" applyFont="1" applyFill="1" applyBorder="1" applyAlignment="1">
      <alignment horizontal="left" vertical="center" wrapText="1"/>
    </xf>
    <xf numFmtId="3" fontId="69" fillId="17" borderId="125" xfId="0" applyNumberFormat="1" applyFont="1" applyFill="1" applyBorder="1" applyAlignment="1">
      <alignment horizontal="left" vertical="center" wrapText="1"/>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2" borderId="13" xfId="0" applyFont="1" applyFill="1" applyBorder="1" applyAlignment="1">
      <alignment horizontal="left" vertical="center"/>
    </xf>
    <xf numFmtId="0" fontId="70" fillId="22" borderId="21" xfId="0" applyFont="1" applyFill="1" applyBorder="1" applyAlignment="1">
      <alignment horizontal="left" vertical="center"/>
    </xf>
    <xf numFmtId="0" fontId="70" fillId="22"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7" xfId="0" applyFont="1" applyBorder="1" applyAlignment="1">
      <alignment horizontal="centerContinuous" vertical="center"/>
    </xf>
    <xf numFmtId="0" fontId="60" fillId="0" borderId="158" xfId="0" applyFont="1" applyBorder="1" applyAlignment="1">
      <alignment horizontal="centerContinuous" vertical="center"/>
    </xf>
    <xf numFmtId="0" fontId="62" fillId="0" borderId="158" xfId="0" applyFont="1" applyBorder="1" applyAlignment="1">
      <alignment horizontal="centerContinuous" vertical="center"/>
    </xf>
    <xf numFmtId="0" fontId="69" fillId="0" borderId="105" xfId="0" applyFont="1" applyBorder="1" applyAlignment="1">
      <alignment horizontal="center"/>
    </xf>
    <xf numFmtId="0" fontId="62" fillId="22" borderId="16" xfId="3" applyFont="1" applyFill="1" applyBorder="1" applyAlignment="1">
      <alignment horizontal="left" vertical="center"/>
    </xf>
    <xf numFmtId="0" fontId="62" fillId="22" borderId="10" xfId="3" applyFont="1" applyFill="1" applyBorder="1" applyAlignment="1">
      <alignment horizontal="left" vertical="center"/>
    </xf>
    <xf numFmtId="0" fontId="69" fillId="0" borderId="5" xfId="3" applyFont="1" applyFill="1" applyBorder="1" applyAlignment="1" applyProtection="1"/>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49" fontId="69" fillId="16" borderId="36" xfId="0" applyNumberFormat="1" applyFont="1" applyFill="1" applyBorder="1" applyAlignment="1">
      <alignment horizontal="center" vertical="center"/>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0" fontId="69" fillId="16" borderId="27" xfId="0" applyFont="1" applyFill="1" applyBorder="1" applyAlignment="1">
      <alignment horizontal="center" vertical="center"/>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0" fontId="69" fillId="16" borderId="30" xfId="0" applyFont="1" applyFill="1" applyBorder="1" applyAlignment="1" applyProtection="1">
      <alignment horizontal="center" vertical="center"/>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0" fontId="69" fillId="16" borderId="27" xfId="0" applyFont="1" applyFill="1" applyBorder="1" applyAlignment="1">
      <alignment horizontal="left" vertical="center" wrapText="1" indent="1"/>
    </xf>
    <xf numFmtId="49" fontId="67" fillId="16" borderId="41" xfId="0" applyNumberFormat="1" applyFont="1" applyFill="1" applyBorder="1" applyAlignment="1" applyProtection="1">
      <alignment horizontal="center"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0" fontId="67" fillId="16" borderId="0" xfId="10" quotePrefix="1" applyFont="1" applyFill="1" applyAlignment="1">
      <alignment horizontal="left" vertical="center"/>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0" fontId="67" fillId="16" borderId="0" xfId="11" applyFont="1" applyFill="1" applyAlignment="1">
      <alignment vertical="center"/>
    </xf>
    <xf numFmtId="0" fontId="67" fillId="16" borderId="0" xfId="0" applyFont="1" applyFill="1" applyBorder="1" applyAlignment="1">
      <alignment horizontal="right"/>
    </xf>
    <xf numFmtId="0" fontId="60" fillId="16" borderId="13" xfId="0" applyFont="1" applyFill="1" applyBorder="1" applyAlignment="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 fontId="67" fillId="0" borderId="12" xfId="0" applyNumberFormat="1" applyFont="1" applyBorder="1" applyAlignment="1">
      <alignment horizontal="left" vertical="top" wrapText="1" indent="1"/>
    </xf>
    <xf numFmtId="49" fontId="39" fillId="0" borderId="0" xfId="2" applyNumberFormat="1" applyBorder="1" applyAlignment="1" applyProtection="1">
      <alignment horizontal="center"/>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9" xfId="3" applyFont="1" applyBorder="1" applyProtection="1"/>
    <xf numFmtId="49" fontId="67" fillId="0" borderId="14" xfId="0" applyNumberFormat="1" applyFont="1" applyFill="1" applyBorder="1" applyAlignment="1" applyProtection="1">
      <alignment horizontal="center" vertical="center"/>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2" borderId="0" xfId="18" applyFont="1" applyFill="1" applyAlignment="1">
      <alignment horizontal="centerContinuous" vertical="center"/>
    </xf>
    <xf numFmtId="0" fontId="105" fillId="22" borderId="0" xfId="18" applyFont="1" applyFill="1" applyAlignment="1">
      <alignment horizontal="centerContinuous"/>
    </xf>
    <xf numFmtId="0" fontId="93" fillId="0" borderId="135"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12" fillId="0" borderId="0" xfId="18" applyFont="1" applyAlignment="1">
      <alignment wrapText="1"/>
    </xf>
    <xf numFmtId="0" fontId="135" fillId="0" borderId="160"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2"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7" xfId="18" applyFont="1" applyBorder="1" applyAlignment="1">
      <alignment horizontal="left" vertical="center" wrapText="1"/>
    </xf>
    <xf numFmtId="0" fontId="109" fillId="0" borderId="158"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30"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5"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2" fillId="0" borderId="0" xfId="18" applyFont="1"/>
    <xf numFmtId="0" fontId="53" fillId="0" borderId="138" xfId="18" applyFont="1" applyBorder="1" applyAlignment="1">
      <alignment vertical="top"/>
    </xf>
    <xf numFmtId="0" fontId="53" fillId="0" borderId="139" xfId="18" applyFont="1" applyBorder="1" applyAlignment="1">
      <alignment vertical="top"/>
    </xf>
    <xf numFmtId="0" fontId="54" fillId="15" borderId="76" xfId="18" applyFont="1" applyFill="1" applyBorder="1" applyAlignment="1">
      <alignment vertical="top"/>
    </xf>
    <xf numFmtId="0" fontId="53" fillId="0" borderId="138" xfId="18" applyFont="1" applyBorder="1" applyAlignment="1">
      <alignment vertical="top" wrapText="1"/>
    </xf>
    <xf numFmtId="0" fontId="53" fillId="0" borderId="139"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7"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0" fontId="105" fillId="22" borderId="0" xfId="18" applyFont="1" applyFill="1" applyAlignment="1">
      <alignment horizontal="centerContinuous" vertical="center"/>
    </xf>
    <xf numFmtId="0" fontId="109" fillId="22" borderId="136" xfId="18" applyFont="1" applyFill="1" applyBorder="1" applyAlignment="1">
      <alignment horizontal="center" vertical="center" wrapText="1"/>
    </xf>
    <xf numFmtId="0" fontId="109" fillId="22" borderId="161" xfId="18" applyFont="1" applyFill="1" applyBorder="1" applyAlignment="1">
      <alignment horizontal="center" vertical="center" wrapText="1"/>
    </xf>
    <xf numFmtId="0" fontId="109" fillId="17" borderId="137"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7" xfId="18" applyFont="1" applyFill="1" applyBorder="1" applyAlignment="1" applyProtection="1">
      <alignment horizontal="right"/>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92" fillId="0" borderId="0" xfId="2" applyFont="1" applyAlignment="1" applyProtection="1">
      <alignment horizontal="right" vertical="center"/>
    </xf>
    <xf numFmtId="0" fontId="39"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0" fontId="62" fillId="0" borderId="77" xfId="3" applyNumberFormat="1" applyFont="1" applyBorder="1" applyAlignment="1" applyProtection="1">
      <alignment horizontal="center"/>
      <protection locked="0"/>
    </xf>
    <xf numFmtId="0" fontId="142" fillId="20" borderId="0" xfId="0" applyFont="1" applyFill="1" applyAlignment="1">
      <alignment horizontal="center"/>
    </xf>
    <xf numFmtId="0" fontId="143" fillId="0" borderId="0" xfId="0" applyFont="1" applyAlignment="1">
      <alignment horizontal="center"/>
    </xf>
    <xf numFmtId="41" fontId="54" fillId="11" borderId="103" xfId="0" applyNumberFormat="1" applyFont="1" applyFill="1" applyBorder="1" applyAlignment="1" applyProtection="1">
      <alignment horizontal="right" shrinkToFit="1"/>
      <protection locked="0"/>
    </xf>
    <xf numFmtId="41" fontId="54" fillId="10" borderId="104" xfId="0" applyNumberFormat="1" applyFont="1" applyFill="1" applyBorder="1" applyAlignment="1">
      <alignment horizontal="right" shrinkToFit="1"/>
    </xf>
    <xf numFmtId="38" fontId="62" fillId="16" borderId="2" xfId="0" applyNumberFormat="1" applyFont="1" applyFill="1" applyBorder="1" applyAlignment="1" applyProtection="1">
      <alignment horizontal="right" vertical="center" shrinkToFit="1"/>
    </xf>
    <xf numFmtId="0" fontId="60" fillId="0" borderId="0" xfId="0" applyFont="1" applyBorder="1" applyAlignment="1" applyProtection="1">
      <alignment horizontal="center" vertical="center" shrinkToFit="1"/>
    </xf>
    <xf numFmtId="0" fontId="60" fillId="0" borderId="0" xfId="0" applyFont="1" applyBorder="1" applyAlignment="1" applyProtection="1">
      <alignment vertical="center" shrinkToFit="1"/>
    </xf>
    <xf numFmtId="38" fontId="62" fillId="16" borderId="2" xfId="0" applyNumberFormat="1" applyFont="1" applyFill="1" applyBorder="1" applyAlignment="1" applyProtection="1">
      <alignment vertical="center" shrinkToFit="1"/>
    </xf>
    <xf numFmtId="41" fontId="62" fillId="0" borderId="2" xfId="0" applyNumberFormat="1" applyFont="1" applyBorder="1" applyAlignment="1" applyProtection="1">
      <alignment vertical="center" shrinkToFit="1"/>
      <protection locked="0"/>
    </xf>
    <xf numFmtId="40" fontId="67" fillId="0" borderId="0" xfId="0" applyNumberFormat="1" applyFont="1" applyBorder="1" applyAlignment="1" applyProtection="1">
      <alignment horizontal="right" shrinkToFit="1"/>
    </xf>
    <xf numFmtId="0" fontId="60" fillId="0" borderId="0" xfId="0" applyFont="1" applyBorder="1" applyAlignment="1" applyProtection="1">
      <alignment horizontal="right" shrinkToFit="1"/>
    </xf>
    <xf numFmtId="0" fontId="59" fillId="0" borderId="0" xfId="0" applyFont="1" applyBorder="1" applyAlignment="1" applyProtection="1">
      <alignment horizontal="center" shrinkToFit="1"/>
    </xf>
    <xf numFmtId="37" fontId="67" fillId="0" borderId="0" xfId="0" applyNumberFormat="1" applyFont="1" applyBorder="1" applyAlignment="1" applyProtection="1">
      <alignment horizontal="right" shrinkToFit="1"/>
    </xf>
    <xf numFmtId="40" fontId="67" fillId="0" borderId="0" xfId="0" applyNumberFormat="1" applyFont="1" applyFill="1" applyBorder="1" applyAlignment="1" applyProtection="1">
      <alignment horizontal="right" shrinkToFit="1"/>
    </xf>
    <xf numFmtId="40" fontId="67" fillId="0" borderId="0" xfId="0" applyNumberFormat="1" applyFont="1" applyBorder="1" applyAlignment="1" applyProtection="1">
      <alignment horizontal="right" vertical="center" shrinkToFit="1"/>
    </xf>
    <xf numFmtId="40" fontId="67" fillId="0" borderId="0" xfId="0" applyNumberFormat="1" applyFont="1" applyFill="1" applyBorder="1" applyAlignment="1" applyProtection="1">
      <alignment horizontal="right" vertical="center" shrinkToFit="1"/>
    </xf>
    <xf numFmtId="0" fontId="67" fillId="0" borderId="0" xfId="0" applyFont="1" applyBorder="1" applyAlignment="1" applyProtection="1">
      <alignment horizontal="right" shrinkToFit="1"/>
    </xf>
    <xf numFmtId="175" fontId="67" fillId="0" borderId="0" xfId="0" applyNumberFormat="1" applyFont="1" applyFill="1" applyBorder="1" applyAlignment="1" applyProtection="1">
      <alignment horizontal="right" shrinkToFit="1"/>
    </xf>
    <xf numFmtId="0" fontId="59" fillId="0" borderId="0" xfId="0" applyFont="1" applyBorder="1" applyAlignment="1" applyProtection="1">
      <alignment horizontal="right" shrinkToFit="1"/>
    </xf>
    <xf numFmtId="0" fontId="62" fillId="0" borderId="0" xfId="5" applyNumberFormat="1" applyFont="1" applyBorder="1" applyAlignment="1" applyProtection="1">
      <alignment horizontal="right" shrinkToFit="1"/>
    </xf>
    <xf numFmtId="0" fontId="67"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shrinkToFit="1"/>
    </xf>
    <xf numFmtId="0" fontId="60" fillId="0" borderId="0" xfId="0" applyFont="1" applyBorder="1" applyAlignment="1" applyProtection="1">
      <alignment shrinkToFit="1"/>
    </xf>
    <xf numFmtId="0" fontId="67" fillId="0" borderId="0" xfId="5" quotePrefix="1" applyNumberFormat="1" applyFont="1" applyBorder="1" applyAlignment="1" applyProtection="1">
      <alignment horizontal="right" shrinkToFit="1"/>
    </xf>
    <xf numFmtId="1" fontId="62" fillId="0" borderId="0" xfId="5" applyNumberFormat="1" applyFont="1" applyBorder="1" applyAlignment="1" applyProtection="1">
      <alignment horizontal="right" shrinkToFit="1"/>
    </xf>
    <xf numFmtId="2" fontId="67" fillId="0" borderId="0" xfId="0" applyNumberFormat="1" applyFont="1" applyBorder="1" applyAlignment="1" applyProtection="1">
      <alignment horizontal="right" vertical="center" shrinkToFit="1"/>
    </xf>
    <xf numFmtId="172" fontId="67" fillId="0" borderId="0" xfId="0" applyNumberFormat="1" applyFont="1" applyBorder="1" applyAlignment="1" applyProtection="1">
      <alignment horizontal="right" shrinkToFit="1"/>
    </xf>
    <xf numFmtId="2" fontId="70" fillId="0" borderId="0" xfId="0" applyNumberFormat="1" applyFont="1" applyFill="1" applyBorder="1" applyAlignment="1" applyProtection="1">
      <alignment horizontal="right" shrinkToFit="1"/>
    </xf>
    <xf numFmtId="0" fontId="60" fillId="0" borderId="0" xfId="0" applyFont="1" applyFill="1" applyBorder="1" applyAlignment="1" applyProtection="1">
      <alignment shrinkToFit="1"/>
    </xf>
    <xf numFmtId="0" fontId="71" fillId="0" borderId="0" xfId="5" applyNumberFormat="1" applyFont="1" applyFill="1" applyBorder="1" applyAlignment="1" applyProtection="1">
      <alignment horizontal="right" shrinkToFit="1"/>
    </xf>
    <xf numFmtId="38" fontId="60" fillId="0" borderId="2" xfId="0" applyNumberFormat="1" applyFont="1" applyBorder="1" applyAlignment="1" applyProtection="1">
      <alignment horizontal="right" shrinkToFit="1"/>
      <protection locked="0"/>
    </xf>
    <xf numFmtId="38" fontId="60" fillId="0" borderId="2" xfId="0" applyNumberFormat="1" applyFont="1" applyFill="1" applyBorder="1" applyAlignment="1" applyProtection="1">
      <alignment horizontal="right" shrinkToFit="1"/>
      <protection locked="0"/>
    </xf>
    <xf numFmtId="38" fontId="60" fillId="3" borderId="26" xfId="0" applyNumberFormat="1" applyFont="1" applyFill="1" applyBorder="1" applyAlignment="1" applyProtection="1">
      <alignment horizontal="right" shrinkToFit="1"/>
    </xf>
    <xf numFmtId="38" fontId="60" fillId="3" borderId="18" xfId="0" applyNumberFormat="1" applyFont="1" applyFill="1" applyBorder="1" applyAlignment="1" applyProtection="1">
      <alignment horizontal="right" shrinkToFit="1"/>
    </xf>
    <xf numFmtId="38" fontId="60" fillId="0" borderId="3" xfId="0" applyNumberFormat="1" applyFont="1" applyBorder="1" applyAlignment="1" applyProtection="1">
      <alignment horizontal="right" shrinkToFit="1"/>
      <protection locked="0"/>
    </xf>
    <xf numFmtId="38" fontId="60" fillId="0" borderId="0" xfId="0" applyNumberFormat="1" applyFont="1" applyBorder="1" applyAlignment="1" applyProtection="1">
      <alignment horizontal="right" shrinkToFit="1"/>
      <protection locked="0"/>
    </xf>
    <xf numFmtId="38" fontId="60" fillId="0" borderId="3" xfId="0" applyNumberFormat="1" applyFont="1" applyFill="1" applyBorder="1" applyAlignment="1" applyProtection="1">
      <alignment horizontal="right" shrinkToFit="1"/>
      <protection locked="0"/>
    </xf>
    <xf numFmtId="38" fontId="60" fillId="6" borderId="3" xfId="0" applyNumberFormat="1" applyFont="1" applyFill="1" applyBorder="1" applyAlignment="1" applyProtection="1">
      <alignment horizontal="right" shrinkToFit="1"/>
    </xf>
    <xf numFmtId="38" fontId="60" fillId="6" borderId="26" xfId="0" applyNumberFormat="1" applyFont="1" applyFill="1" applyBorder="1" applyAlignment="1" applyProtection="1">
      <alignment horizontal="right" shrinkToFit="1"/>
    </xf>
    <xf numFmtId="38" fontId="60" fillId="0" borderId="4" xfId="0" applyNumberFormat="1" applyFont="1" applyFill="1" applyBorder="1" applyAlignment="1" applyProtection="1">
      <alignment horizontal="right" shrinkToFit="1"/>
      <protection locked="0"/>
    </xf>
    <xf numFmtId="38" fontId="60" fillId="0" borderId="26" xfId="0" applyNumberFormat="1" applyFont="1" applyFill="1" applyBorder="1" applyAlignment="1" applyProtection="1">
      <alignment horizontal="right" shrinkToFit="1"/>
      <protection locked="0"/>
    </xf>
    <xf numFmtId="38" fontId="60" fillId="6" borderId="4" xfId="0" applyNumberFormat="1" applyFont="1" applyFill="1" applyBorder="1" applyAlignment="1" applyProtection="1">
      <alignment horizontal="right" shrinkToFit="1"/>
    </xf>
    <xf numFmtId="38" fontId="60" fillId="0" borderId="4" xfId="0" applyNumberFormat="1" applyFont="1" applyBorder="1" applyAlignment="1" applyProtection="1">
      <alignment horizontal="right" shrinkToFit="1"/>
      <protection locked="0"/>
    </xf>
    <xf numFmtId="38" fontId="60" fillId="16" borderId="30" xfId="0" applyNumberFormat="1" applyFont="1" applyFill="1" applyBorder="1" applyAlignment="1" applyProtection="1">
      <alignment horizontal="right" shrinkToFit="1"/>
    </xf>
    <xf numFmtId="38" fontId="60" fillId="22" borderId="19" xfId="0" applyNumberFormat="1" applyFont="1" applyFill="1" applyBorder="1" applyAlignment="1" applyProtection="1">
      <alignment horizontal="right" shrinkToFit="1"/>
    </xf>
    <xf numFmtId="38" fontId="60" fillId="22" borderId="20" xfId="0" applyNumberFormat="1" applyFont="1" applyFill="1" applyBorder="1" applyAlignment="1" applyProtection="1">
      <alignment horizontal="right" shrinkToFit="1"/>
    </xf>
    <xf numFmtId="38" fontId="60" fillId="22" borderId="21" xfId="0" applyNumberFormat="1" applyFont="1" applyFill="1" applyBorder="1" applyAlignment="1" applyProtection="1">
      <alignment horizontal="right" shrinkToFit="1"/>
    </xf>
    <xf numFmtId="38" fontId="60" fillId="22" borderId="14" xfId="0" applyNumberFormat="1" applyFont="1" applyFill="1" applyBorder="1" applyAlignment="1" applyProtection="1">
      <alignment horizontal="right" shrinkToFit="1"/>
    </xf>
    <xf numFmtId="38" fontId="60" fillId="6" borderId="18" xfId="0" applyNumberFormat="1" applyFont="1" applyFill="1" applyBorder="1" applyAlignment="1" applyProtection="1">
      <alignment horizontal="right" shrinkToFit="1"/>
    </xf>
    <xf numFmtId="38" fontId="60" fillId="6" borderId="0" xfId="0" applyNumberFormat="1" applyFont="1" applyFill="1" applyBorder="1" applyAlignment="1" applyProtection="1">
      <alignment horizontal="right" shrinkToFit="1"/>
    </xf>
    <xf numFmtId="38" fontId="60" fillId="16" borderId="27" xfId="0" applyNumberFormat="1" applyFont="1" applyFill="1" applyBorder="1" applyAlignment="1" applyProtection="1">
      <alignment horizontal="right" shrinkToFit="1"/>
    </xf>
    <xf numFmtId="38" fontId="60" fillId="22" borderId="13" xfId="0" applyNumberFormat="1" applyFont="1" applyFill="1" applyBorder="1" applyAlignment="1" applyProtection="1">
      <alignment horizontal="right" shrinkToFit="1"/>
    </xf>
    <xf numFmtId="38" fontId="60" fillId="22" borderId="11" xfId="0" applyNumberFormat="1" applyFont="1" applyFill="1" applyBorder="1" applyAlignment="1" applyProtection="1">
      <alignment horizontal="right" shrinkToFit="1"/>
    </xf>
    <xf numFmtId="38" fontId="60" fillId="0" borderId="13" xfId="0" applyNumberFormat="1" applyFont="1" applyFill="1" applyBorder="1" applyAlignment="1" applyProtection="1">
      <alignment horizontal="right" shrinkToFit="1"/>
      <protection locked="0"/>
    </xf>
    <xf numFmtId="38" fontId="60" fillId="0" borderId="26" xfId="0" applyNumberFormat="1" applyFont="1" applyBorder="1" applyAlignment="1" applyProtection="1">
      <alignment horizontal="right" shrinkToFit="1"/>
      <protection locked="0"/>
    </xf>
    <xf numFmtId="38" fontId="60" fillId="16" borderId="26" xfId="0" applyNumberFormat="1" applyFont="1" applyFill="1" applyBorder="1" applyAlignment="1" applyProtection="1">
      <alignment horizontal="right" shrinkToFit="1"/>
    </xf>
    <xf numFmtId="38" fontId="60" fillId="16" borderId="3" xfId="0" applyNumberFormat="1" applyFont="1" applyFill="1" applyBorder="1" applyAlignment="1" applyProtection="1">
      <alignment horizontal="right" shrinkToFit="1"/>
    </xf>
    <xf numFmtId="38" fontId="60" fillId="22" borderId="49" xfId="0" applyNumberFormat="1" applyFont="1" applyFill="1" applyBorder="1" applyAlignment="1" applyProtection="1">
      <alignment horizontal="right" shrinkToFit="1"/>
    </xf>
    <xf numFmtId="38" fontId="60" fillId="22" borderId="34" xfId="0" applyNumberFormat="1" applyFont="1" applyFill="1" applyBorder="1" applyAlignment="1" applyProtection="1">
      <alignment horizontal="right" shrinkToFit="1"/>
    </xf>
    <xf numFmtId="38" fontId="62" fillId="6" borderId="26" xfId="0" applyNumberFormat="1" applyFont="1" applyFill="1" applyBorder="1" applyAlignment="1">
      <alignment horizontal="right" shrinkToFit="1"/>
    </xf>
    <xf numFmtId="38" fontId="60" fillId="6" borderId="3" xfId="0" applyNumberFormat="1" applyFont="1" applyFill="1" applyBorder="1" applyAlignment="1">
      <alignment horizontal="right" shrinkToFit="1"/>
    </xf>
    <xf numFmtId="38" fontId="60" fillId="16" borderId="4" xfId="0" applyNumberFormat="1" applyFont="1" applyFill="1" applyBorder="1" applyAlignment="1" applyProtection="1">
      <alignment horizontal="right" shrinkToFit="1"/>
    </xf>
    <xf numFmtId="38" fontId="60" fillId="16" borderId="2" xfId="0" applyNumberFormat="1" applyFont="1" applyFill="1" applyBorder="1" applyAlignment="1" applyProtection="1">
      <alignment horizontal="right" shrinkToFit="1"/>
    </xf>
    <xf numFmtId="38" fontId="60" fillId="3" borderId="21" xfId="0" applyNumberFormat="1" applyFont="1" applyFill="1" applyBorder="1" applyAlignment="1" applyProtection="1">
      <alignment horizontal="right" shrinkToFit="1"/>
    </xf>
    <xf numFmtId="38" fontId="60" fillId="3" borderId="0" xfId="0" applyNumberFormat="1" applyFont="1" applyFill="1" applyBorder="1" applyAlignment="1" applyProtection="1">
      <alignment horizontal="right" shrinkToFit="1"/>
    </xf>
    <xf numFmtId="38" fontId="60" fillId="3" borderId="3" xfId="0" applyNumberFormat="1" applyFont="1" applyFill="1" applyBorder="1" applyAlignment="1" applyProtection="1">
      <alignment horizontal="right" shrinkToFit="1"/>
    </xf>
    <xf numFmtId="38" fontId="60" fillId="3" borderId="13" xfId="0" applyNumberFormat="1" applyFont="1" applyFill="1" applyBorder="1" applyAlignment="1" applyProtection="1">
      <alignment horizontal="right" shrinkToFit="1"/>
    </xf>
    <xf numFmtId="38" fontId="60" fillId="3" borderId="2" xfId="0" applyNumberFormat="1" applyFont="1" applyFill="1" applyBorder="1" applyAlignment="1" applyProtection="1">
      <alignment horizontal="right" shrinkToFit="1"/>
    </xf>
    <xf numFmtId="38" fontId="60" fillId="0" borderId="19" xfId="0" applyNumberFormat="1" applyFont="1" applyBorder="1" applyAlignment="1" applyProtection="1">
      <alignment horizontal="right" shrinkToFit="1"/>
      <protection locked="0"/>
    </xf>
    <xf numFmtId="38" fontId="60" fillId="0" borderId="11" xfId="0" applyNumberFormat="1" applyFont="1" applyBorder="1" applyAlignment="1" applyProtection="1">
      <alignment horizontal="right" shrinkToFit="1"/>
      <protection locked="0"/>
    </xf>
    <xf numFmtId="38" fontId="60" fillId="22" borderId="31" xfId="0" applyNumberFormat="1" applyFont="1" applyFill="1" applyBorder="1" applyAlignment="1" applyProtection="1">
      <alignment horizontal="right" shrinkToFit="1"/>
    </xf>
    <xf numFmtId="38" fontId="60" fillId="3" borderId="11" xfId="0" applyNumberFormat="1" applyFont="1" applyFill="1" applyBorder="1" applyAlignment="1" applyProtection="1">
      <alignment horizontal="right" shrinkToFit="1"/>
    </xf>
    <xf numFmtId="38" fontId="60" fillId="3" borderId="4" xfId="0" applyNumberFormat="1" applyFont="1" applyFill="1" applyBorder="1" applyAlignment="1" applyProtection="1">
      <alignment horizontal="right" shrinkToFit="1"/>
    </xf>
    <xf numFmtId="38" fontId="60" fillId="16" borderId="18" xfId="0" applyNumberFormat="1" applyFont="1" applyFill="1" applyBorder="1" applyAlignment="1" applyProtection="1">
      <alignment horizontal="right" shrinkToFit="1"/>
    </xf>
    <xf numFmtId="38" fontId="60" fillId="16" borderId="19" xfId="0" applyNumberFormat="1" applyFont="1" applyFill="1" applyBorder="1" applyAlignment="1" applyProtection="1">
      <alignment horizontal="right" shrinkToFit="1"/>
    </xf>
    <xf numFmtId="38" fontId="60" fillId="3" borderId="14" xfId="0" applyNumberFormat="1" applyFont="1" applyFill="1" applyBorder="1" applyAlignment="1" applyProtection="1">
      <alignment horizontal="right" shrinkToFit="1"/>
    </xf>
    <xf numFmtId="38" fontId="60" fillId="16" borderId="0" xfId="0" applyNumberFormat="1" applyFont="1" applyFill="1" applyAlignment="1" applyProtection="1">
      <alignment horizontal="right" shrinkToFit="1"/>
    </xf>
    <xf numFmtId="38" fontId="60" fillId="16" borderId="28" xfId="0" applyNumberFormat="1" applyFont="1" applyFill="1" applyBorder="1" applyAlignment="1" applyProtection="1">
      <alignment horizontal="right" shrinkToFit="1"/>
    </xf>
    <xf numFmtId="38" fontId="60" fillId="6" borderId="2" xfId="0" applyNumberFormat="1" applyFont="1" applyFill="1" applyBorder="1" applyAlignment="1" applyProtection="1">
      <alignment horizontal="right" shrinkToFit="1"/>
    </xf>
    <xf numFmtId="38" fontId="60" fillId="16" borderId="32" xfId="0" applyNumberFormat="1" applyFont="1" applyFill="1" applyBorder="1" applyAlignment="1" applyProtection="1">
      <alignment horizontal="right" shrinkToFit="1"/>
    </xf>
    <xf numFmtId="38" fontId="60" fillId="6" borderId="28" xfId="0" applyNumberFormat="1" applyFont="1" applyFill="1" applyBorder="1" applyAlignment="1" applyProtection="1">
      <alignment horizontal="right" shrinkToFit="1"/>
    </xf>
    <xf numFmtId="38" fontId="60" fillId="0" borderId="27" xfId="0" applyNumberFormat="1" applyFont="1" applyFill="1" applyBorder="1" applyAlignment="1" applyProtection="1">
      <alignment horizontal="right" shrinkToFit="1"/>
      <protection locked="0"/>
    </xf>
    <xf numFmtId="38" fontId="60" fillId="0" borderId="33" xfId="0" applyNumberFormat="1" applyFont="1" applyFill="1" applyBorder="1" applyAlignment="1" applyProtection="1">
      <alignment horizontal="right" shrinkToFit="1"/>
      <protection locked="0"/>
    </xf>
    <xf numFmtId="38" fontId="60" fillId="0" borderId="32" xfId="0" applyNumberFormat="1" applyFont="1" applyFill="1" applyBorder="1" applyAlignment="1" applyProtection="1">
      <alignment horizontal="right" shrinkToFit="1"/>
      <protection locked="0"/>
    </xf>
    <xf numFmtId="38" fontId="60" fillId="16" borderId="33" xfId="0" applyNumberFormat="1" applyFont="1" applyFill="1" applyBorder="1" applyAlignment="1" applyProtection="1">
      <alignment horizontal="right" shrinkToFit="1"/>
    </xf>
    <xf numFmtId="38" fontId="60" fillId="0" borderId="29" xfId="0" applyNumberFormat="1" applyFont="1" applyFill="1" applyBorder="1" applyAlignment="1" applyProtection="1">
      <alignment horizontal="right" shrinkToFit="1"/>
      <protection locked="0"/>
    </xf>
    <xf numFmtId="38" fontId="60" fillId="0" borderId="0" xfId="0" applyNumberFormat="1" applyFont="1" applyAlignment="1" applyProtection="1">
      <alignment horizontal="right" shrinkToFit="1"/>
      <protection locked="0"/>
    </xf>
    <xf numFmtId="38" fontId="60" fillId="0" borderId="13" xfId="0" applyNumberFormat="1" applyFont="1" applyBorder="1" applyAlignment="1" applyProtection="1">
      <alignment horizontal="right" shrinkToFit="1"/>
      <protection locked="0"/>
    </xf>
    <xf numFmtId="38" fontId="60" fillId="16" borderId="36" xfId="0" applyNumberFormat="1" applyFont="1" applyFill="1" applyBorder="1" applyAlignment="1" applyProtection="1">
      <alignment horizontal="right" shrinkToFit="1"/>
    </xf>
    <xf numFmtId="38" fontId="60" fillId="3" borderId="17" xfId="0" applyNumberFormat="1" applyFont="1" applyFill="1" applyBorder="1" applyAlignment="1" applyProtection="1">
      <alignment horizontal="right" shrinkToFit="1"/>
    </xf>
    <xf numFmtId="37" fontId="60" fillId="16" borderId="36" xfId="0" applyNumberFormat="1" applyFont="1" applyFill="1" applyBorder="1" applyAlignment="1" applyProtection="1">
      <alignment horizontal="right" shrinkToFit="1"/>
    </xf>
    <xf numFmtId="37" fontId="60" fillId="16" borderId="27" xfId="0" applyNumberFormat="1" applyFont="1" applyFill="1" applyBorder="1" applyAlignment="1" applyProtection="1">
      <alignment horizontal="right" shrinkToFit="1"/>
    </xf>
    <xf numFmtId="37" fontId="60" fillId="3" borderId="17" xfId="0" applyNumberFormat="1" applyFont="1" applyFill="1" applyBorder="1" applyAlignment="1" applyProtection="1">
      <alignment horizontal="right" shrinkToFit="1"/>
    </xf>
    <xf numFmtId="37" fontId="60" fillId="3" borderId="26" xfId="0" applyNumberFormat="1" applyFont="1" applyFill="1" applyBorder="1" applyAlignment="1" applyProtection="1">
      <alignment horizontal="right" shrinkToFit="1"/>
    </xf>
    <xf numFmtId="38" fontId="60" fillId="0" borderId="19" xfId="0" applyNumberFormat="1" applyFont="1" applyFill="1" applyBorder="1" applyAlignment="1" applyProtection="1">
      <alignment horizontal="right" shrinkToFit="1"/>
      <protection locked="0"/>
    </xf>
    <xf numFmtId="38" fontId="60" fillId="3" borderId="0" xfId="0" applyNumberFormat="1" applyFont="1" applyFill="1" applyAlignment="1" applyProtection="1">
      <alignment horizontal="right" shrinkToFit="1"/>
    </xf>
    <xf numFmtId="38" fontId="60" fillId="16" borderId="37" xfId="0" applyNumberFormat="1" applyFont="1" applyFill="1" applyBorder="1" applyAlignment="1" applyProtection="1">
      <alignment horizontal="right" shrinkToFit="1"/>
    </xf>
    <xf numFmtId="38" fontId="60" fillId="16" borderId="12" xfId="0" applyNumberFormat="1" applyFont="1" applyFill="1" applyBorder="1" applyAlignment="1" applyProtection="1">
      <alignment horizontal="right" shrinkToFit="1"/>
    </xf>
    <xf numFmtId="38" fontId="60" fillId="3" borderId="19" xfId="0" applyNumberFormat="1" applyFont="1" applyFill="1" applyBorder="1" applyAlignment="1" applyProtection="1">
      <alignment horizontal="right" shrinkToFit="1"/>
    </xf>
    <xf numFmtId="38" fontId="60" fillId="3" borderId="38" xfId="0" applyNumberFormat="1" applyFont="1" applyFill="1" applyBorder="1" applyAlignment="1" applyProtection="1">
      <alignment horizontal="right" shrinkToFit="1"/>
    </xf>
    <xf numFmtId="38" fontId="60" fillId="3" borderId="28" xfId="0" applyNumberFormat="1" applyFont="1" applyFill="1" applyBorder="1" applyAlignment="1" applyProtection="1">
      <alignment horizontal="right" shrinkToFit="1"/>
    </xf>
    <xf numFmtId="38" fontId="60" fillId="0" borderId="125" xfId="0" applyNumberFormat="1" applyFont="1" applyBorder="1" applyAlignment="1" applyProtection="1">
      <alignment horizontal="right" shrinkToFit="1"/>
      <protection locked="0"/>
    </xf>
    <xf numFmtId="38" fontId="60" fillId="3" borderId="125" xfId="0" applyNumberFormat="1" applyFont="1" applyFill="1" applyBorder="1" applyAlignment="1" applyProtection="1">
      <alignment horizontal="right" shrinkToFit="1"/>
    </xf>
    <xf numFmtId="38" fontId="60" fillId="3" borderId="29" xfId="0" applyNumberFormat="1" applyFont="1" applyFill="1" applyBorder="1" applyAlignment="1" applyProtection="1">
      <alignment horizontal="right" shrinkToFit="1"/>
    </xf>
    <xf numFmtId="38" fontId="60" fillId="0" borderId="32" xfId="0" applyNumberFormat="1" applyFont="1" applyBorder="1" applyAlignment="1" applyProtection="1">
      <alignment horizontal="right" shrinkToFit="1"/>
      <protection locked="0"/>
    </xf>
    <xf numFmtId="38" fontId="60" fillId="0" borderId="37" xfId="0" applyNumberFormat="1" applyFont="1" applyBorder="1" applyAlignment="1" applyProtection="1">
      <alignment horizontal="right" shrinkToFit="1"/>
      <protection locked="0"/>
    </xf>
    <xf numFmtId="38" fontId="60" fillId="0" borderId="33" xfId="0" applyNumberFormat="1" applyFont="1" applyBorder="1" applyAlignment="1" applyProtection="1">
      <alignment horizontal="right" shrinkToFit="1"/>
      <protection locked="0"/>
    </xf>
    <xf numFmtId="38" fontId="60" fillId="0" borderId="36" xfId="0" applyNumberFormat="1" applyFont="1" applyFill="1" applyBorder="1" applyAlignment="1" applyProtection="1">
      <alignment horizontal="right" shrinkToFit="1"/>
      <protection locked="0"/>
    </xf>
    <xf numFmtId="38" fontId="60" fillId="0" borderId="27" xfId="0" applyNumberFormat="1" applyFont="1" applyBorder="1" applyAlignment="1" applyProtection="1">
      <alignment horizontal="right" shrinkToFit="1"/>
      <protection locked="0"/>
    </xf>
    <xf numFmtId="38" fontId="60" fillId="0" borderId="55" xfId="0" applyNumberFormat="1" applyFont="1" applyBorder="1" applyAlignment="1" applyProtection="1">
      <alignment horizontal="right" vertical="center" shrinkToFit="1"/>
      <protection locked="0"/>
    </xf>
    <xf numFmtId="38" fontId="60" fillId="0" borderId="32" xfId="0" applyNumberFormat="1" applyFont="1" applyBorder="1" applyAlignment="1" applyProtection="1">
      <alignment horizontal="right" vertical="center" shrinkToFit="1"/>
      <protection locked="0"/>
    </xf>
    <xf numFmtId="38" fontId="60" fillId="0" borderId="27" xfId="0" applyNumberFormat="1" applyFont="1" applyFill="1" applyBorder="1" applyAlignment="1" applyProtection="1">
      <alignment horizontal="right" vertical="center" shrinkToFit="1"/>
      <protection locked="0"/>
    </xf>
    <xf numFmtId="38" fontId="60" fillId="0" borderId="32" xfId="0" applyNumberFormat="1" applyFont="1" applyFill="1" applyBorder="1" applyAlignment="1" applyProtection="1">
      <alignment horizontal="right" vertical="center" shrinkToFit="1"/>
      <protection locked="0"/>
    </xf>
    <xf numFmtId="38" fontId="60" fillId="16" borderId="55" xfId="0" applyNumberFormat="1" applyFont="1" applyFill="1" applyBorder="1" applyAlignment="1" applyProtection="1">
      <alignment horizontal="right" shrinkToFit="1"/>
    </xf>
    <xf numFmtId="38" fontId="60" fillId="3" borderId="31" xfId="0" applyNumberFormat="1" applyFont="1" applyFill="1" applyBorder="1" applyAlignment="1" applyProtection="1">
      <alignment horizontal="right" vertical="center" shrinkToFit="1"/>
    </xf>
    <xf numFmtId="38" fontId="60" fillId="3" borderId="28" xfId="0" applyNumberFormat="1" applyFont="1" applyFill="1" applyBorder="1" applyAlignment="1" applyProtection="1">
      <alignment horizontal="right" vertical="center" shrinkToFit="1"/>
    </xf>
    <xf numFmtId="38" fontId="60" fillId="3" borderId="0" xfId="0" applyNumberFormat="1" applyFont="1" applyFill="1" applyAlignment="1" applyProtection="1">
      <alignment horizontal="right" vertical="center" shrinkToFit="1"/>
    </xf>
    <xf numFmtId="38" fontId="60" fillId="3" borderId="26" xfId="0" applyNumberFormat="1" applyFont="1" applyFill="1" applyBorder="1" applyAlignment="1" applyProtection="1">
      <alignment horizontal="right" vertical="center" shrinkToFit="1"/>
    </xf>
    <xf numFmtId="38" fontId="60" fillId="3" borderId="39" xfId="0" applyNumberFormat="1" applyFont="1" applyFill="1" applyBorder="1" applyAlignment="1" applyProtection="1">
      <alignment horizontal="right" shrinkToFit="1"/>
    </xf>
    <xf numFmtId="38" fontId="60" fillId="0" borderId="2" xfId="0" applyNumberFormat="1" applyFont="1" applyFill="1" applyBorder="1" applyAlignment="1" applyProtection="1">
      <alignment horizontal="right" vertical="center" shrinkToFit="1"/>
      <protection locked="0"/>
    </xf>
    <xf numFmtId="38" fontId="60" fillId="6" borderId="2" xfId="0" applyNumberFormat="1" applyFont="1" applyFill="1" applyBorder="1" applyAlignment="1" applyProtection="1">
      <alignment horizontal="right" vertical="center" shrinkToFit="1"/>
    </xf>
    <xf numFmtId="38" fontId="60" fillId="0" borderId="122" xfId="0" applyNumberFormat="1" applyFont="1" applyFill="1" applyBorder="1" applyAlignment="1" applyProtection="1">
      <alignment horizontal="right" shrinkToFit="1"/>
      <protection locked="0"/>
    </xf>
    <xf numFmtId="38" fontId="60" fillId="0" borderId="121" xfId="0" applyNumberFormat="1" applyFont="1" applyFill="1" applyBorder="1" applyAlignment="1" applyProtection="1">
      <alignment horizontal="right" shrinkToFit="1"/>
      <protection locked="0"/>
    </xf>
    <xf numFmtId="38" fontId="60" fillId="0" borderId="111" xfId="0" applyNumberFormat="1" applyFont="1" applyFill="1" applyBorder="1" applyAlignment="1" applyProtection="1">
      <alignment horizontal="right" shrinkToFit="1"/>
      <protection locked="0"/>
    </xf>
    <xf numFmtId="3" fontId="60" fillId="3" borderId="125" xfId="0" applyNumberFormat="1" applyFont="1" applyFill="1" applyBorder="1" applyAlignment="1">
      <alignment horizontal="center" shrinkToFit="1"/>
    </xf>
    <xf numFmtId="3" fontId="60" fillId="3" borderId="26" xfId="0" applyNumberFormat="1" applyFont="1" applyFill="1" applyBorder="1" applyAlignment="1">
      <alignment horizontal="center" shrinkToFit="1"/>
    </xf>
    <xf numFmtId="3" fontId="60" fillId="3" borderId="125" xfId="0" applyNumberFormat="1" applyFont="1" applyFill="1" applyBorder="1" applyAlignment="1">
      <alignment horizontal="right" shrinkToFit="1"/>
    </xf>
    <xf numFmtId="38" fontId="60" fillId="16" borderId="2" xfId="0" applyNumberFormat="1" applyFont="1" applyFill="1" applyBorder="1" applyAlignment="1">
      <alignment horizontal="right" shrinkToFit="1"/>
    </xf>
    <xf numFmtId="38" fontId="60" fillId="3" borderId="26" xfId="0" applyNumberFormat="1" applyFont="1" applyFill="1" applyBorder="1" applyAlignment="1">
      <alignment horizontal="right" shrinkToFit="1"/>
    </xf>
    <xf numFmtId="38" fontId="60" fillId="16" borderId="27" xfId="0" applyNumberFormat="1" applyFont="1" applyFill="1" applyBorder="1" applyAlignment="1">
      <alignment horizontal="right" shrinkToFit="1"/>
    </xf>
    <xf numFmtId="38" fontId="60" fillId="3" borderId="28" xfId="0" applyNumberFormat="1" applyFont="1" applyFill="1" applyBorder="1" applyAlignment="1">
      <alignment horizontal="right" shrinkToFit="1"/>
    </xf>
    <xf numFmtId="38" fontId="60" fillId="3" borderId="4" xfId="0" applyNumberFormat="1" applyFont="1" applyFill="1" applyBorder="1" applyAlignment="1">
      <alignment horizontal="right" shrinkToFit="1"/>
    </xf>
    <xf numFmtId="38" fontId="60" fillId="3" borderId="29" xfId="0" applyNumberFormat="1" applyFont="1" applyFill="1" applyBorder="1" applyAlignment="1">
      <alignment horizontal="right" shrinkToFit="1"/>
    </xf>
    <xf numFmtId="38" fontId="60" fillId="16" borderId="4" xfId="0" applyNumberFormat="1" applyFont="1" applyFill="1" applyBorder="1" applyAlignment="1">
      <alignment horizontal="right" shrinkToFit="1"/>
    </xf>
    <xf numFmtId="38" fontId="60" fillId="16" borderId="30" xfId="0" applyNumberFormat="1" applyFont="1" applyFill="1" applyBorder="1" applyAlignment="1">
      <alignment horizontal="right" shrinkToFit="1"/>
    </xf>
    <xf numFmtId="38" fontId="60" fillId="3" borderId="31" xfId="0" applyNumberFormat="1" applyFont="1" applyFill="1" applyBorder="1" applyAlignment="1">
      <alignment horizontal="right" shrinkToFit="1"/>
    </xf>
    <xf numFmtId="38" fontId="60" fillId="16" borderId="32" xfId="0" applyNumberFormat="1" applyFont="1" applyFill="1" applyBorder="1" applyAlignment="1">
      <alignment horizontal="right" shrinkToFit="1"/>
    </xf>
    <xf numFmtId="38" fontId="60" fillId="5" borderId="4" xfId="0" applyNumberFormat="1" applyFont="1" applyFill="1" applyBorder="1" applyAlignment="1" applyProtection="1">
      <alignment horizontal="right" shrinkToFit="1"/>
      <protection locked="0"/>
    </xf>
    <xf numFmtId="38" fontId="60" fillId="6" borderId="28" xfId="0" applyNumberFormat="1" applyFont="1" applyFill="1" applyBorder="1" applyAlignment="1">
      <alignment horizontal="right" shrinkToFit="1"/>
    </xf>
    <xf numFmtId="38" fontId="60" fillId="6" borderId="26" xfId="0" applyNumberFormat="1" applyFont="1" applyFill="1" applyBorder="1" applyAlignment="1">
      <alignment horizontal="right" shrinkToFit="1"/>
    </xf>
    <xf numFmtId="38" fontId="60" fillId="0" borderId="125" xfId="0" applyNumberFormat="1" applyFont="1" applyFill="1" applyBorder="1" applyAlignment="1" applyProtection="1">
      <alignment horizontal="right" shrinkToFit="1"/>
      <protection locked="0"/>
    </xf>
    <xf numFmtId="38" fontId="60" fillId="6" borderId="4" xfId="0" applyNumberFormat="1" applyFont="1" applyFill="1" applyBorder="1" applyAlignment="1">
      <alignment horizontal="right" shrinkToFit="1"/>
    </xf>
    <xf numFmtId="38" fontId="60" fillId="16" borderId="33" xfId="0" applyNumberFormat="1" applyFont="1" applyFill="1" applyBorder="1" applyAlignment="1">
      <alignment horizontal="right" shrinkToFit="1"/>
    </xf>
    <xf numFmtId="38" fontId="60" fillId="16" borderId="26" xfId="0" applyNumberFormat="1" applyFont="1" applyFill="1" applyBorder="1" applyAlignment="1">
      <alignment horizontal="right" shrinkToFit="1"/>
    </xf>
    <xf numFmtId="38" fontId="60" fillId="16" borderId="28" xfId="0" applyNumberFormat="1" applyFont="1" applyFill="1" applyBorder="1" applyAlignment="1">
      <alignment horizontal="right" shrinkToFit="1"/>
    </xf>
    <xf numFmtId="38" fontId="60" fillId="0" borderId="21" xfId="0" applyNumberFormat="1" applyFont="1" applyFill="1" applyBorder="1" applyAlignment="1">
      <alignment horizontal="right" shrinkToFit="1"/>
    </xf>
    <xf numFmtId="38" fontId="60" fillId="23" borderId="19" xfId="0" applyNumberFormat="1" applyFont="1" applyFill="1" applyBorder="1" applyAlignment="1">
      <alignment horizontal="right" shrinkToFit="1"/>
    </xf>
    <xf numFmtId="38" fontId="60" fillId="23" borderId="20" xfId="0" applyNumberFormat="1" applyFont="1" applyFill="1" applyBorder="1" applyAlignment="1">
      <alignment horizontal="right" shrinkToFit="1"/>
    </xf>
    <xf numFmtId="38" fontId="60" fillId="23" borderId="11" xfId="0" applyNumberFormat="1" applyFont="1" applyFill="1" applyBorder="1" applyAlignment="1">
      <alignment horizontal="right" shrinkToFit="1"/>
    </xf>
    <xf numFmtId="38" fontId="60" fillId="3" borderId="2" xfId="0" applyNumberFormat="1" applyFont="1" applyFill="1" applyBorder="1" applyAlignment="1">
      <alignment horizontal="right" shrinkToFit="1"/>
    </xf>
    <xf numFmtId="38" fontId="60" fillId="0" borderId="29" xfId="0" applyNumberFormat="1" applyFont="1" applyBorder="1" applyAlignment="1" applyProtection="1">
      <alignment horizontal="right" shrinkToFit="1"/>
      <protection locked="0"/>
    </xf>
    <xf numFmtId="38" fontId="60" fillId="16" borderId="29" xfId="0" applyNumberFormat="1" applyFont="1" applyFill="1" applyBorder="1" applyAlignment="1">
      <alignment horizontal="right" shrinkToFit="1"/>
    </xf>
    <xf numFmtId="38" fontId="60" fillId="16" borderId="125" xfId="0" applyNumberFormat="1" applyFont="1" applyFill="1" applyBorder="1" applyAlignment="1" applyProtection="1">
      <alignment horizontal="right" shrinkToFit="1"/>
    </xf>
    <xf numFmtId="38" fontId="60" fillId="6" borderId="29" xfId="0" applyNumberFormat="1" applyFont="1" applyFill="1" applyBorder="1" applyAlignment="1">
      <alignment horizontal="right" shrinkToFit="1"/>
    </xf>
    <xf numFmtId="38" fontId="60" fillId="15" borderId="3" xfId="0" applyNumberFormat="1" applyFont="1" applyFill="1" applyBorder="1" applyAlignment="1" applyProtection="1">
      <alignment horizontal="right" shrinkToFit="1"/>
    </xf>
    <xf numFmtId="38" fontId="60" fillId="15" borderId="3" xfId="0" applyNumberFormat="1" applyFont="1" applyFill="1" applyBorder="1" applyAlignment="1">
      <alignment horizontal="right" shrinkToFit="1"/>
    </xf>
    <xf numFmtId="38" fontId="60" fillId="15" borderId="26" xfId="0" applyNumberFormat="1" applyFont="1" applyFill="1" applyBorder="1" applyAlignment="1" applyProtection="1">
      <alignment horizontal="right" shrinkToFit="1"/>
    </xf>
    <xf numFmtId="38" fontId="60" fillId="15" borderId="26" xfId="0" applyNumberFormat="1" applyFont="1" applyFill="1" applyBorder="1" applyAlignment="1">
      <alignment horizontal="right" shrinkToFit="1"/>
    </xf>
    <xf numFmtId="38" fontId="60" fillId="22" borderId="19" xfId="0" applyNumberFormat="1" applyFont="1" applyFill="1" applyBorder="1" applyAlignment="1">
      <alignment horizontal="right" shrinkToFit="1"/>
    </xf>
    <xf numFmtId="38" fontId="60" fillId="22" borderId="20" xfId="0" applyNumberFormat="1" applyFont="1" applyFill="1" applyBorder="1" applyAlignment="1">
      <alignment horizontal="right" shrinkToFit="1"/>
    </xf>
    <xf numFmtId="38" fontId="60" fillId="22" borderId="11" xfId="0" applyNumberFormat="1" applyFont="1" applyFill="1" applyBorder="1" applyAlignment="1">
      <alignment horizontal="right" shrinkToFit="1"/>
    </xf>
    <xf numFmtId="38" fontId="60" fillId="3" borderId="125" xfId="0" applyNumberFormat="1" applyFont="1" applyFill="1" applyBorder="1" applyAlignment="1">
      <alignment horizontal="right" shrinkToFit="1"/>
    </xf>
    <xf numFmtId="38" fontId="60" fillId="3" borderId="3" xfId="0" applyNumberFormat="1" applyFont="1" applyFill="1" applyBorder="1" applyAlignment="1">
      <alignment horizontal="right" shrinkToFit="1"/>
    </xf>
    <xf numFmtId="38" fontId="60" fillId="0" borderId="20" xfId="0" applyNumberFormat="1" applyFont="1" applyFill="1" applyBorder="1" applyAlignment="1">
      <alignment horizontal="right" shrinkToFit="1"/>
    </xf>
    <xf numFmtId="38" fontId="60" fillId="22" borderId="13" xfId="0" applyNumberFormat="1" applyFont="1" applyFill="1" applyBorder="1" applyAlignment="1">
      <alignment horizontal="right" shrinkToFit="1"/>
    </xf>
    <xf numFmtId="38" fontId="60" fillId="22" borderId="21" xfId="0" applyNumberFormat="1" applyFont="1" applyFill="1" applyBorder="1" applyAlignment="1">
      <alignment horizontal="right" shrinkToFit="1"/>
    </xf>
    <xf numFmtId="38" fontId="60" fillId="22" borderId="14" xfId="0" applyNumberFormat="1" applyFont="1" applyFill="1" applyBorder="1" applyAlignment="1">
      <alignment horizontal="right" shrinkToFit="1"/>
    </xf>
    <xf numFmtId="38" fontId="60" fillId="0" borderId="0" xfId="0" applyNumberFormat="1" applyFont="1" applyFill="1" applyBorder="1" applyAlignment="1">
      <alignment horizontal="right" shrinkToFit="1"/>
    </xf>
    <xf numFmtId="38" fontId="60" fillId="16" borderId="3" xfId="0" applyNumberFormat="1" applyFont="1" applyFill="1" applyBorder="1" applyAlignment="1">
      <alignment horizontal="right" shrinkToFit="1"/>
    </xf>
    <xf numFmtId="38" fontId="60" fillId="25" borderId="26" xfId="0" applyNumberFormat="1" applyFont="1" applyFill="1" applyBorder="1" applyAlignment="1">
      <alignment horizontal="right" shrinkToFit="1"/>
    </xf>
    <xf numFmtId="38" fontId="60" fillId="2" borderId="2" xfId="0" applyNumberFormat="1" applyFont="1" applyFill="1" applyBorder="1" applyAlignment="1">
      <alignment horizontal="right" shrinkToFit="1"/>
    </xf>
    <xf numFmtId="0" fontId="62" fillId="6" borderId="0" xfId="0" applyFont="1" applyFill="1" applyAlignment="1">
      <alignment vertical="center" shrinkToFit="1"/>
    </xf>
    <xf numFmtId="38" fontId="60" fillId="6" borderId="0" xfId="8" applyNumberFormat="1" applyFont="1" applyFill="1" applyBorder="1" applyAlignment="1" applyProtection="1">
      <alignment horizontal="right" shrinkToFit="1"/>
    </xf>
    <xf numFmtId="38" fontId="60" fillId="6" borderId="26" xfId="8" applyNumberFormat="1" applyFont="1" applyFill="1" applyBorder="1" applyAlignment="1" applyProtection="1">
      <alignment horizontal="right" shrinkToFit="1"/>
    </xf>
    <xf numFmtId="38" fontId="60" fillId="0" borderId="2" xfId="8" applyNumberFormat="1" applyFont="1" applyFill="1" applyBorder="1" applyAlignment="1" applyProtection="1">
      <alignment horizontal="right" shrinkToFit="1"/>
      <protection locked="0"/>
    </xf>
    <xf numFmtId="38" fontId="60" fillId="16" borderId="125" xfId="0" applyNumberFormat="1" applyFont="1" applyFill="1" applyBorder="1" applyAlignment="1" applyProtection="1">
      <alignment horizontal="right" vertical="center" shrinkToFit="1"/>
      <protection locked="0"/>
    </xf>
    <xf numFmtId="38" fontId="60" fillId="0" borderId="125" xfId="0" applyNumberFormat="1" applyFont="1" applyFill="1" applyBorder="1" applyAlignment="1" applyProtection="1">
      <alignment horizontal="right" vertical="center" shrinkToFit="1"/>
      <protection locked="0"/>
    </xf>
    <xf numFmtId="38" fontId="60" fillId="16" borderId="125" xfId="0" applyNumberFormat="1" applyFont="1" applyFill="1" applyBorder="1" applyAlignment="1" applyProtection="1">
      <alignment horizontal="right" vertical="center" shrinkToFit="1"/>
    </xf>
    <xf numFmtId="38" fontId="60" fillId="16" borderId="2" xfId="0" applyNumberFormat="1" applyFont="1" applyFill="1" applyBorder="1" applyAlignment="1" applyProtection="1">
      <alignment horizontal="right" vertical="center" shrinkToFit="1"/>
      <protection locked="0"/>
    </xf>
    <xf numFmtId="38" fontId="60" fillId="16" borderId="2" xfId="0" applyNumberFormat="1" applyFont="1" applyFill="1" applyBorder="1" applyAlignment="1" applyProtection="1">
      <alignment horizontal="right" vertical="center" shrinkToFit="1"/>
    </xf>
    <xf numFmtId="38" fontId="60" fillId="16" borderId="27" xfId="0" applyNumberFormat="1" applyFont="1" applyFill="1" applyBorder="1" applyAlignment="1" applyProtection="1">
      <alignment horizontal="right" vertical="center" shrinkToFit="1"/>
      <protection locked="0"/>
    </xf>
    <xf numFmtId="42" fontId="54" fillId="11" borderId="110" xfId="0" applyNumberFormat="1" applyFont="1" applyFill="1" applyBorder="1" applyAlignment="1" applyProtection="1">
      <alignment horizontal="right" shrinkToFit="1"/>
      <protection locked="0"/>
    </xf>
    <xf numFmtId="42" fontId="54" fillId="10" borderId="110" xfId="0" applyNumberFormat="1" applyFont="1" applyFill="1" applyBorder="1" applyAlignment="1">
      <alignment horizontal="right"/>
    </xf>
    <xf numFmtId="42" fontId="54" fillId="10" borderId="0" xfId="0" applyNumberFormat="1" applyFont="1" applyFill="1" applyBorder="1" applyAlignment="1" applyProtection="1">
      <alignment horizontal="right" shrinkToFit="1"/>
      <protection locked="0"/>
    </xf>
    <xf numFmtId="38" fontId="69" fillId="6" borderId="10" xfId="0" applyNumberFormat="1" applyFont="1" applyFill="1" applyBorder="1" applyAlignment="1" applyProtection="1">
      <alignment horizontal="center" vertical="center" wrapText="1"/>
      <protection hidden="1"/>
    </xf>
    <xf numFmtId="38" fontId="69" fillId="6" borderId="3" xfId="0" applyNumberFormat="1" applyFont="1" applyFill="1" applyBorder="1" applyAlignment="1" applyProtection="1">
      <alignment horizontal="center" vertical="center" wrapText="1"/>
      <protection hidden="1"/>
    </xf>
    <xf numFmtId="38" fontId="60" fillId="16" borderId="27" xfId="0" applyNumberFormat="1" applyFont="1" applyFill="1" applyBorder="1" applyAlignment="1" applyProtection="1">
      <alignment horizontal="right" vertical="center" shrinkToFit="1"/>
    </xf>
    <xf numFmtId="38" fontId="60" fillId="0" borderId="2" xfId="0" applyNumberFormat="1" applyFont="1" applyBorder="1" applyAlignment="1" applyProtection="1">
      <alignment horizontal="right" vertical="center" shrinkToFit="1"/>
      <protection locked="0"/>
    </xf>
    <xf numFmtId="38" fontId="60" fillId="0" borderId="2" xfId="9" applyNumberFormat="1" applyFont="1" applyFill="1" applyBorder="1" applyAlignment="1" applyProtection="1">
      <alignment horizontal="right" shrinkToFit="1"/>
      <protection locked="0"/>
    </xf>
    <xf numFmtId="3" fontId="60" fillId="0" borderId="2" xfId="9" applyNumberFormat="1" applyFont="1" applyFill="1" applyBorder="1" applyAlignment="1" applyProtection="1">
      <alignment horizontal="right" vertical="center" shrinkToFit="1"/>
      <protection locked="0"/>
    </xf>
    <xf numFmtId="38" fontId="60" fillId="16" borderId="2" xfId="9" applyNumberFormat="1" applyFont="1" applyFill="1" applyBorder="1" applyAlignment="1" applyProtection="1">
      <alignment horizontal="right" shrinkToFit="1"/>
    </xf>
    <xf numFmtId="38" fontId="60" fillId="0" borderId="2" xfId="9" applyNumberFormat="1" applyFont="1" applyFill="1" applyBorder="1" applyAlignment="1" applyProtection="1">
      <alignment horizontal="right" vertical="center" shrinkToFit="1"/>
      <protection locked="0"/>
    </xf>
    <xf numFmtId="0" fontId="60" fillId="0" borderId="2" xfId="0" applyFont="1" applyFill="1" applyBorder="1" applyAlignment="1" applyProtection="1">
      <alignment horizontal="right" shrinkToFit="1"/>
      <protection locked="0"/>
    </xf>
    <xf numFmtId="0" fontId="60" fillId="0" borderId="2" xfId="9" applyFont="1" applyFill="1" applyBorder="1" applyAlignment="1" applyProtection="1">
      <alignment horizontal="right" vertical="top" shrinkToFit="1"/>
      <protection locked="0"/>
    </xf>
    <xf numFmtId="38" fontId="60" fillId="0" borderId="2" xfId="9" applyNumberFormat="1" applyFont="1" applyFill="1" applyBorder="1" applyAlignment="1" applyProtection="1">
      <alignment horizontal="right" vertical="top" shrinkToFit="1"/>
      <protection locked="0"/>
    </xf>
    <xf numFmtId="38" fontId="60" fillId="0" borderId="2" xfId="9" quotePrefix="1" applyNumberFormat="1" applyFont="1" applyFill="1" applyBorder="1" applyAlignment="1" applyProtection="1">
      <alignment horizontal="right" shrinkToFit="1"/>
      <protection locked="0"/>
    </xf>
    <xf numFmtId="38" fontId="60" fillId="6" borderId="2" xfId="9" applyNumberFormat="1" applyFont="1" applyFill="1" applyBorder="1" applyAlignment="1" applyProtection="1">
      <alignment horizontal="right" shrinkToFit="1"/>
    </xf>
    <xf numFmtId="49" fontId="69" fillId="5" borderId="2" xfId="9" applyNumberFormat="1" applyFont="1" applyFill="1" applyBorder="1" applyAlignment="1" applyProtection="1">
      <alignment horizontal="center" vertical="center" wrapText="1"/>
    </xf>
    <xf numFmtId="38" fontId="60" fillId="0" borderId="22" xfId="0" applyNumberFormat="1" applyFont="1" applyBorder="1" applyAlignment="1" applyProtection="1">
      <alignment vertical="center" shrinkToFit="1"/>
      <protection locked="0"/>
    </xf>
    <xf numFmtId="38" fontId="60" fillId="0" borderId="22" xfId="0" applyNumberFormat="1" applyFont="1" applyFill="1" applyBorder="1" applyAlignment="1" applyProtection="1">
      <alignment horizontal="right" vertical="center" shrinkToFit="1"/>
      <protection locked="0"/>
    </xf>
    <xf numFmtId="38" fontId="60" fillId="6" borderId="45" xfId="0" applyNumberFormat="1" applyFont="1" applyFill="1" applyBorder="1" applyAlignment="1" applyProtection="1">
      <alignment vertical="center" shrinkToFit="1"/>
    </xf>
    <xf numFmtId="38" fontId="60" fillId="6" borderId="22" xfId="0" applyNumberFormat="1" applyFont="1" applyFill="1" applyBorder="1" applyAlignment="1" applyProtection="1">
      <alignment vertical="center" shrinkToFit="1"/>
    </xf>
    <xf numFmtId="38" fontId="60" fillId="6" borderId="45" xfId="0" applyNumberFormat="1" applyFont="1" applyFill="1" applyBorder="1" applyAlignment="1" applyProtection="1">
      <alignment horizontal="right" vertical="center" shrinkToFit="1"/>
    </xf>
    <xf numFmtId="38" fontId="60" fillId="6" borderId="8" xfId="0" applyNumberFormat="1" applyFont="1" applyFill="1" applyBorder="1" applyAlignment="1" applyProtection="1">
      <alignment vertical="center" shrinkToFit="1"/>
    </xf>
    <xf numFmtId="38" fontId="60" fillId="0" borderId="22" xfId="0" applyNumberFormat="1" applyFont="1" applyFill="1" applyBorder="1" applyAlignment="1" applyProtection="1">
      <alignment vertical="center" shrinkToFit="1"/>
      <protection locked="0"/>
    </xf>
    <xf numFmtId="38" fontId="60" fillId="6" borderId="8" xfId="0" applyNumberFormat="1" applyFont="1" applyFill="1" applyBorder="1" applyAlignment="1" applyProtection="1">
      <alignment horizontal="right" vertical="center" shrinkToFit="1"/>
    </xf>
    <xf numFmtId="38" fontId="60" fillId="6" borderId="22"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vertical="center" shrinkToFit="1"/>
    </xf>
    <xf numFmtId="38" fontId="60" fillId="0" borderId="7" xfId="0" applyNumberFormat="1" applyFont="1" applyBorder="1" applyAlignment="1" applyProtection="1">
      <alignment vertical="center" shrinkToFit="1"/>
      <protection locked="0"/>
    </xf>
    <xf numFmtId="38" fontId="60" fillId="16" borderId="41" xfId="0" applyNumberFormat="1" applyFont="1" applyFill="1" applyBorder="1" applyAlignment="1" applyProtection="1">
      <alignment vertical="center" shrinkToFit="1"/>
    </xf>
    <xf numFmtId="0" fontId="60" fillId="6" borderId="42" xfId="0" applyFont="1" applyFill="1" applyBorder="1" applyAlignment="1" applyProtection="1">
      <alignment horizontal="right" vertical="center" shrinkToFit="1"/>
    </xf>
    <xf numFmtId="0" fontId="60" fillId="6" borderId="43" xfId="0" applyFont="1" applyFill="1" applyBorder="1" applyAlignment="1" applyProtection="1">
      <alignment horizontal="right" vertical="center" shrinkToFit="1"/>
    </xf>
    <xf numFmtId="0" fontId="60" fillId="6" borderId="40" xfId="0" applyFont="1" applyFill="1" applyBorder="1" applyAlignment="1" applyProtection="1">
      <alignment horizontal="right" vertical="center" shrinkToFit="1"/>
    </xf>
    <xf numFmtId="38" fontId="60" fillId="3" borderId="45" xfId="0" applyNumberFormat="1" applyFont="1" applyFill="1" applyBorder="1" applyAlignment="1" applyProtection="1">
      <alignment vertical="center" shrinkToFit="1"/>
    </xf>
    <xf numFmtId="38" fontId="60" fillId="3" borderId="44" xfId="0" applyNumberFormat="1" applyFont="1" applyFill="1" applyBorder="1" applyAlignment="1" applyProtection="1">
      <alignment vertical="center" shrinkToFit="1"/>
    </xf>
    <xf numFmtId="38" fontId="60" fillId="3" borderId="8" xfId="0" applyNumberFormat="1" applyFont="1" applyFill="1" applyBorder="1" applyAlignment="1" applyProtection="1">
      <alignment horizontal="right" vertical="center" shrinkToFit="1"/>
    </xf>
    <xf numFmtId="38" fontId="60" fillId="3" borderId="44" xfId="0" applyNumberFormat="1" applyFont="1" applyFill="1" applyBorder="1" applyAlignment="1" applyProtection="1">
      <alignment horizontal="right" vertical="center" shrinkToFit="1"/>
    </xf>
    <xf numFmtId="38" fontId="60" fillId="6" borderId="44" xfId="0" applyNumberFormat="1" applyFont="1" applyFill="1" applyBorder="1" applyAlignment="1" applyProtection="1">
      <alignment horizontal="right" vertical="center" shrinkToFit="1"/>
    </xf>
    <xf numFmtId="38" fontId="60" fillId="3" borderId="8" xfId="0" applyNumberFormat="1" applyFont="1" applyFill="1" applyBorder="1" applyAlignment="1" applyProtection="1">
      <alignment vertical="center" shrinkToFit="1"/>
    </xf>
    <xf numFmtId="38" fontId="60" fillId="16" borderId="41" xfId="0" applyNumberFormat="1" applyFont="1" applyFill="1" applyBorder="1" applyAlignment="1" applyProtection="1">
      <alignment horizontal="right" vertical="center" shrinkToFit="1"/>
    </xf>
    <xf numFmtId="38" fontId="60" fillId="0" borderId="8" xfId="0" applyNumberFormat="1" applyFont="1" applyFill="1" applyBorder="1" applyAlignment="1" applyProtection="1">
      <alignment horizontal="right" vertical="center" shrinkToFit="1"/>
      <protection locked="0"/>
    </xf>
    <xf numFmtId="38" fontId="60" fillId="16" borderId="60" xfId="0" applyNumberFormat="1" applyFont="1" applyFill="1" applyBorder="1" applyAlignment="1" applyProtection="1">
      <alignment shrinkToFit="1"/>
    </xf>
    <xf numFmtId="38" fontId="60" fillId="0" borderId="8" xfId="0" applyNumberFormat="1" applyFont="1" applyFill="1" applyBorder="1" applyAlignment="1" applyProtection="1">
      <alignment vertical="center" shrinkToFit="1"/>
      <protection locked="0"/>
    </xf>
    <xf numFmtId="38" fontId="60" fillId="0" borderId="44" xfId="0" applyNumberFormat="1" applyFont="1" applyFill="1" applyBorder="1" applyAlignment="1" applyProtection="1">
      <alignment horizontal="right" vertical="center" shrinkToFit="1"/>
      <protection locked="0"/>
    </xf>
    <xf numFmtId="38" fontId="60" fillId="0" borderId="8"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vertical="center" shrinkToFit="1"/>
      <protection locked="0"/>
    </xf>
    <xf numFmtId="38" fontId="60" fillId="0" borderId="22" xfId="0" applyNumberFormat="1" applyFont="1" applyBorder="1" applyAlignment="1" applyProtection="1">
      <alignment horizontal="right" shrinkToFit="1"/>
      <protection locked="0"/>
    </xf>
    <xf numFmtId="38" fontId="60" fillId="16" borderId="41" xfId="0" applyNumberFormat="1" applyFont="1" applyFill="1" applyBorder="1" applyAlignment="1" applyProtection="1">
      <alignment horizontal="right" shrinkToFit="1"/>
    </xf>
    <xf numFmtId="3" fontId="67" fillId="16" borderId="9" xfId="10" applyNumberFormat="1" applyFont="1" applyFill="1" applyBorder="1" applyAlignment="1" applyProtection="1">
      <alignment vertical="center" shrinkToFit="1"/>
    </xf>
    <xf numFmtId="3" fontId="67" fillId="16" borderId="6" xfId="10" applyNumberFormat="1" applyFont="1" applyFill="1" applyBorder="1" applyAlignment="1" applyProtection="1">
      <alignment vertical="center" shrinkToFit="1"/>
    </xf>
    <xf numFmtId="3" fontId="69" fillId="16" borderId="57" xfId="10" applyNumberFormat="1" applyFont="1" applyFill="1" applyBorder="1" applyAlignment="1" applyProtection="1">
      <alignment vertical="center" shrinkToFit="1"/>
    </xf>
    <xf numFmtId="0" fontId="67" fillId="0" borderId="0" xfId="10" applyFont="1" applyFill="1" applyAlignment="1">
      <alignment vertical="center" shrinkToFit="1"/>
    </xf>
    <xf numFmtId="0" fontId="67" fillId="0" borderId="0" xfId="10" applyFont="1" applyFill="1" applyBorder="1" applyAlignment="1">
      <alignment vertical="center" shrinkToFit="1"/>
    </xf>
    <xf numFmtId="38" fontId="67" fillId="16" borderId="9" xfId="10" applyNumberFormat="1" applyFont="1" applyFill="1" applyBorder="1" applyAlignment="1" applyProtection="1">
      <alignment horizontal="right" vertical="center" shrinkToFit="1"/>
    </xf>
    <xf numFmtId="38" fontId="67" fillId="16" borderId="0" xfId="10" applyNumberFormat="1" applyFont="1" applyFill="1" applyAlignment="1">
      <alignment vertical="top" shrinkToFit="1"/>
    </xf>
    <xf numFmtId="38" fontId="67" fillId="16" borderId="6" xfId="10" applyNumberFormat="1" applyFont="1" applyFill="1" applyBorder="1" applyAlignment="1" applyProtection="1">
      <alignment horizontal="right" vertical="center" shrinkToFit="1"/>
    </xf>
    <xf numFmtId="38" fontId="67" fillId="16" borderId="6" xfId="10" applyNumberFormat="1" applyFont="1" applyFill="1" applyBorder="1" applyAlignment="1" applyProtection="1">
      <alignment horizontal="right" shrinkToFit="1"/>
    </xf>
    <xf numFmtId="38" fontId="67" fillId="16" borderId="0" xfId="10" applyNumberFormat="1" applyFont="1" applyFill="1" applyAlignment="1">
      <alignment horizontal="right" shrinkToFit="1"/>
    </xf>
    <xf numFmtId="38" fontId="67" fillId="16" borderId="9" xfId="10" applyNumberFormat="1" applyFont="1" applyFill="1" applyBorder="1" applyAlignment="1" applyProtection="1">
      <alignment horizontal="right" shrinkToFit="1"/>
    </xf>
    <xf numFmtId="38" fontId="67" fillId="16" borderId="6" xfId="10" applyNumberFormat="1" applyFont="1" applyFill="1" applyBorder="1" applyAlignment="1">
      <alignment horizontal="right" shrinkToFit="1"/>
    </xf>
    <xf numFmtId="38" fontId="67" fillId="16" borderId="145" xfId="10" applyNumberFormat="1" applyFont="1" applyFill="1" applyBorder="1" applyAlignment="1" applyProtection="1">
      <alignment horizontal="right" shrinkToFit="1"/>
    </xf>
    <xf numFmtId="38" fontId="69" fillId="16" borderId="47" xfId="10" applyNumberFormat="1" applyFont="1" applyFill="1" applyBorder="1" applyAlignment="1">
      <alignment horizontal="right" shrinkToFit="1"/>
    </xf>
    <xf numFmtId="38" fontId="67" fillId="16" borderId="58" xfId="10" applyNumberFormat="1" applyFont="1" applyFill="1" applyBorder="1" applyAlignment="1" applyProtection="1">
      <alignment horizontal="right" shrinkToFit="1"/>
    </xf>
    <xf numFmtId="40" fontId="67" fillId="0" borderId="9" xfId="10" applyNumberFormat="1" applyFont="1" applyFill="1" applyBorder="1" applyAlignment="1" applyProtection="1">
      <alignment horizontal="right" shrinkToFit="1"/>
      <protection locked="0"/>
    </xf>
    <xf numFmtId="40" fontId="69" fillId="16" borderId="47" xfId="10" applyNumberFormat="1" applyFont="1" applyFill="1" applyBorder="1" applyAlignment="1" applyProtection="1">
      <alignment horizontal="right" shrinkToFit="1"/>
    </xf>
    <xf numFmtId="4" fontId="69" fillId="0" borderId="0" xfId="10" applyNumberFormat="1" applyFont="1" applyFill="1" applyBorder="1" applyAlignment="1" applyProtection="1">
      <alignment vertical="center" shrinkToFit="1"/>
    </xf>
    <xf numFmtId="38" fontId="67" fillId="16" borderId="9" xfId="11" applyNumberFormat="1" applyFont="1" applyFill="1" applyBorder="1" applyAlignment="1" applyProtection="1">
      <alignment horizontal="right" shrinkToFit="1"/>
    </xf>
    <xf numFmtId="38" fontId="67" fillId="16" borderId="6" xfId="11" applyNumberFormat="1" applyFont="1" applyFill="1" applyBorder="1" applyAlignment="1" applyProtection="1">
      <alignment horizontal="right" shrinkToFit="1"/>
    </xf>
    <xf numFmtId="38" fontId="67" fillId="0" borderId="145" xfId="11" applyNumberFormat="1" applyFont="1" applyFill="1" applyBorder="1" applyAlignment="1" applyProtection="1">
      <alignment horizontal="right" shrinkToFit="1"/>
      <protection locked="0"/>
    </xf>
    <xf numFmtId="38" fontId="67" fillId="0" borderId="0" xfId="11" applyNumberFormat="1" applyFont="1" applyFill="1" applyAlignment="1">
      <alignment horizontal="right" shrinkToFit="1"/>
    </xf>
    <xf numFmtId="38" fontId="69" fillId="16" borderId="9" xfId="11" applyNumberFormat="1" applyFont="1" applyFill="1" applyBorder="1" applyAlignment="1" applyProtection="1">
      <alignment horizontal="right" shrinkToFit="1"/>
    </xf>
    <xf numFmtId="40" fontId="67" fillId="16" borderId="9" xfId="11" applyNumberFormat="1" applyFont="1" applyFill="1" applyBorder="1" applyAlignment="1" applyProtection="1">
      <alignment horizontal="right" shrinkToFit="1"/>
    </xf>
    <xf numFmtId="40" fontId="69" fillId="16" borderId="57" xfId="11" applyNumberFormat="1" applyFont="1" applyFill="1" applyBorder="1" applyAlignment="1" applyProtection="1">
      <alignment horizontal="right" shrinkToFit="1"/>
    </xf>
    <xf numFmtId="0" fontId="69" fillId="16" borderId="0" xfId="10" applyFont="1" applyFill="1" applyAlignment="1" applyProtection="1">
      <alignment horizontal="right" vertical="center"/>
      <protection hidden="1"/>
    </xf>
    <xf numFmtId="38" fontId="60" fillId="0" borderId="13" xfId="0" applyNumberFormat="1" applyFont="1" applyBorder="1" applyAlignment="1" applyProtection="1">
      <alignment vertical="center" shrinkToFit="1"/>
      <protection locked="0"/>
    </xf>
    <xf numFmtId="38" fontId="60" fillId="19" borderId="13" xfId="0" applyNumberFormat="1" applyFont="1" applyFill="1" applyBorder="1" applyAlignment="1" applyProtection="1">
      <alignment shrinkToFit="1"/>
      <protection locked="0"/>
    </xf>
    <xf numFmtId="0" fontId="60" fillId="16" borderId="124" xfId="0" applyFont="1" applyFill="1" applyBorder="1" applyAlignment="1">
      <alignment shrinkToFit="1"/>
    </xf>
    <xf numFmtId="37" fontId="60" fillId="16" borderId="124" xfId="0" applyNumberFormat="1" applyFont="1" applyFill="1" applyBorder="1" applyAlignment="1">
      <alignment shrinkToFit="1"/>
    </xf>
    <xf numFmtId="37" fontId="60" fillId="16" borderId="126" xfId="0" applyNumberFormat="1" applyFont="1" applyFill="1" applyBorder="1" applyAlignment="1">
      <alignment shrinkToFit="1"/>
    </xf>
    <xf numFmtId="0" fontId="60" fillId="16" borderId="14" xfId="0" applyFont="1" applyFill="1" applyBorder="1" applyAlignment="1">
      <alignment shrinkToFit="1"/>
    </xf>
    <xf numFmtId="0" fontId="60" fillId="16" borderId="21" xfId="0" applyFont="1" applyFill="1" applyBorder="1" applyAlignment="1">
      <alignment shrinkToFit="1"/>
    </xf>
    <xf numFmtId="37" fontId="60" fillId="16" borderId="14" xfId="0" applyNumberFormat="1" applyFont="1" applyFill="1" applyBorder="1" applyAlignment="1">
      <alignment shrinkToFit="1"/>
    </xf>
    <xf numFmtId="37" fontId="60" fillId="16" borderId="21" xfId="0" applyNumberFormat="1" applyFont="1" applyFill="1" applyBorder="1" applyAlignment="1">
      <alignment shrinkToFit="1"/>
    </xf>
    <xf numFmtId="38" fontId="60" fillId="16" borderId="14" xfId="0" applyNumberFormat="1" applyFont="1" applyFill="1" applyBorder="1" applyAlignment="1">
      <alignment shrinkToFit="1"/>
    </xf>
    <xf numFmtId="38" fontId="60" fillId="16" borderId="18" xfId="0" applyNumberFormat="1" applyFont="1" applyFill="1" applyBorder="1" applyAlignment="1">
      <alignment shrinkToFit="1"/>
    </xf>
    <xf numFmtId="10" fontId="59" fillId="16" borderId="14" xfId="0" applyNumberFormat="1" applyFont="1" applyFill="1" applyBorder="1" applyAlignment="1">
      <alignment horizontal="left" shrinkToFit="1"/>
    </xf>
    <xf numFmtId="0" fontId="105" fillId="22" borderId="0" xfId="18" applyFont="1" applyFill="1" applyAlignment="1" applyProtection="1">
      <alignment horizontal="centerContinuous" vertical="center"/>
      <protection hidden="1"/>
    </xf>
    <xf numFmtId="38" fontId="60" fillId="16" borderId="22" xfId="3" applyNumberFormat="1" applyFont="1" applyFill="1" applyBorder="1" applyAlignment="1">
      <alignment horizontal="right" vertical="center" shrinkToFit="1"/>
    </xf>
    <xf numFmtId="38" fontId="60" fillId="16" borderId="41" xfId="3" applyNumberFormat="1" applyFont="1" applyFill="1" applyBorder="1" applyAlignment="1">
      <alignment horizontal="right" vertical="center" shrinkToFit="1"/>
    </xf>
    <xf numFmtId="38" fontId="60" fillId="16" borderId="75"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60" fillId="16" borderId="60"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0" fontId="69" fillId="20" borderId="44" xfId="3" applyFont="1" applyFill="1" applyBorder="1" applyAlignment="1" applyProtection="1">
      <alignment horizontal="center"/>
      <protection hidden="1"/>
    </xf>
    <xf numFmtId="0" fontId="69" fillId="21" borderId="44" xfId="3" applyFont="1" applyFill="1" applyBorder="1" applyAlignment="1" applyProtection="1">
      <alignment horizontal="center"/>
      <protection hidden="1"/>
    </xf>
    <xf numFmtId="169" fontId="67" fillId="0" borderId="8" xfId="3" applyNumberFormat="1" applyFont="1" applyBorder="1" applyAlignment="1" applyProtection="1">
      <alignment horizontal="center" shrinkToFit="1"/>
      <protection locked="0"/>
    </xf>
    <xf numFmtId="1" fontId="67" fillId="0" borderId="8" xfId="3" applyNumberFormat="1" applyFont="1" applyBorder="1" applyAlignment="1" applyProtection="1">
      <alignment horizontal="center" shrinkToFit="1"/>
      <protection locked="0"/>
    </xf>
    <xf numFmtId="3" fontId="67" fillId="0" borderId="8"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181" fontId="20" fillId="0" borderId="0" xfId="12" applyNumberFormat="1" applyFont="1" applyBorder="1" applyAlignment="1" applyProtection="1">
      <alignment vertical="center"/>
    </xf>
    <xf numFmtId="181" fontId="21" fillId="20" borderId="0" xfId="0" applyNumberFormat="1" applyFont="1" applyFill="1" applyAlignment="1">
      <alignment shrinkToFit="1"/>
    </xf>
    <xf numFmtId="181" fontId="0" fillId="20" borderId="0" xfId="0" applyNumberFormat="1" applyFill="1" applyAlignment="1">
      <alignment shrinkToFit="1"/>
    </xf>
    <xf numFmtId="0" fontId="40" fillId="0" borderId="0" xfId="0" applyFont="1" applyFill="1"/>
    <xf numFmtId="0" fontId="17" fillId="0" borderId="17" xfId="12" applyFont="1" applyBorder="1" applyAlignment="1" applyProtection="1">
      <alignment horizontal="left" vertical="center"/>
    </xf>
    <xf numFmtId="41" fontId="16" fillId="0" borderId="0" xfId="0" applyNumberFormat="1" applyFont="1" applyAlignment="1">
      <alignment horizontal="right"/>
    </xf>
    <xf numFmtId="41" fontId="16" fillId="0" borderId="0" xfId="0" applyNumberFormat="1" applyFont="1" applyFill="1" applyAlignment="1">
      <alignment horizontal="right"/>
    </xf>
    <xf numFmtId="0" fontId="17" fillId="0" borderId="123" xfId="12" applyFont="1" applyFill="1" applyBorder="1" applyAlignment="1" applyProtection="1">
      <alignment vertical="center"/>
      <protection hidden="1"/>
    </xf>
    <xf numFmtId="0" fontId="18" fillId="0" borderId="0" xfId="12" applyFont="1" applyFill="1" applyBorder="1" applyAlignment="1" applyProtection="1">
      <alignment horizontal="left" vertical="center"/>
      <protection hidden="1"/>
    </xf>
    <xf numFmtId="0" fontId="17" fillId="0" borderId="0" xfId="12" applyFont="1" applyFill="1" applyBorder="1" applyAlignment="1" applyProtection="1">
      <alignment vertical="center"/>
    </xf>
    <xf numFmtId="0" fontId="67" fillId="0" borderId="0" xfId="0" applyFont="1" applyFill="1" applyAlignment="1" applyProtection="1">
      <alignment horizontal="left" vertical="center"/>
      <protection hidden="1"/>
    </xf>
    <xf numFmtId="0" fontId="62" fillId="0" borderId="0" xfId="0" applyFont="1" applyFill="1" applyBorder="1" applyAlignment="1" applyProtection="1">
      <alignment vertical="center"/>
    </xf>
    <xf numFmtId="0" fontId="60" fillId="0" borderId="0" xfId="0" applyFont="1" applyFill="1" applyBorder="1" applyAlignment="1" applyProtection="1">
      <alignment horizontal="left" vertical="top"/>
    </xf>
    <xf numFmtId="0" fontId="62" fillId="0" borderId="0" xfId="0" applyFont="1" applyFill="1" applyBorder="1" applyAlignment="1">
      <alignment horizontal="left" vertical="top"/>
    </xf>
    <xf numFmtId="0" fontId="65" fillId="0" borderId="0" xfId="0" applyFont="1" applyFill="1" applyBorder="1" applyAlignment="1" applyProtection="1">
      <alignment vertical="center"/>
    </xf>
    <xf numFmtId="0" fontId="70" fillId="0" borderId="0" xfId="0" applyFont="1" applyFill="1" applyBorder="1" applyAlignment="1" applyProtection="1">
      <alignment horizontal="right"/>
      <protection hidden="1"/>
    </xf>
    <xf numFmtId="0" fontId="67" fillId="0" borderId="0" xfId="0" applyFont="1" applyFill="1" applyAlignment="1" applyProtection="1">
      <alignment vertical="center"/>
    </xf>
    <xf numFmtId="0" fontId="69" fillId="0" borderId="20" xfId="0" applyFont="1" applyFill="1" applyBorder="1" applyAlignment="1" applyProtection="1">
      <alignment horizontal="left" vertical="center" indent="2"/>
    </xf>
    <xf numFmtId="0" fontId="69" fillId="0" borderId="2" xfId="0" applyNumberFormat="1" applyFont="1" applyFill="1" applyBorder="1" applyAlignment="1" applyProtection="1">
      <alignment horizontal="center" vertical="center" wrapText="1"/>
      <protection hidden="1"/>
    </xf>
    <xf numFmtId="0" fontId="62" fillId="0" borderId="0" xfId="0" applyFont="1" applyFill="1" applyProtection="1"/>
    <xf numFmtId="0" fontId="59" fillId="0" borderId="8" xfId="0" applyFont="1" applyFill="1" applyBorder="1" applyAlignment="1" applyProtection="1">
      <alignment horizontal="center" vertical="center" wrapText="1"/>
      <protection hidden="1"/>
    </xf>
    <xf numFmtId="0" fontId="69" fillId="0" borderId="0" xfId="10" applyFont="1" applyFill="1" applyAlignment="1" applyProtection="1">
      <alignment vertical="center"/>
      <protection hidden="1"/>
    </xf>
    <xf numFmtId="0" fontId="69" fillId="0" borderId="0" xfId="11" applyFont="1" applyFill="1" applyAlignment="1">
      <alignment vertical="center"/>
    </xf>
    <xf numFmtId="0" fontId="69" fillId="0" borderId="0" xfId="11" applyFont="1" applyFill="1" applyAlignment="1">
      <alignment horizontal="right" vertical="center"/>
    </xf>
    <xf numFmtId="0" fontId="69" fillId="0" borderId="0" xfId="0" applyFont="1" applyFill="1" applyBorder="1" applyAlignment="1" applyProtection="1">
      <alignment horizontal="left" vertical="center"/>
      <protection hidden="1"/>
    </xf>
    <xf numFmtId="0" fontId="69" fillId="0" borderId="0" xfId="10" applyFont="1" applyFill="1" applyAlignment="1">
      <alignment vertical="center"/>
    </xf>
    <xf numFmtId="0" fontId="60" fillId="0" borderId="0" xfId="0" applyFont="1" applyFill="1"/>
    <xf numFmtId="0" fontId="108" fillId="0" borderId="0" xfId="18" applyFont="1" applyFill="1"/>
    <xf numFmtId="0" fontId="144" fillId="0" borderId="0" xfId="18" applyFont="1"/>
    <xf numFmtId="0" fontId="108" fillId="0" borderId="0" xfId="18" applyFont="1" applyProtection="1"/>
    <xf numFmtId="0" fontId="11" fillId="0" borderId="0" xfId="19" applyFont="1" applyAlignment="1">
      <alignment vertical="center"/>
    </xf>
    <xf numFmtId="182" fontId="11" fillId="0" borderId="0" xfId="19" applyNumberFormat="1" applyAlignment="1">
      <alignment vertical="center"/>
    </xf>
    <xf numFmtId="0" fontId="11" fillId="0" borderId="0" xfId="19" applyAlignment="1">
      <alignment vertical="center"/>
    </xf>
    <xf numFmtId="0" fontId="11" fillId="0" borderId="0" xfId="19"/>
    <xf numFmtId="0" fontId="11" fillId="0" borderId="0" xfId="19" applyAlignment="1">
      <alignment horizontal="center" vertical="center" wrapText="1"/>
    </xf>
    <xf numFmtId="182" fontId="11" fillId="0" borderId="0" xfId="19" applyNumberFormat="1" applyAlignment="1">
      <alignment horizontal="center" vertical="center" wrapText="1"/>
    </xf>
    <xf numFmtId="0" fontId="11" fillId="0" borderId="0" xfId="19" applyAlignment="1">
      <alignment horizontal="center" vertical="top" wrapText="1"/>
    </xf>
    <xf numFmtId="182" fontId="11" fillId="0" borderId="0" xfId="19" applyNumberFormat="1" applyAlignment="1">
      <alignment horizontal="center" vertical="top" wrapText="1"/>
    </xf>
    <xf numFmtId="0" fontId="104" fillId="0" borderId="138" xfId="19" applyFont="1" applyBorder="1" applyAlignment="1">
      <alignment horizontal="left" vertical="top"/>
    </xf>
    <xf numFmtId="182" fontId="131" fillId="0" borderId="139" xfId="19" applyNumberFormat="1" applyFont="1" applyBorder="1" applyAlignment="1">
      <alignment horizontal="center" vertical="top"/>
    </xf>
    <xf numFmtId="0" fontId="131" fillId="0" borderId="139" xfId="19" applyFont="1" applyBorder="1" applyAlignment="1">
      <alignment horizontal="center" vertical="top"/>
    </xf>
    <xf numFmtId="0" fontId="131" fillId="0" borderId="140" xfId="19" applyFont="1" applyBorder="1" applyAlignment="1">
      <alignment horizontal="center" vertical="top"/>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182" fontId="132" fillId="0" borderId="0" xfId="19" applyNumberFormat="1"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130" fillId="22" borderId="154" xfId="19" applyFont="1" applyFill="1" applyBorder="1" applyAlignment="1">
      <alignment horizontal="center" vertical="center" wrapText="1"/>
    </xf>
    <xf numFmtId="182" fontId="130" fillId="22" borderId="154" xfId="19" applyNumberFormat="1" applyFont="1" applyFill="1" applyBorder="1" applyAlignment="1">
      <alignment horizontal="center" vertical="center" wrapText="1"/>
    </xf>
    <xf numFmtId="38" fontId="130" fillId="22" borderId="154" xfId="19" applyNumberFormat="1" applyFont="1" applyFill="1" applyBorder="1" applyAlignment="1">
      <alignment horizontal="center" vertical="center" wrapText="1"/>
    </xf>
    <xf numFmtId="0" fontId="132" fillId="20" borderId="155" xfId="19" applyFont="1" applyFill="1" applyBorder="1" applyAlignment="1" applyProtection="1">
      <alignment horizontal="left" vertical="top" wrapText="1"/>
    </xf>
    <xf numFmtId="0" fontId="132" fillId="20" borderId="155" xfId="19" applyFont="1" applyFill="1" applyBorder="1" applyAlignment="1" applyProtection="1">
      <alignment vertical="top"/>
    </xf>
    <xf numFmtId="38" fontId="132" fillId="20" borderId="155" xfId="19" applyNumberFormat="1" applyFont="1" applyFill="1" applyBorder="1" applyAlignment="1" applyProtection="1">
      <alignment horizontal="right" vertical="top"/>
    </xf>
    <xf numFmtId="38" fontId="132" fillId="20" borderId="155" xfId="19" applyNumberFormat="1" applyFont="1" applyFill="1" applyBorder="1" applyAlignment="1" applyProtection="1">
      <alignment vertical="top"/>
    </xf>
    <xf numFmtId="0" fontId="11" fillId="0" borderId="155" xfId="19" applyFont="1" applyBorder="1" applyAlignment="1" applyProtection="1">
      <alignment horizontal="left" vertical="top" wrapText="1"/>
      <protection locked="0"/>
    </xf>
    <xf numFmtId="0" fontId="11" fillId="0" borderId="155" xfId="19" applyFont="1" applyBorder="1" applyAlignment="1" applyProtection="1">
      <alignment vertical="top"/>
      <protection locked="0"/>
    </xf>
    <xf numFmtId="38" fontId="11" fillId="0" borderId="155" xfId="19" applyNumberFormat="1" applyBorder="1" applyAlignment="1" applyProtection="1">
      <alignment horizontal="right" vertical="top"/>
      <protection locked="0"/>
    </xf>
    <xf numFmtId="0" fontId="11" fillId="0" borderId="0" xfId="19" quotePrefix="1" applyNumberFormat="1" applyFont="1"/>
    <xf numFmtId="0" fontId="11" fillId="0" borderId="155" xfId="19" applyBorder="1" applyAlignment="1" applyProtection="1">
      <alignment horizontal="left" vertical="top" wrapText="1"/>
      <protection locked="0"/>
    </xf>
    <xf numFmtId="0" fontId="11" fillId="0" borderId="155" xfId="19" applyBorder="1" applyAlignment="1" applyProtection="1">
      <alignment vertical="top"/>
      <protection locked="0"/>
    </xf>
    <xf numFmtId="0" fontId="11" fillId="16" borderId="156" xfId="19" applyFill="1" applyBorder="1" applyAlignment="1" applyProtection="1">
      <alignment horizontal="left" vertical="top" wrapText="1"/>
    </xf>
    <xf numFmtId="0" fontId="11" fillId="16" borderId="156" xfId="19" applyFill="1" applyBorder="1" applyAlignment="1" applyProtection="1">
      <alignment vertical="top"/>
    </xf>
    <xf numFmtId="38" fontId="11" fillId="16" borderId="156" xfId="19" applyNumberFormat="1" applyFill="1" applyBorder="1" applyAlignment="1" applyProtection="1">
      <alignment horizontal="right" vertical="top"/>
    </xf>
    <xf numFmtId="38" fontId="11" fillId="16" borderId="156" xfId="19" applyNumberFormat="1" applyFont="1" applyFill="1" applyBorder="1" applyAlignment="1" applyProtection="1">
      <alignment horizontal="right" vertical="top"/>
    </xf>
    <xf numFmtId="38" fontId="11" fillId="16" borderId="156" xfId="19" applyNumberFormat="1" applyFill="1" applyBorder="1" applyAlignment="1" applyProtection="1">
      <alignment vertical="top"/>
    </xf>
    <xf numFmtId="0" fontId="11" fillId="0" borderId="0" xfId="19" applyAlignment="1">
      <alignment horizontal="left" vertical="top" wrapText="1"/>
    </xf>
    <xf numFmtId="182" fontId="11" fillId="0" borderId="0" xfId="19" applyNumberFormat="1" applyAlignment="1">
      <alignment vertical="top"/>
    </xf>
    <xf numFmtId="0" fontId="11" fillId="0" borderId="0" xfId="19" applyAlignment="1">
      <alignment vertical="top"/>
    </xf>
    <xf numFmtId="38" fontId="11" fillId="0" borderId="0" xfId="19" applyNumberFormat="1" applyAlignment="1">
      <alignment horizontal="right" vertical="top"/>
    </xf>
    <xf numFmtId="183" fontId="11" fillId="0" borderId="0" xfId="19" applyNumberFormat="1"/>
    <xf numFmtId="0" fontId="143" fillId="0" borderId="0" xfId="0" applyFont="1"/>
    <xf numFmtId="0" fontId="90" fillId="0" borderId="2" xfId="0" applyFont="1" applyBorder="1" applyAlignment="1">
      <alignment horizontal="left" wrapText="1"/>
    </xf>
    <xf numFmtId="0" fontId="145" fillId="0" borderId="96" xfId="19" applyFont="1" applyBorder="1" applyAlignment="1">
      <alignment vertical="top"/>
    </xf>
    <xf numFmtId="0" fontId="145" fillId="0" borderId="0" xfId="19" applyFont="1" applyBorder="1" applyAlignment="1">
      <alignment vertical="top"/>
    </xf>
    <xf numFmtId="41" fontId="54" fillId="11" borderId="110" xfId="0" applyNumberFormat="1" applyFont="1" applyFill="1" applyBorder="1" applyAlignment="1" applyProtection="1">
      <alignment horizontal="right" shrinkToFit="1"/>
      <protection locked="0"/>
    </xf>
    <xf numFmtId="41" fontId="54" fillId="10" borderId="0" xfId="0" applyNumberFormat="1" applyFont="1" applyFill="1" applyBorder="1" applyAlignment="1">
      <alignment horizontal="right" shrinkToFit="1"/>
    </xf>
    <xf numFmtId="38" fontId="11" fillId="16" borderId="155" xfId="19" applyNumberFormat="1" applyFill="1" applyBorder="1" applyAlignment="1" applyProtection="1">
      <alignment horizontal="right" vertical="top"/>
    </xf>
    <xf numFmtId="184" fontId="132" fillId="20" borderId="155" xfId="19" applyNumberFormat="1" applyFont="1" applyFill="1" applyBorder="1" applyAlignment="1" applyProtection="1">
      <alignment horizontal="center" vertical="top"/>
    </xf>
    <xf numFmtId="184" fontId="11" fillId="0" borderId="155" xfId="19" applyNumberFormat="1" applyFont="1" applyBorder="1" applyAlignment="1" applyProtection="1">
      <alignment horizontal="center" vertical="top"/>
      <protection locked="0"/>
    </xf>
    <xf numFmtId="184" fontId="11" fillId="0" borderId="155" xfId="19" applyNumberFormat="1" applyFont="1" applyBorder="1" applyAlignment="1" applyProtection="1">
      <alignment horizontal="center" vertical="center"/>
      <protection locked="0"/>
    </xf>
    <xf numFmtId="184" fontId="11" fillId="0" borderId="155" xfId="19" applyNumberFormat="1" applyBorder="1" applyAlignment="1" applyProtection="1">
      <alignment horizontal="center" vertical="center"/>
      <protection locked="0"/>
    </xf>
    <xf numFmtId="184" fontId="11" fillId="16" borderId="156" xfId="19" applyNumberFormat="1" applyFill="1" applyBorder="1" applyAlignment="1" applyProtection="1">
      <alignment vertical="top"/>
    </xf>
    <xf numFmtId="0" fontId="10" fillId="0" borderId="0" xfId="19" applyFont="1" applyAlignment="1">
      <alignment horizontal="left" vertical="center"/>
    </xf>
    <xf numFmtId="0" fontId="9" fillId="0" borderId="155" xfId="19" applyFont="1" applyBorder="1" applyAlignment="1" applyProtection="1">
      <alignment vertical="top"/>
      <protection locked="0"/>
    </xf>
    <xf numFmtId="0" fontId="69" fillId="0" borderId="44" xfId="3" applyFont="1" applyFill="1" applyBorder="1" applyAlignment="1" applyProtection="1">
      <alignment horizontal="center"/>
      <protection hidden="1"/>
    </xf>
    <xf numFmtId="0" fontId="62" fillId="0" borderId="0" xfId="3" applyFont="1" applyFill="1" applyAlignment="1" applyProtection="1">
      <alignment horizontal="center"/>
    </xf>
    <xf numFmtId="0" fontId="69" fillId="0" borderId="142" xfId="3" applyFont="1" applyFill="1" applyBorder="1" applyAlignment="1" applyProtection="1">
      <alignment horizontal="centerContinuous"/>
    </xf>
    <xf numFmtId="169" fontId="69" fillId="0" borderId="0" xfId="3" applyNumberFormat="1" applyFont="1" applyFill="1" applyProtection="1">
      <protection hidden="1"/>
    </xf>
    <xf numFmtId="0" fontId="62" fillId="0" borderId="0" xfId="3" applyFont="1" applyFill="1" applyProtection="1">
      <protection hidden="1"/>
    </xf>
    <xf numFmtId="0" fontId="70" fillId="0" borderId="0" xfId="3" applyFont="1" applyFill="1" applyBorder="1" applyAlignment="1" applyProtection="1">
      <alignment horizontal="right"/>
      <protection hidden="1"/>
    </xf>
    <xf numFmtId="38" fontId="60" fillId="0" borderId="2" xfId="0" applyNumberFormat="1" applyFont="1" applyBorder="1" applyAlignment="1" applyProtection="1">
      <alignment horizontal="right"/>
      <protection locked="0"/>
    </xf>
    <xf numFmtId="38" fontId="60" fillId="0" borderId="125" xfId="0" applyNumberFormat="1" applyFont="1" applyBorder="1" applyAlignment="1" applyProtection="1">
      <alignment horizontal="right"/>
      <protection locked="0"/>
    </xf>
    <xf numFmtId="38" fontId="60" fillId="0" borderId="14" xfId="0" applyNumberFormat="1" applyFont="1" applyBorder="1" applyAlignment="1" applyProtection="1">
      <alignment horizontal="right"/>
      <protection locked="0"/>
    </xf>
    <xf numFmtId="38" fontId="60" fillId="0" borderId="3" xfId="0" applyNumberFormat="1" applyFont="1" applyBorder="1" applyAlignment="1" applyProtection="1">
      <alignment horizontal="right"/>
      <protection locked="0"/>
    </xf>
    <xf numFmtId="38" fontId="60" fillId="0" borderId="14" xfId="0" applyNumberFormat="1" applyFont="1" applyFill="1" applyBorder="1" applyAlignment="1" applyProtection="1">
      <alignment horizontal="right"/>
      <protection locked="0"/>
    </xf>
    <xf numFmtId="38" fontId="60" fillId="0" borderId="12" xfId="0" applyNumberFormat="1" applyFont="1" applyFill="1" applyBorder="1" applyAlignment="1" applyProtection="1">
      <alignment horizontal="right"/>
      <protection locked="0"/>
    </xf>
    <xf numFmtId="38" fontId="60" fillId="0" borderId="13" xfId="0" applyNumberFormat="1" applyFont="1" applyFill="1" applyBorder="1" applyAlignment="1" applyProtection="1">
      <alignment horizontal="right"/>
      <protection locked="0"/>
    </xf>
    <xf numFmtId="38" fontId="60" fillId="0" borderId="26" xfId="0" applyNumberFormat="1" applyFont="1" applyBorder="1" applyAlignment="1" applyProtection="1">
      <alignment horizontal="right"/>
      <protection locked="0"/>
    </xf>
    <xf numFmtId="38" fontId="60" fillId="0" borderId="125" xfId="0" applyNumberFormat="1" applyFont="1" applyFill="1" applyBorder="1" applyAlignment="1" applyProtection="1">
      <alignment horizontal="right"/>
      <protection locked="0"/>
    </xf>
    <xf numFmtId="38" fontId="60" fillId="0" borderId="26" xfId="0" applyNumberFormat="1" applyFont="1" applyFill="1" applyBorder="1" applyAlignment="1" applyProtection="1">
      <alignment horizontal="right"/>
      <protection locked="0"/>
    </xf>
    <xf numFmtId="38" fontId="60" fillId="0" borderId="3" xfId="0" applyNumberFormat="1" applyFont="1" applyFill="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0" fontId="62" fillId="0" borderId="0" xfId="3" applyFont="1" applyAlignment="1">
      <alignment horizontal="center" vertical="center"/>
    </xf>
    <xf numFmtId="0" fontId="7" fillId="0" borderId="0" xfId="3740"/>
    <xf numFmtId="0" fontId="105" fillId="0" borderId="178" xfId="3741" applyFont="1" applyBorder="1"/>
    <xf numFmtId="0" fontId="105" fillId="0" borderId="164" xfId="3741" applyFont="1" applyBorder="1"/>
    <xf numFmtId="0" fontId="105" fillId="0" borderId="179" xfId="3741" applyFont="1" applyBorder="1"/>
    <xf numFmtId="0" fontId="105" fillId="0" borderId="0" xfId="3741" applyFont="1"/>
    <xf numFmtId="0" fontId="105" fillId="0" borderId="181" xfId="3741" applyFont="1" applyBorder="1"/>
    <xf numFmtId="0" fontId="104" fillId="0" borderId="181" xfId="3741" applyFont="1" applyBorder="1"/>
    <xf numFmtId="0" fontId="105" fillId="0" borderId="180" xfId="3741" applyFont="1" applyBorder="1"/>
    <xf numFmtId="0" fontId="187" fillId="0" borderId="0" xfId="3741" applyFont="1"/>
    <xf numFmtId="38" fontId="70" fillId="16" borderId="182" xfId="3741" applyNumberFormat="1" applyFont="1" applyFill="1" applyBorder="1" applyAlignment="1">
      <alignment horizontal="center"/>
    </xf>
    <xf numFmtId="38" fontId="70" fillId="16" borderId="77" xfId="3741" applyNumberFormat="1" applyFont="1" applyFill="1" applyBorder="1" applyAlignment="1">
      <alignment horizontal="center"/>
    </xf>
    <xf numFmtId="38" fontId="70" fillId="66" borderId="77" xfId="3741" applyNumberFormat="1" applyFont="1" applyFill="1" applyBorder="1" applyAlignment="1">
      <alignment horizontal="center"/>
    </xf>
    <xf numFmtId="0" fontId="62" fillId="66" borderId="77" xfId="3741" applyFont="1" applyFill="1" applyBorder="1"/>
    <xf numFmtId="38" fontId="70" fillId="16" borderId="184" xfId="3741" applyNumberFormat="1" applyFont="1" applyFill="1" applyBorder="1" applyAlignment="1">
      <alignment horizontal="center" wrapText="1"/>
    </xf>
    <xf numFmtId="38" fontId="62" fillId="0" borderId="185" xfId="3741" applyNumberFormat="1" applyFont="1" applyBorder="1" applyAlignment="1" applyProtection="1">
      <alignment horizontal="center"/>
      <protection locked="0"/>
    </xf>
    <xf numFmtId="38" fontId="62" fillId="0" borderId="186" xfId="3741" applyNumberFormat="1" applyFont="1" applyBorder="1" applyAlignment="1" applyProtection="1">
      <alignment horizontal="center"/>
      <protection locked="0"/>
    </xf>
    <xf numFmtId="38" fontId="62" fillId="66" borderId="0" xfId="3741" applyNumberFormat="1" applyFont="1" applyFill="1" applyAlignment="1">
      <alignment horizontal="center"/>
    </xf>
    <xf numFmtId="0" fontId="62" fillId="0" borderId="185" xfId="3741" applyFont="1" applyBorder="1" applyAlignment="1">
      <alignment horizontal="center"/>
    </xf>
    <xf numFmtId="38" fontId="62" fillId="0" borderId="188" xfId="3741" applyNumberFormat="1" applyFont="1" applyBorder="1" applyAlignment="1" applyProtection="1">
      <alignment horizontal="center"/>
      <protection locked="0"/>
    </xf>
    <xf numFmtId="38" fontId="62" fillId="0" borderId="189" xfId="3741" applyNumberFormat="1" applyFont="1" applyBorder="1" applyAlignment="1" applyProtection="1">
      <alignment horizontal="center"/>
      <protection locked="0"/>
    </xf>
    <xf numFmtId="0" fontId="62" fillId="0" borderId="188" xfId="3741" applyFont="1" applyBorder="1" applyAlignment="1">
      <alignment horizontal="center"/>
    </xf>
    <xf numFmtId="38" fontId="62" fillId="0" borderId="191" xfId="3741" applyNumberFormat="1" applyFont="1" applyBorder="1" applyAlignment="1" applyProtection="1">
      <alignment horizontal="center"/>
      <protection locked="0"/>
    </xf>
    <xf numFmtId="38" fontId="62" fillId="0" borderId="192" xfId="3741" applyNumberFormat="1" applyFont="1" applyBorder="1" applyAlignment="1" applyProtection="1">
      <alignment horizontal="center"/>
      <protection locked="0"/>
    </xf>
    <xf numFmtId="38" fontId="70" fillId="67" borderId="193" xfId="3741" applyNumberFormat="1" applyFont="1" applyFill="1" applyBorder="1" applyAlignment="1" applyProtection="1">
      <alignment horizontal="center"/>
      <protection locked="0"/>
    </xf>
    <xf numFmtId="0" fontId="62" fillId="0" borderId="191" xfId="3741" applyFont="1" applyBorder="1" applyAlignment="1">
      <alignment horizontal="center"/>
    </xf>
    <xf numFmtId="0" fontId="106" fillId="0" borderId="182" xfId="3741" applyFont="1" applyBorder="1" applyAlignment="1">
      <alignment horizontal="center" wrapText="1"/>
    </xf>
    <xf numFmtId="0" fontId="106" fillId="0" borderId="77" xfId="3741" applyFont="1" applyBorder="1" applyAlignment="1">
      <alignment horizontal="center" wrapText="1"/>
    </xf>
    <xf numFmtId="0" fontId="62" fillId="66" borderId="77" xfId="3741" applyFont="1" applyFill="1" applyBorder="1" applyAlignment="1">
      <alignment horizontal="center"/>
    </xf>
    <xf numFmtId="0" fontId="62" fillId="0" borderId="180" xfId="3741" applyFont="1" applyBorder="1"/>
    <xf numFmtId="0" fontId="62" fillId="0" borderId="0" xfId="3741" applyFont="1"/>
    <xf numFmtId="0" fontId="62" fillId="0" borderId="181" xfId="3741" applyFont="1" applyBorder="1"/>
    <xf numFmtId="0" fontId="62" fillId="0" borderId="0" xfId="3" applyFont="1" applyAlignment="1">
      <alignment horizontal="right" vertical="center" indent="1"/>
    </xf>
    <xf numFmtId="0" fontId="188" fillId="0" borderId="181" xfId="3741" applyFont="1" applyBorder="1"/>
    <xf numFmtId="0" fontId="104" fillId="0" borderId="180" xfId="3741" applyFont="1" applyBorder="1" applyAlignment="1">
      <alignment wrapText="1"/>
    </xf>
    <xf numFmtId="0" fontId="104" fillId="0" borderId="0" xfId="3741" applyFont="1" applyAlignment="1">
      <alignment wrapText="1"/>
    </xf>
    <xf numFmtId="0" fontId="93" fillId="0" borderId="0" xfId="3741" applyFont="1"/>
    <xf numFmtId="0" fontId="62" fillId="0" borderId="180" xfId="3741" applyFont="1" applyBorder="1" applyAlignment="1">
      <alignment wrapText="1"/>
    </xf>
    <xf numFmtId="0" fontId="62" fillId="0" borderId="0" xfId="3741" applyFont="1" applyAlignment="1">
      <alignment wrapText="1"/>
    </xf>
    <xf numFmtId="0" fontId="62" fillId="0" borderId="181" xfId="3741" applyFont="1" applyBorder="1" applyAlignment="1">
      <alignment wrapText="1"/>
    </xf>
    <xf numFmtId="0" fontId="62" fillId="0" borderId="178" xfId="3" applyFont="1" applyBorder="1" applyAlignment="1">
      <alignment vertical="center"/>
    </xf>
    <xf numFmtId="0" fontId="62" fillId="0" borderId="164" xfId="3" applyFont="1" applyBorder="1" applyAlignment="1">
      <alignment vertical="center"/>
    </xf>
    <xf numFmtId="0" fontId="62" fillId="0" borderId="179" xfId="3" applyFont="1" applyBorder="1" applyAlignment="1">
      <alignment vertical="center"/>
    </xf>
    <xf numFmtId="0" fontId="62" fillId="0" borderId="180" xfId="3" applyFont="1" applyBorder="1" applyAlignment="1">
      <alignment vertical="center"/>
    </xf>
    <xf numFmtId="0" fontId="62" fillId="0" borderId="181" xfId="3" applyFont="1" applyBorder="1" applyAlignment="1">
      <alignment vertical="center"/>
    </xf>
    <xf numFmtId="0" fontId="62" fillId="0" borderId="0" xfId="3" quotePrefix="1" applyFont="1" applyAlignment="1" applyProtection="1">
      <alignment horizontal="left" vertical="top" wrapText="1" indent="2"/>
      <protection hidden="1"/>
    </xf>
    <xf numFmtId="0" fontId="70" fillId="0" borderId="22" xfId="3" applyFont="1" applyBorder="1" applyAlignment="1" applyProtection="1">
      <alignment horizontal="center" vertical="center"/>
      <protection locked="0"/>
    </xf>
    <xf numFmtId="0" fontId="85" fillId="0" borderId="0" xfId="3" applyFont="1" applyAlignment="1">
      <alignment horizontal="centerContinuous" vertical="center"/>
    </xf>
    <xf numFmtId="0" fontId="94" fillId="0" borderId="0" xfId="2" applyNumberFormat="1" applyFont="1" applyBorder="1" applyAlignment="1" applyProtection="1">
      <alignment horizontal="centerContinuous" vertical="center"/>
    </xf>
    <xf numFmtId="0" fontId="62" fillId="0" borderId="0" xfId="3" applyFont="1" applyAlignment="1">
      <alignment horizontal="left" vertical="center" indent="2"/>
    </xf>
    <xf numFmtId="0" fontId="62" fillId="0" borderId="0" xfId="3" applyFont="1" applyAlignment="1" applyProtection="1">
      <alignment horizontal="left" vertical="top" wrapText="1" indent="2"/>
      <protection hidden="1"/>
    </xf>
    <xf numFmtId="0" fontId="70" fillId="0" borderId="0" xfId="3" applyFont="1" applyAlignment="1">
      <alignment vertical="center"/>
    </xf>
    <xf numFmtId="0" fontId="84" fillId="0" borderId="0" xfId="3" applyFont="1" applyAlignment="1">
      <alignment vertical="center"/>
    </xf>
    <xf numFmtId="0" fontId="85" fillId="0" borderId="0" xfId="3" applyFont="1" applyAlignment="1">
      <alignment horizontal="center" vertical="center" wrapText="1"/>
    </xf>
    <xf numFmtId="0" fontId="62" fillId="0" borderId="0" xfId="3" applyFont="1" applyAlignment="1">
      <alignment horizontal="center" wrapText="1"/>
    </xf>
    <xf numFmtId="0" fontId="70" fillId="0" borderId="0" xfId="3" applyFont="1" applyAlignment="1">
      <alignment horizontal="right"/>
    </xf>
    <xf numFmtId="0" fontId="62" fillId="0" borderId="0" xfId="3" applyFont="1" applyAlignment="1">
      <alignment horizontal="right" vertical="center"/>
    </xf>
    <xf numFmtId="0" fontId="85" fillId="0" borderId="0" xfId="3" applyFont="1"/>
    <xf numFmtId="0" fontId="85" fillId="0" borderId="131" xfId="3" applyFont="1" applyBorder="1" applyAlignment="1">
      <alignment horizontal="center"/>
    </xf>
    <xf numFmtId="0" fontId="85" fillId="0" borderId="0" xfId="3" applyFont="1" applyAlignment="1">
      <alignment vertical="center" wrapText="1"/>
    </xf>
    <xf numFmtId="0" fontId="62" fillId="0" borderId="131" xfId="3" applyFont="1" applyBorder="1" applyAlignment="1">
      <alignment vertical="center"/>
    </xf>
    <xf numFmtId="0" fontId="85" fillId="0" borderId="131" xfId="3" applyFont="1" applyBorder="1" applyAlignment="1">
      <alignment horizontal="center" vertical="center"/>
    </xf>
    <xf numFmtId="171" fontId="62" fillId="0" borderId="0" xfId="3" applyNumberFormat="1" applyFont="1" applyAlignment="1">
      <alignment horizontal="center"/>
    </xf>
    <xf numFmtId="0" fontId="85" fillId="0" borderId="181" xfId="3" applyFont="1" applyBorder="1" applyAlignment="1">
      <alignment vertical="center"/>
    </xf>
    <xf numFmtId="0" fontId="62" fillId="0" borderId="0" xfId="3" applyFont="1" applyAlignment="1" applyProtection="1">
      <alignment vertical="center"/>
      <protection hidden="1"/>
    </xf>
    <xf numFmtId="0" fontId="62" fillId="0" borderId="0" xfId="3" applyFont="1" applyAlignment="1" applyProtection="1">
      <alignment horizontal="right" vertical="center"/>
      <protection hidden="1"/>
    </xf>
    <xf numFmtId="0" fontId="62" fillId="0" borderId="181" xfId="3" applyFont="1" applyBorder="1" applyAlignment="1" applyProtection="1">
      <alignment vertical="center"/>
      <protection hidden="1"/>
    </xf>
    <xf numFmtId="0" fontId="70" fillId="0" borderId="181" xfId="3" applyFont="1" applyBorder="1" applyAlignment="1">
      <alignment vertical="center"/>
    </xf>
    <xf numFmtId="9" fontId="62" fillId="0" borderId="0" xfId="3" applyNumberFormat="1" applyFont="1" applyAlignment="1">
      <alignment horizontal="center" vertical="center" shrinkToFit="1"/>
    </xf>
    <xf numFmtId="0" fontId="62" fillId="0" borderId="0" xfId="3" applyFont="1" applyAlignment="1">
      <alignment vertical="center" shrinkToFit="1"/>
    </xf>
    <xf numFmtId="0" fontId="62" fillId="0" borderId="181" xfId="3" applyFont="1" applyBorder="1" applyAlignment="1">
      <alignment horizontal="right" vertical="center"/>
    </xf>
    <xf numFmtId="9" fontId="62" fillId="16" borderId="125" xfId="3" applyNumberFormat="1" applyFont="1" applyFill="1" applyBorder="1" applyAlignment="1">
      <alignment horizontal="center" vertical="center" shrinkToFit="1"/>
    </xf>
    <xf numFmtId="0" fontId="62" fillId="15" borderId="125" xfId="3" applyFont="1" applyFill="1" applyBorder="1" applyAlignment="1">
      <alignment vertical="center" shrinkToFit="1"/>
    </xf>
    <xf numFmtId="164" fontId="70" fillId="0" borderId="202" xfId="3" applyNumberFormat="1" applyFont="1" applyBorder="1" applyAlignment="1">
      <alignment horizontal="right" vertical="center"/>
    </xf>
    <xf numFmtId="38" fontId="62" fillId="16" borderId="27" xfId="3" applyNumberFormat="1" applyFont="1" applyFill="1" applyBorder="1" applyAlignment="1">
      <alignment vertical="center" shrinkToFit="1"/>
    </xf>
    <xf numFmtId="0" fontId="62" fillId="0" borderId="14" xfId="3" applyFont="1" applyBorder="1" applyAlignment="1">
      <alignment horizontal="center" vertical="center"/>
    </xf>
    <xf numFmtId="0" fontId="70" fillId="0" borderId="21" xfId="3" applyFont="1" applyBorder="1" applyAlignment="1">
      <alignment horizontal="left" vertical="center"/>
    </xf>
    <xf numFmtId="38" fontId="62" fillId="16" borderId="2" xfId="3" applyNumberFormat="1" applyFont="1" applyFill="1" applyBorder="1" applyAlignment="1">
      <alignment vertical="center" shrinkToFit="1"/>
    </xf>
    <xf numFmtId="38" fontId="62" fillId="0" borderId="2" xfId="3" applyNumberFormat="1" applyFont="1" applyBorder="1" applyAlignment="1" applyProtection="1">
      <alignment vertical="center" shrinkToFit="1"/>
      <protection locked="0"/>
    </xf>
    <xf numFmtId="164" fontId="70" fillId="0" borderId="202" xfId="3" applyNumberFormat="1" applyFont="1" applyBorder="1" applyAlignment="1">
      <alignment vertical="top"/>
    </xf>
    <xf numFmtId="0" fontId="62" fillId="15" borderId="2" xfId="3" applyFont="1" applyFill="1" applyBorder="1" applyAlignment="1">
      <alignment vertical="center" shrinkToFit="1"/>
    </xf>
    <xf numFmtId="38" fontId="62" fillId="16" borderId="2" xfId="3" applyNumberFormat="1" applyFont="1" applyFill="1" applyBorder="1" applyAlignment="1" applyProtection="1">
      <alignment vertical="center" shrinkToFit="1"/>
      <protection locked="0"/>
    </xf>
    <xf numFmtId="38" fontId="62" fillId="67" borderId="2" xfId="3" applyNumberFormat="1" applyFont="1" applyFill="1" applyBorder="1" applyAlignment="1" applyProtection="1">
      <alignment vertical="center" shrinkToFit="1"/>
      <protection locked="0"/>
    </xf>
    <xf numFmtId="0" fontId="62" fillId="0" borderId="2" xfId="3" applyFont="1" applyBorder="1" applyAlignment="1">
      <alignment horizontal="left" vertical="center" indent="1"/>
    </xf>
    <xf numFmtId="0" fontId="62" fillId="0" borderId="14" xfId="3" applyFont="1" applyBorder="1" applyAlignment="1">
      <alignment horizontal="left" vertical="center"/>
    </xf>
    <xf numFmtId="0" fontId="62" fillId="0" borderId="21" xfId="3" applyFont="1" applyBorder="1" applyAlignment="1">
      <alignment horizontal="left" vertical="center"/>
    </xf>
    <xf numFmtId="0" fontId="62" fillId="0" borderId="2" xfId="3" applyFont="1" applyBorder="1" applyAlignment="1">
      <alignment horizontal="left" vertical="top" indent="1"/>
    </xf>
    <xf numFmtId="0" fontId="70" fillId="0" borderId="125" xfId="3" applyFont="1" applyBorder="1" applyAlignment="1">
      <alignment horizontal="center" vertical="center"/>
    </xf>
    <xf numFmtId="0" fontId="70" fillId="0" borderId="125" xfId="3741" applyFont="1" applyBorder="1" applyAlignment="1">
      <alignment horizontal="center" vertical="center" wrapText="1"/>
    </xf>
    <xf numFmtId="0" fontId="70" fillId="0" borderId="125" xfId="3" applyFont="1" applyBorder="1" applyAlignment="1">
      <alignment horizontal="center" vertical="center" wrapText="1"/>
    </xf>
    <xf numFmtId="0" fontId="70" fillId="0" borderId="3" xfId="3" applyFont="1" applyBorder="1" applyAlignment="1">
      <alignment horizontal="center" vertical="center"/>
    </xf>
    <xf numFmtId="0" fontId="70" fillId="0" borderId="3" xfId="3741" quotePrefix="1" applyFont="1" applyBorder="1" applyAlignment="1">
      <alignment horizontal="center" vertical="center"/>
    </xf>
    <xf numFmtId="0" fontId="62" fillId="0" borderId="3" xfId="3" applyFont="1" applyBorder="1" applyAlignment="1">
      <alignment horizontal="center" vertical="center"/>
    </xf>
    <xf numFmtId="0" fontId="70" fillId="0" borderId="10" xfId="3" applyFont="1" applyBorder="1" applyAlignment="1">
      <alignment horizontal="center" vertical="center"/>
    </xf>
    <xf numFmtId="0" fontId="62" fillId="0" borderId="26" xfId="3" applyFont="1" applyBorder="1" applyAlignment="1">
      <alignment vertical="center"/>
    </xf>
    <xf numFmtId="0" fontId="62" fillId="0" borderId="10" xfId="3" applyFont="1" applyBorder="1" applyAlignment="1" applyProtection="1">
      <alignment horizontal="centerContinuous" vertical="center"/>
      <protection hidden="1"/>
    </xf>
    <xf numFmtId="0" fontId="62" fillId="0" borderId="16" xfId="3" applyFont="1" applyBorder="1" applyAlignment="1" applyProtection="1">
      <alignment horizontal="centerContinuous" vertical="center"/>
      <protection hidden="1"/>
    </xf>
    <xf numFmtId="0" fontId="70" fillId="0" borderId="3" xfId="3" applyFont="1" applyBorder="1" applyAlignment="1" applyProtection="1">
      <alignment horizontal="centerContinuous" vertical="center"/>
      <protection hidden="1"/>
    </xf>
    <xf numFmtId="0" fontId="70" fillId="0" borderId="12" xfId="3" applyFont="1" applyBorder="1" applyAlignment="1" applyProtection="1">
      <alignment horizontal="centerContinuous" vertical="center"/>
      <protection hidden="1"/>
    </xf>
    <xf numFmtId="0" fontId="62" fillId="0" borderId="3" xfId="3" applyFont="1" applyBorder="1" applyAlignment="1">
      <alignment vertical="center"/>
    </xf>
    <xf numFmtId="0" fontId="62" fillId="0" borderId="16" xfId="3" applyFont="1" applyBorder="1" applyAlignment="1">
      <alignment vertical="center"/>
    </xf>
    <xf numFmtId="0" fontId="62" fillId="0" borderId="204" xfId="3" applyFont="1" applyBorder="1" applyAlignment="1">
      <alignment vertical="center"/>
    </xf>
    <xf numFmtId="0" fontId="62" fillId="0" borderId="126" xfId="3" applyFont="1" applyBorder="1" applyAlignment="1">
      <alignment vertical="center"/>
    </xf>
    <xf numFmtId="0" fontId="62" fillId="0" borderId="123" xfId="3" applyFont="1" applyBorder="1" applyAlignment="1">
      <alignment vertical="center"/>
    </xf>
    <xf numFmtId="0" fontId="62" fillId="22" borderId="124" xfId="3" applyFont="1" applyFill="1" applyBorder="1" applyAlignment="1">
      <alignment vertical="center"/>
    </xf>
    <xf numFmtId="0" fontId="62" fillId="22" borderId="126" xfId="3" applyFont="1" applyFill="1" applyBorder="1" applyAlignment="1">
      <alignment vertical="center"/>
    </xf>
    <xf numFmtId="0" fontId="62" fillId="22" borderId="203" xfId="3" applyFont="1" applyFill="1" applyBorder="1" applyAlignment="1">
      <alignment vertical="center"/>
    </xf>
    <xf numFmtId="0" fontId="62" fillId="0" borderId="17" xfId="3" applyFont="1" applyBorder="1" applyAlignment="1">
      <alignment vertical="center"/>
    </xf>
    <xf numFmtId="0" fontId="62" fillId="0" borderId="17" xfId="3" applyFont="1" applyBorder="1" applyAlignment="1">
      <alignment horizontal="center" vertical="center"/>
    </xf>
    <xf numFmtId="0" fontId="70" fillId="22" borderId="204" xfId="3" applyFont="1" applyFill="1" applyBorder="1" applyAlignment="1">
      <alignment horizontal="left"/>
    </xf>
    <xf numFmtId="0" fontId="70" fillId="0" borderId="0" xfId="3" applyFont="1" applyAlignment="1">
      <alignment horizontal="left" vertical="center"/>
    </xf>
    <xf numFmtId="0" fontId="62" fillId="0" borderId="196" xfId="3" applyFont="1" applyBorder="1" applyAlignment="1">
      <alignment vertical="center"/>
    </xf>
    <xf numFmtId="0" fontId="62" fillId="0" borderId="172" xfId="3" applyFont="1" applyBorder="1" applyAlignment="1">
      <alignment vertical="center"/>
    </xf>
    <xf numFmtId="0" fontId="70" fillId="0" borderId="172" xfId="3" applyFont="1" applyBorder="1" applyAlignment="1">
      <alignment horizontal="left" vertical="center"/>
    </xf>
    <xf numFmtId="0" fontId="70" fillId="0" borderId="172" xfId="3" applyFont="1" applyBorder="1" applyAlignment="1">
      <alignment horizontal="center" vertical="center"/>
    </xf>
    <xf numFmtId="0" fontId="62" fillId="0" borderId="205" xfId="3" applyFont="1" applyBorder="1" applyAlignment="1">
      <alignment vertical="center"/>
    </xf>
    <xf numFmtId="3" fontId="67" fillId="0" borderId="22" xfId="3" applyNumberFormat="1" applyFont="1" applyBorder="1" applyAlignment="1" applyProtection="1">
      <alignment horizontal="left" vertical="center" wrapText="1" indent="1"/>
      <protection locked="0"/>
    </xf>
    <xf numFmtId="3" fontId="67" fillId="0" borderId="22" xfId="3" applyNumberFormat="1" applyFont="1" applyBorder="1" applyAlignment="1" applyProtection="1">
      <alignment horizontal="left" vertical="center" wrapText="1"/>
      <protection locked="0"/>
    </xf>
    <xf numFmtId="0" fontId="67" fillId="0" borderId="0" xfId="3" applyFont="1" applyBorder="1" applyProtection="1"/>
    <xf numFmtId="0" fontId="60" fillId="0" borderId="0" xfId="3" applyFont="1" applyProtection="1"/>
    <xf numFmtId="0" fontId="59" fillId="20" borderId="0" xfId="3" applyFont="1" applyFill="1" applyProtection="1"/>
    <xf numFmtId="3" fontId="67" fillId="0" borderId="22" xfId="3" applyNumberFormat="1" applyFont="1" applyBorder="1" applyAlignment="1" applyProtection="1">
      <alignment horizontal="left" vertical="center" wrapText="1"/>
      <protection locked="0"/>
    </xf>
    <xf numFmtId="3" fontId="67" fillId="0" borderId="0" xfId="3" applyNumberFormat="1" applyFont="1" applyBorder="1" applyAlignment="1" applyProtection="1">
      <alignment horizontal="left" vertical="center" wrapText="1"/>
      <protection locked="0"/>
    </xf>
    <xf numFmtId="3" fontId="67" fillId="0" borderId="8"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3" fontId="67" fillId="0" borderId="22" xfId="3" applyNumberFormat="1" applyFont="1" applyFill="1" applyBorder="1" applyAlignment="1" applyProtection="1">
      <alignment horizontal="center"/>
      <protection locked="0"/>
    </xf>
    <xf numFmtId="3" fontId="67" fillId="0" borderId="8"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3" fontId="67" fillId="0" borderId="22" xfId="3" applyNumberFormat="1" applyFont="1" applyFill="1" applyBorder="1" applyAlignment="1" applyProtection="1">
      <alignment horizontal="center"/>
      <protection locked="0"/>
    </xf>
    <xf numFmtId="3" fontId="67" fillId="0" borderId="22" xfId="3" applyNumberFormat="1" applyFont="1" applyBorder="1" applyAlignment="1" applyProtection="1">
      <alignment horizontal="left" vertical="center" wrapText="1" indent="3"/>
      <protection locked="0"/>
    </xf>
    <xf numFmtId="3" fontId="67" fillId="0" borderId="22" xfId="3" applyNumberFormat="1" applyFont="1" applyBorder="1" applyAlignment="1" applyProtection="1">
      <alignment horizontal="left" vertical="center" wrapText="1"/>
      <protection locked="0"/>
    </xf>
    <xf numFmtId="3" fontId="67" fillId="0" borderId="8"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3" fontId="67" fillId="0" borderId="22" xfId="3" applyNumberFormat="1" applyFont="1" applyFill="1" applyBorder="1" applyAlignment="1" applyProtection="1">
      <alignment horizontal="center"/>
      <protection locked="0"/>
    </xf>
    <xf numFmtId="3" fontId="67" fillId="0" borderId="22" xfId="3" applyNumberFormat="1" applyFont="1" applyBorder="1" applyAlignment="1" applyProtection="1">
      <alignment horizontal="left" vertical="center" wrapText="1"/>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3" fontId="67" fillId="0" borderId="22" xfId="3" applyNumberFormat="1" applyFont="1" applyFill="1" applyBorder="1" applyAlignment="1" applyProtection="1">
      <alignment horizontal="center"/>
      <protection locked="0"/>
    </xf>
    <xf numFmtId="3" fontId="67" fillId="0" borderId="22" xfId="3" applyNumberFormat="1" applyFont="1" applyBorder="1" applyAlignment="1" applyProtection="1">
      <alignment horizontal="left" vertical="center" wrapText="1"/>
      <protection locked="0"/>
    </xf>
    <xf numFmtId="3"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left" vertical="center" wrapText="1"/>
      <protection locked="0"/>
    </xf>
    <xf numFmtId="169" fontId="67" fillId="0" borderId="8" xfId="3" applyNumberFormat="1" applyFont="1" applyBorder="1" applyAlignment="1" applyProtection="1">
      <alignment horizontal="center" shrinkToFit="1"/>
      <protection locked="0"/>
    </xf>
    <xf numFmtId="1" fontId="67" fillId="0" borderId="8" xfId="3" applyNumberFormat="1" applyFont="1" applyBorder="1" applyAlignment="1" applyProtection="1">
      <alignment horizontal="center" shrinkToFit="1"/>
      <protection locked="0"/>
    </xf>
    <xf numFmtId="3" fontId="67" fillId="0" borderId="8" xfId="3" applyNumberFormat="1" applyFont="1" applyBorder="1" applyAlignment="1" applyProtection="1">
      <alignment horizontal="center" shrinkToFit="1"/>
      <protection locked="0"/>
    </xf>
    <xf numFmtId="169" fontId="67" fillId="0" borderId="8" xfId="3" applyNumberFormat="1" applyFont="1" applyBorder="1" applyAlignment="1" applyProtection="1">
      <alignment horizontal="center"/>
      <protection locked="0"/>
    </xf>
    <xf numFmtId="169" fontId="67" fillId="0" borderId="22" xfId="3" applyNumberFormat="1" applyFont="1" applyBorder="1" applyAlignment="1" applyProtection="1">
      <alignment horizontal="center"/>
      <protection locked="0"/>
    </xf>
    <xf numFmtId="1" fontId="67" fillId="0" borderId="8"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8"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3" fontId="67" fillId="0" borderId="22" xfId="3" applyNumberFormat="1" applyFont="1" applyFill="1" applyBorder="1" applyAlignment="1" applyProtection="1">
      <alignment horizontal="center"/>
      <protection locked="0"/>
    </xf>
    <xf numFmtId="3" fontId="67" fillId="0" borderId="22" xfId="3" applyNumberFormat="1" applyFont="1" applyBorder="1" applyAlignment="1" applyProtection="1">
      <alignment horizontal="left" vertical="center" wrapText="1"/>
      <protection locked="0"/>
    </xf>
    <xf numFmtId="3" fontId="67" fillId="0" borderId="0" xfId="3" applyNumberFormat="1" applyFont="1" applyBorder="1" applyAlignment="1" applyProtection="1">
      <alignment horizontal="left" vertical="center" wrapText="1"/>
      <protection locked="0"/>
    </xf>
    <xf numFmtId="3" fontId="67" fillId="0" borderId="8"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0" fontId="26" fillId="0" borderId="2" xfId="12" applyNumberFormat="1" applyFont="1" applyBorder="1" applyAlignment="1" applyProtection="1">
      <alignment horizontal="center" vertical="center"/>
      <protection locked="0"/>
    </xf>
    <xf numFmtId="3" fontId="67" fillId="0" borderId="22" xfId="3" applyNumberFormat="1" applyFont="1" applyBorder="1" applyAlignment="1" applyProtection="1">
      <alignment horizontal="left" vertical="center" wrapText="1"/>
      <protection locked="0"/>
    </xf>
    <xf numFmtId="169" fontId="67" fillId="0" borderId="8" xfId="3" applyNumberFormat="1" applyFont="1" applyBorder="1" applyAlignment="1" applyProtection="1">
      <alignment horizontal="center" shrinkToFit="1"/>
      <protection locked="0"/>
    </xf>
    <xf numFmtId="1" fontId="67" fillId="0" borderId="8" xfId="3" applyNumberFormat="1" applyFont="1" applyBorder="1" applyAlignment="1" applyProtection="1">
      <alignment horizontal="center" shrinkToFit="1"/>
      <protection locked="0"/>
    </xf>
    <xf numFmtId="3" fontId="67" fillId="0" borderId="8"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shrinkToFit="1"/>
      <protection locked="0"/>
    </xf>
    <xf numFmtId="1" fontId="67" fillId="0" borderId="22" xfId="3" applyNumberFormat="1" applyFont="1" applyBorder="1" applyAlignment="1" applyProtection="1">
      <alignment horizontal="center" shrinkToFit="1"/>
      <protection locked="0"/>
    </xf>
    <xf numFmtId="3" fontId="67" fillId="0" borderId="22" xfId="3" applyNumberFormat="1" applyFont="1" applyBorder="1" applyAlignment="1" applyProtection="1">
      <alignment horizontal="center" shrinkToFit="1"/>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3" fontId="67" fillId="0" borderId="22" xfId="3" applyNumberFormat="1" applyFont="1" applyFill="1" applyBorder="1" applyAlignment="1" applyProtection="1">
      <alignment horizontal="center"/>
      <protection locked="0"/>
    </xf>
    <xf numFmtId="0" fontId="62" fillId="0" borderId="0" xfId="3" applyFont="1" applyBorder="1" applyAlignment="1" applyProtection="1">
      <alignment wrapText="1"/>
      <protection locked="0"/>
    </xf>
    <xf numFmtId="38" fontId="60" fillId="0" borderId="2" xfId="2255" applyNumberFormat="1" applyFont="1" applyBorder="1" applyAlignment="1" applyProtection="1">
      <alignment horizontal="right" shrinkToFit="1"/>
      <protection locked="0"/>
    </xf>
    <xf numFmtId="38" fontId="60" fillId="0" borderId="3" xfId="2255" applyNumberFormat="1" applyFont="1" applyBorder="1" applyAlignment="1" applyProtection="1">
      <alignment horizontal="right" shrinkToFit="1"/>
      <protection locked="0"/>
    </xf>
    <xf numFmtId="0" fontId="2" fillId="0" borderId="155" xfId="19" applyFont="1" applyBorder="1" applyAlignment="1" applyProtection="1">
      <alignment horizontal="left" vertical="top" wrapText="1"/>
      <protection locked="0"/>
    </xf>
    <xf numFmtId="0" fontId="62" fillId="0" borderId="0" xfId="0" applyFont="1" applyAlignment="1">
      <alignment horizontal="left" wrapText="1"/>
    </xf>
    <xf numFmtId="0" fontId="19" fillId="0" borderId="19" xfId="12" applyNumberFormat="1" applyFont="1" applyFill="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9" fillId="0" borderId="19" xfId="12" applyNumberFormat="1" applyFont="1" applyBorder="1" applyAlignment="1" applyProtection="1">
      <alignment horizontal="left" vertical="center"/>
      <protection locked="0"/>
    </xf>
    <xf numFmtId="180" fontId="19" fillId="0" borderId="20" xfId="0" applyNumberFormat="1" applyFont="1" applyBorder="1" applyAlignment="1" applyProtection="1">
      <alignment horizontal="left" vertical="center"/>
      <protection locked="0"/>
    </xf>
    <xf numFmtId="180" fontId="19" fillId="0" borderId="11" xfId="0" applyNumberFormat="1" applyFont="1" applyBorder="1" applyAlignment="1" applyProtection="1">
      <alignment horizontal="left" vertical="center"/>
      <protection locked="0"/>
    </xf>
    <xf numFmtId="0" fontId="17" fillId="0" borderId="12" xfId="12" applyNumberFormat="1" applyFont="1" applyBorder="1" applyAlignment="1" applyProtection="1">
      <alignment horizontal="left" vertical="center"/>
    </xf>
    <xf numFmtId="0" fontId="20" fillId="0" borderId="16" xfId="0" applyNumberFormat="1" applyFont="1" applyBorder="1" applyAlignment="1">
      <alignment horizontal="left" vertical="center"/>
    </xf>
    <xf numFmtId="0" fontId="2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4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9" fillId="0" borderId="19" xfId="2" applyNumberForma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indent="1"/>
      <protection locked="0"/>
    </xf>
    <xf numFmtId="0" fontId="49" fillId="0" borderId="20" xfId="2" applyFont="1" applyBorder="1" applyAlignment="1" applyProtection="1">
      <alignment horizontal="left" vertical="center" indent="1"/>
      <protection locked="0"/>
    </xf>
    <xf numFmtId="0" fontId="27" fillId="0" borderId="20" xfId="0" applyFont="1" applyBorder="1" applyAlignment="1" applyProtection="1">
      <alignment horizontal="left" vertical="center" indent="1"/>
      <protection locked="0"/>
    </xf>
    <xf numFmtId="0" fontId="27" fillId="0" borderId="11"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indent="1"/>
      <protection locked="0"/>
    </xf>
    <xf numFmtId="180" fontId="19" fillId="0" borderId="20" xfId="0" applyNumberFormat="1" applyFont="1" applyBorder="1" applyAlignment="1" applyProtection="1">
      <alignment horizontal="left" vertical="center" indent="1"/>
      <protection locked="0"/>
    </xf>
    <xf numFmtId="180" fontId="19" fillId="0" borderId="11" xfId="0" applyNumberFormat="1" applyFont="1" applyBorder="1" applyAlignment="1" applyProtection="1">
      <alignment horizontal="left" vertical="center" indent="1"/>
      <protection locked="0"/>
    </xf>
    <xf numFmtId="0" fontId="19" fillId="0" borderId="20"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138" fillId="0" borderId="124" xfId="12" applyFont="1" applyBorder="1" applyAlignment="1" applyProtection="1">
      <alignment horizontal="center" vertical="center" wrapText="1"/>
    </xf>
    <xf numFmtId="0" fontId="20" fillId="0" borderId="20" xfId="12" applyFont="1" applyBorder="1" applyAlignment="1" applyProtection="1">
      <alignment vertical="center"/>
    </xf>
    <xf numFmtId="180" fontId="19" fillId="0" borderId="19" xfId="12" applyNumberFormat="1" applyFont="1" applyBorder="1" applyAlignment="1" applyProtection="1">
      <alignment horizontal="left" vertical="center" indent="1"/>
      <protection locked="0"/>
    </xf>
    <xf numFmtId="0" fontId="19" fillId="0" borderId="0" xfId="12" applyFont="1" applyBorder="1" applyAlignment="1" applyProtection="1">
      <alignment vertical="center"/>
      <protection locked="0"/>
    </xf>
    <xf numFmtId="0" fontId="19" fillId="0" borderId="20" xfId="0" applyNumberFormat="1"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19" fillId="0" borderId="11" xfId="0" applyFont="1" applyBorder="1" applyAlignment="1" applyProtection="1">
      <alignment horizontal="left" vertical="center"/>
      <protection locked="0"/>
    </xf>
    <xf numFmtId="0" fontId="2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9" fillId="0" borderId="17" xfId="12" applyNumberFormat="1" applyFont="1" applyBorder="1" applyAlignment="1" applyProtection="1">
      <alignment horizontal="left" vertical="center" indent="1"/>
      <protection locked="0"/>
    </xf>
    <xf numFmtId="0" fontId="19" fillId="0" borderId="0" xfId="0" applyNumberFormat="1"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49" fontId="22" fillId="0" borderId="0"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0" xfId="12" applyFont="1" applyBorder="1" applyAlignment="1" applyProtection="1">
      <alignment horizontal="center" vertical="center"/>
    </xf>
    <xf numFmtId="171" fontId="19"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40" fillId="0" borderId="12" xfId="12" applyFont="1" applyBorder="1" applyAlignment="1" applyProtection="1">
      <alignment horizontal="center"/>
    </xf>
    <xf numFmtId="0" fontId="20" fillId="0" borderId="16" xfId="0" applyFont="1" applyBorder="1" applyAlignment="1">
      <alignment horizontal="center"/>
    </xf>
    <xf numFmtId="0" fontId="20" fillId="0" borderId="10" xfId="0" applyFont="1" applyBorder="1" applyAlignment="1">
      <alignment horizontal="center"/>
    </xf>
    <xf numFmtId="0" fontId="19" fillId="0" borderId="0" xfId="12" applyFont="1" applyBorder="1" applyAlignment="1" applyProtection="1">
      <alignment horizontal="center" vertical="center"/>
    </xf>
    <xf numFmtId="0" fontId="0" fillId="0" borderId="0" xfId="0" applyBorder="1" applyAlignment="1">
      <alignment horizontal="center" vertical="center"/>
    </xf>
    <xf numFmtId="49" fontId="19" fillId="0" borderId="0" xfId="12" applyNumberFormat="1" applyFont="1" applyBorder="1" applyAlignment="1" applyProtection="1">
      <alignment horizontal="center" vertical="center"/>
    </xf>
    <xf numFmtId="49" fontId="39" fillId="0" borderId="19" xfId="2" applyNumberFormat="1" applyFill="1" applyBorder="1" applyAlignment="1" applyProtection="1">
      <alignment horizontal="left" vertical="center" indent="1"/>
      <protection locked="0"/>
    </xf>
    <xf numFmtId="49" fontId="39" fillId="0" borderId="126" xfId="2" applyNumberFormat="1" applyFill="1" applyBorder="1" applyAlignment="1" applyProtection="1">
      <alignment horizontal="left" vertical="center" indent="1"/>
      <protection locked="0"/>
    </xf>
    <xf numFmtId="49" fontId="39" fillId="0" borderId="124" xfId="2" applyNumberFormat="1" applyFill="1" applyBorder="1" applyAlignment="1" applyProtection="1">
      <alignment horizontal="left" vertical="center" indent="1"/>
      <protection locked="0"/>
    </xf>
    <xf numFmtId="0" fontId="2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9" fillId="0" borderId="17" xfId="2" applyNumberFormat="1" applyBorder="1" applyAlignment="1" applyProtection="1">
      <alignment horizontal="center" vertical="center"/>
    </xf>
    <xf numFmtId="0" fontId="39" fillId="0" borderId="0" xfId="2" applyBorder="1" applyAlignment="1" applyProtection="1">
      <alignment horizontal="center" vertical="center"/>
    </xf>
    <xf numFmtId="0" fontId="39" fillId="0" borderId="18" xfId="2" applyBorder="1" applyAlignment="1" applyProtection="1">
      <alignment horizontal="center" vertical="center"/>
    </xf>
    <xf numFmtId="0" fontId="40" fillId="0" borderId="17" xfId="12" applyFont="1" applyBorder="1" applyAlignment="1" applyProtection="1">
      <alignment horizontal="center"/>
    </xf>
    <xf numFmtId="0" fontId="19" fillId="0" borderId="18" xfId="0" applyFont="1" applyBorder="1" applyAlignment="1" applyProtection="1">
      <alignment horizontal="left" vertical="center" indent="1"/>
      <protection locked="0"/>
    </xf>
    <xf numFmtId="174" fontId="19" fillId="0" borderId="17" xfId="12" applyNumberFormat="1" applyFont="1" applyBorder="1" applyAlignment="1" applyProtection="1">
      <alignment horizontal="left" vertical="center" indent="1"/>
      <protection locked="0"/>
    </xf>
    <xf numFmtId="174" fontId="19" fillId="0" borderId="0" xfId="0" applyNumberFormat="1" applyFont="1" applyBorder="1" applyAlignment="1" applyProtection="1">
      <alignment horizontal="left" vertical="center" indent="1"/>
      <protection locked="0"/>
    </xf>
    <xf numFmtId="174" fontId="19" fillId="0" borderId="18" xfId="0"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indent="1"/>
      <protection locked="0"/>
    </xf>
    <xf numFmtId="0" fontId="19" fillId="0" borderId="20" xfId="12" applyNumberFormat="1" applyFont="1" applyBorder="1" applyAlignment="1" applyProtection="1">
      <alignment horizontal="left" vertical="center" indent="1"/>
      <protection locked="0"/>
    </xf>
    <xf numFmtId="0" fontId="19" fillId="0" borderId="11" xfId="12"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readingOrder="1"/>
      <protection locked="0"/>
    </xf>
    <xf numFmtId="0" fontId="19" fillId="0" borderId="20" xfId="0" applyNumberFormat="1" applyFont="1" applyBorder="1" applyAlignment="1" applyProtection="1">
      <alignment horizontal="left" vertical="center" readingOrder="1"/>
      <protection locked="0"/>
    </xf>
    <xf numFmtId="0" fontId="20" fillId="0" borderId="20" xfId="0" applyFont="1" applyBorder="1" applyAlignment="1" applyProtection="1">
      <alignment vertical="center" readingOrder="1"/>
      <protection locked="0"/>
    </xf>
    <xf numFmtId="0" fontId="20" fillId="0" borderId="11" xfId="0" applyFont="1" applyBorder="1" applyAlignment="1" applyProtection="1">
      <alignment vertical="center" readingOrder="1"/>
      <protection locked="0"/>
    </xf>
    <xf numFmtId="0" fontId="19" fillId="0" borderId="19" xfId="12" applyNumberFormat="1" applyFont="1" applyBorder="1" applyAlignment="1" applyProtection="1">
      <alignment horizontal="left" vertical="center"/>
      <protection locked="0"/>
    </xf>
    <xf numFmtId="0" fontId="20" fillId="0" borderId="2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19" fillId="0" borderId="134" xfId="12" applyFont="1" applyBorder="1" applyAlignment="1" applyProtection="1">
      <alignment horizontal="left" vertical="center" indent="1"/>
      <protection locked="0"/>
    </xf>
    <xf numFmtId="0" fontId="19" fillId="0" borderId="124" xfId="0" applyFont="1" applyBorder="1" applyAlignment="1" applyProtection="1">
      <alignment horizontal="left" vertical="center" indent="1"/>
      <protection locked="0"/>
    </xf>
    <xf numFmtId="0" fontId="19" fillId="0" borderId="19" xfId="0" applyFont="1" applyBorder="1" applyAlignment="1" applyProtection="1">
      <alignment horizontal="left" vertical="center" indent="1"/>
      <protection locked="0"/>
    </xf>
    <xf numFmtId="0" fontId="19" fillId="0" borderId="126" xfId="0" applyFont="1" applyBorder="1" applyAlignment="1" applyProtection="1">
      <alignment horizontal="left" vertical="center" indent="1"/>
      <protection locked="0"/>
    </xf>
    <xf numFmtId="0" fontId="2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20" fillId="0" borderId="16" xfId="12" applyNumberFormat="1" applyFont="1" applyFill="1" applyBorder="1" applyAlignment="1" applyProtection="1">
      <alignment horizontal="left" vertical="center" shrinkToFit="1"/>
      <protection hidden="1"/>
    </xf>
    <xf numFmtId="181" fontId="20" fillId="0" borderId="10" xfId="12" applyNumberFormat="1" applyFont="1" applyFill="1" applyBorder="1" applyAlignment="1" applyProtection="1">
      <alignment horizontal="left" vertical="center" shrinkToFit="1"/>
      <protection hidden="1"/>
    </xf>
    <xf numFmtId="181" fontId="20" fillId="0" borderId="0" xfId="12" applyNumberFormat="1" applyFont="1" applyFill="1" applyBorder="1" applyAlignment="1" applyProtection="1">
      <alignment horizontal="left" vertical="center" shrinkToFit="1"/>
      <protection hidden="1"/>
    </xf>
    <xf numFmtId="181" fontId="20" fillId="0" borderId="18" xfId="12" applyNumberFormat="1" applyFont="1" applyFill="1" applyBorder="1" applyAlignment="1" applyProtection="1">
      <alignment horizontal="left" vertical="center" shrinkToFit="1"/>
      <protection hidden="1"/>
    </xf>
    <xf numFmtId="0" fontId="39" fillId="0" borderId="19" xfId="2" applyBorder="1" applyAlignment="1" applyProtection="1">
      <protection locked="0"/>
    </xf>
    <xf numFmtId="0" fontId="25" fillId="0" borderId="20" xfId="0" applyFont="1" applyBorder="1" applyProtection="1">
      <protection locked="0"/>
    </xf>
    <xf numFmtId="0" fontId="25" fillId="0" borderId="11" xfId="0" applyFont="1" applyBorder="1" applyProtection="1">
      <protection locked="0"/>
    </xf>
    <xf numFmtId="0" fontId="19" fillId="0" borderId="0" xfId="0" applyFont="1" applyBorder="1" applyAlignment="1" applyProtection="1">
      <alignment horizontal="left" vertical="center" indent="1"/>
      <protection locked="0"/>
    </xf>
    <xf numFmtId="180" fontId="19" fillId="0" borderId="17" xfId="12" applyNumberFormat="1" applyFont="1" applyBorder="1" applyAlignment="1" applyProtection="1">
      <alignment horizontal="left" vertical="center" indent="1"/>
      <protection locked="0"/>
    </xf>
    <xf numFmtId="180" fontId="19" fillId="0" borderId="0" xfId="0" applyNumberFormat="1" applyFon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protection locked="0"/>
    </xf>
    <xf numFmtId="14" fontId="19" fillId="0" borderId="123" xfId="12" applyNumberFormat="1" applyFont="1" applyBorder="1" applyAlignment="1" applyProtection="1">
      <alignment horizontal="left" vertical="center" indent="1"/>
      <protection locked="0"/>
    </xf>
    <xf numFmtId="0" fontId="19" fillId="0" borderId="126" xfId="12" applyNumberFormat="1" applyFont="1" applyBorder="1" applyAlignment="1" applyProtection="1">
      <alignment horizontal="left" vertical="center" indent="1"/>
      <protection locked="0"/>
    </xf>
    <xf numFmtId="0" fontId="19" fillId="0" borderId="124" xfId="12" applyNumberFormat="1" applyFont="1" applyBorder="1" applyAlignment="1" applyProtection="1">
      <alignment horizontal="left" vertical="center" indent="1"/>
      <protection locked="0"/>
    </xf>
    <xf numFmtId="180" fontId="19" fillId="0" borderId="123" xfId="12" applyNumberFormat="1" applyFont="1" applyBorder="1" applyAlignment="1" applyProtection="1">
      <alignment horizontal="left" vertical="center" indent="1"/>
      <protection locked="0"/>
    </xf>
    <xf numFmtId="180" fontId="19" fillId="0" borderId="126" xfId="12" applyNumberFormat="1" applyFont="1" applyBorder="1" applyAlignment="1" applyProtection="1">
      <alignment horizontal="left" vertical="center" indent="1"/>
      <protection locked="0"/>
    </xf>
    <xf numFmtId="180" fontId="19" fillId="0" borderId="124" xfId="12" applyNumberFormat="1" applyFont="1" applyBorder="1" applyAlignment="1" applyProtection="1">
      <alignment horizontal="left" vertical="center" indent="1"/>
      <protection locked="0"/>
    </xf>
    <xf numFmtId="0" fontId="4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0" fillId="0" borderId="17"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59" fillId="0" borderId="0" xfId="0" applyFont="1" applyBorder="1" applyAlignment="1">
      <alignment horizontal="center" vertical="center"/>
    </xf>
    <xf numFmtId="0" fontId="59" fillId="0" borderId="0" xfId="0" applyFont="1" applyBorder="1" applyAlignment="1">
      <alignment horizontal="center"/>
    </xf>
    <xf numFmtId="0" fontId="39" fillId="0" borderId="0" xfId="2"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60" fillId="0" borderId="126" xfId="3" applyFont="1" applyBorder="1" applyAlignment="1" applyProtection="1">
      <alignment horizontal="left" vertical="top"/>
      <protection locked="0"/>
    </xf>
    <xf numFmtId="0" fontId="60" fillId="0" borderId="124" xfId="3" applyFont="1" applyBorder="1" applyAlignment="1" applyProtection="1">
      <alignment horizontal="left" vertical="top"/>
      <protection locked="0"/>
    </xf>
    <xf numFmtId="0" fontId="59" fillId="0" borderId="132"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60" fillId="0" borderId="126" xfId="0" applyFont="1" applyBorder="1" applyAlignment="1" applyProtection="1">
      <alignment horizontal="left" vertical="top" wrapText="1"/>
      <protection locked="0"/>
    </xf>
    <xf numFmtId="0" fontId="60" fillId="0" borderId="124" xfId="0" applyFont="1" applyBorder="1" applyAlignment="1" applyProtection="1">
      <alignment horizontal="left" vertical="top" wrapText="1"/>
      <protection locked="0"/>
    </xf>
    <xf numFmtId="0" fontId="83" fillId="11" borderId="118" xfId="0" applyFont="1" applyFill="1" applyBorder="1" applyAlignment="1">
      <alignment horizontal="center" vertical="center" shrinkToFit="1"/>
    </xf>
    <xf numFmtId="0" fontId="83" fillId="11" borderId="163" xfId="0" applyFont="1" applyFill="1" applyBorder="1" applyAlignment="1">
      <alignment horizontal="center" vertical="center" shrinkToFit="1"/>
    </xf>
    <xf numFmtId="0" fontId="67" fillId="13" borderId="117" xfId="0" applyFont="1" applyFill="1" applyBorder="1" applyAlignment="1" applyProtection="1">
      <alignment horizontal="center" vertical="center" shrinkToFit="1"/>
    </xf>
    <xf numFmtId="0" fontId="67" fillId="13" borderId="110" xfId="0" applyFont="1" applyFill="1" applyBorder="1" applyAlignment="1" applyProtection="1">
      <alignment horizontal="center" vertical="center" shrinkToFit="1"/>
    </xf>
    <xf numFmtId="0" fontId="67" fillId="13" borderId="103" xfId="0" applyFont="1" applyFill="1" applyBorder="1" applyAlignment="1" applyProtection="1">
      <alignment horizontal="center" vertical="center" shrinkToFit="1"/>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4" xfId="0" applyFont="1" applyFill="1" applyBorder="1" applyAlignment="1" applyProtection="1">
      <alignment horizontal="center" vertical="center" wrapText="1"/>
    </xf>
    <xf numFmtId="3" fontId="69" fillId="22" borderId="13" xfId="0" applyNumberFormat="1" applyFont="1" applyFill="1" applyBorder="1" applyAlignment="1" applyProtection="1">
      <alignment horizontal="left" vertical="center"/>
    </xf>
    <xf numFmtId="3" fontId="69" fillId="22" borderId="14" xfId="0" applyNumberFormat="1" applyFont="1" applyFill="1" applyBorder="1" applyAlignment="1" applyProtection="1">
      <alignment horizontal="left" vertical="center"/>
    </xf>
    <xf numFmtId="164" fontId="69" fillId="22" borderId="49" xfId="0" applyNumberFormat="1" applyFont="1" applyFill="1" applyBorder="1" applyAlignment="1" applyProtection="1">
      <alignment horizontal="left" vertical="center"/>
    </xf>
    <xf numFmtId="164" fontId="69" fillId="22" borderId="31" xfId="0" applyNumberFormat="1" applyFont="1" applyFill="1" applyBorder="1" applyAlignment="1" applyProtection="1">
      <alignment horizontal="left" vertical="center"/>
    </xf>
    <xf numFmtId="0" fontId="69" fillId="22" borderId="34" xfId="0" applyFont="1" applyFill="1" applyBorder="1" applyAlignment="1" applyProtection="1">
      <alignment horizontal="left" vertical="center"/>
    </xf>
    <xf numFmtId="0" fontId="69" fillId="22" borderId="31" xfId="0" applyFont="1" applyFill="1" applyBorder="1" applyAlignment="1" applyProtection="1">
      <alignment horizontal="left" vertical="center"/>
    </xf>
    <xf numFmtId="164" fontId="69" fillId="22" borderId="13" xfId="0" applyNumberFormat="1" applyFont="1" applyFill="1" applyBorder="1" applyAlignment="1" applyProtection="1">
      <alignment horizontal="left" vertical="center"/>
    </xf>
    <xf numFmtId="164" fontId="69" fillId="22"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protection hidden="1"/>
    </xf>
    <xf numFmtId="0" fontId="69" fillId="16" borderId="30" xfId="0" applyFont="1" applyFill="1" applyBorder="1" applyAlignment="1" applyProtection="1">
      <alignment horizontal="left" vertical="center" indent="2"/>
      <protection hidden="1"/>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4"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4" borderId="13" xfId="0" applyNumberFormat="1" applyFont="1" applyFill="1" applyBorder="1" applyAlignment="1" applyProtection="1">
      <alignment horizontal="left" vertical="center" wrapText="1" indent="1"/>
    </xf>
    <xf numFmtId="164" fontId="69" fillId="24"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2" borderId="13" xfId="0" applyNumberFormat="1" applyFont="1" applyFill="1" applyBorder="1" applyAlignment="1" applyProtection="1">
      <alignment horizontal="left" vertical="center"/>
    </xf>
    <xf numFmtId="49" fontId="69" fillId="22" borderId="14" xfId="0" applyNumberFormat="1" applyFont="1" applyFill="1" applyBorder="1" applyAlignment="1" applyProtection="1">
      <alignment horizontal="left" vertical="center"/>
    </xf>
    <xf numFmtId="0" fontId="69" fillId="22" borderId="13" xfId="0" applyFont="1" applyFill="1" applyBorder="1" applyAlignment="1" applyProtection="1">
      <alignment vertical="center"/>
    </xf>
    <xf numFmtId="0" fontId="69" fillId="22"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0" borderId="18" xfId="0" applyNumberFormat="1" applyFont="1" applyBorder="1" applyAlignment="1" applyProtection="1">
      <alignment horizontal="center" vertical="center" wrapText="1"/>
    </xf>
    <xf numFmtId="0" fontId="70" fillId="22" borderId="19" xfId="0" applyFont="1" applyFill="1" applyBorder="1" applyAlignment="1">
      <alignment horizontal="center" vertical="center"/>
    </xf>
    <xf numFmtId="0" fontId="62" fillId="22" borderId="11" xfId="0" applyFont="1" applyFill="1" applyBorder="1" applyAlignment="1">
      <alignment horizontal="center" vertical="center"/>
    </xf>
    <xf numFmtId="0" fontId="70" fillId="23" borderId="20" xfId="0" applyFont="1" applyFill="1" applyBorder="1" applyAlignment="1">
      <alignment horizontal="center" vertical="center"/>
    </xf>
    <xf numFmtId="0" fontId="70" fillId="23" borderId="11" xfId="0" applyFont="1" applyFill="1" applyBorder="1" applyAlignment="1">
      <alignment horizontal="center" vertical="center"/>
    </xf>
    <xf numFmtId="0" fontId="62" fillId="23" borderId="11" xfId="0" applyFont="1" applyFill="1" applyBorder="1" applyAlignment="1">
      <alignment horizontal="center" vertical="center"/>
    </xf>
    <xf numFmtId="0" fontId="70" fillId="22" borderId="107" xfId="0" applyFont="1" applyFill="1" applyBorder="1" applyAlignment="1">
      <alignment horizontal="center" vertical="center"/>
    </xf>
    <xf numFmtId="0" fontId="62" fillId="22" borderId="129" xfId="0" applyFont="1" applyFill="1" applyBorder="1" applyAlignment="1">
      <alignment horizontal="center" vertical="center"/>
    </xf>
    <xf numFmtId="0" fontId="70" fillId="22"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2" borderId="20" xfId="0" applyFont="1" applyFill="1" applyBorder="1" applyAlignment="1">
      <alignment horizontal="center" vertical="center" wrapText="1"/>
    </xf>
    <xf numFmtId="0" fontId="62" fillId="22" borderId="11" xfId="0" applyFont="1" applyFill="1" applyBorder="1" applyAlignment="1">
      <alignment horizontal="center" vertical="center" wrapText="1"/>
    </xf>
    <xf numFmtId="3" fontId="70" fillId="22" borderId="13" xfId="0" applyNumberFormat="1" applyFont="1" applyFill="1" applyBorder="1" applyAlignment="1">
      <alignment horizontal="center" vertical="center"/>
    </xf>
    <xf numFmtId="0" fontId="62" fillId="22" borderId="14" xfId="0" applyFont="1" applyFill="1" applyBorder="1" applyAlignment="1">
      <alignment horizontal="center" vertical="center"/>
    </xf>
    <xf numFmtId="0" fontId="70" fillId="22" borderId="21" xfId="0" applyFont="1" applyFill="1" applyBorder="1" applyAlignment="1">
      <alignment horizontal="center" vertical="center"/>
    </xf>
    <xf numFmtId="3" fontId="69" fillId="15" borderId="10" xfId="0" applyNumberFormat="1" applyFont="1" applyFill="1" applyBorder="1" applyAlignment="1" applyProtection="1">
      <alignment horizontal="center" vertical="center" wrapText="1"/>
    </xf>
    <xf numFmtId="3" fontId="69" fillId="15" borderId="124" xfId="0" applyNumberFormat="1" applyFont="1" applyFill="1" applyBorder="1" applyAlignment="1" applyProtection="1">
      <alignment horizontal="center" vertical="center" wrapText="1"/>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0" fontId="70" fillId="12" borderId="13" xfId="9" applyFont="1" applyFill="1" applyBorder="1" applyAlignment="1">
      <alignment horizontal="center" vertical="center"/>
    </xf>
    <xf numFmtId="0" fontId="62" fillId="12" borderId="14" xfId="0" applyFont="1" applyFill="1" applyBorder="1" applyAlignment="1">
      <alignment horizontal="center" vertical="center"/>
    </xf>
    <xf numFmtId="0" fontId="69" fillId="6" borderId="13" xfId="0" applyFont="1" applyFill="1" applyBorder="1" applyAlignment="1" applyProtection="1">
      <alignment horizontal="left" vertical="center" wrapText="1"/>
    </xf>
    <xf numFmtId="49" fontId="70" fillId="12" borderId="13" xfId="0" applyNumberFormat="1" applyFont="1" applyFill="1" applyBorder="1" applyAlignment="1" applyProtection="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5" xfId="0" applyFont="1" applyBorder="1" applyAlignment="1" applyProtection="1">
      <alignment horizontal="left" vertical="center" wrapText="1" indent="1"/>
    </xf>
    <xf numFmtId="0" fontId="67" fillId="0" borderId="146" xfId="0" applyFont="1" applyBorder="1" applyAlignment="1" applyProtection="1">
      <alignment horizontal="left" vertical="center" wrapText="1" inden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Fill="1" applyBorder="1" applyAlignment="1" applyProtection="1">
      <alignment horizontal="left" vertical="center" wrapText="1"/>
      <protection hidden="1"/>
    </xf>
    <xf numFmtId="0" fontId="69" fillId="0" borderId="6" xfId="0" applyFont="1" applyFill="1" applyBorder="1" applyAlignment="1" applyProtection="1">
      <alignment horizontal="left" vertical="center" wrapText="1"/>
      <protection hidden="1"/>
    </xf>
    <xf numFmtId="0" fontId="62" fillId="0" borderId="6" xfId="0" applyFont="1" applyFill="1" applyBorder="1" applyAlignment="1" applyProtection="1">
      <alignment wrapText="1"/>
      <protection hidden="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5"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protection hidden="1"/>
    </xf>
    <xf numFmtId="0" fontId="69" fillId="16" borderId="145" xfId="0" applyFont="1" applyFill="1" applyBorder="1" applyAlignment="1" applyProtection="1">
      <alignment horizontal="left" vertical="center" indent="1"/>
      <protection hidden="1"/>
    </xf>
    <xf numFmtId="0" fontId="69" fillId="3" borderId="145" xfId="0" applyFont="1" applyFill="1" applyBorder="1" applyAlignment="1" applyProtection="1">
      <alignment horizontal="left" vertical="center"/>
    </xf>
    <xf numFmtId="0" fontId="69" fillId="3" borderId="146" xfId="0" applyFont="1" applyFill="1" applyBorder="1" applyAlignment="1" applyProtection="1">
      <alignment horizontal="left" vertical="center"/>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2" borderId="144" xfId="0" applyFont="1" applyFill="1" applyBorder="1" applyAlignment="1" applyProtection="1">
      <alignment horizontal="left" vertical="center" indent="1"/>
    </xf>
    <xf numFmtId="0" fontId="70" fillId="22" borderId="145" xfId="0" applyFont="1" applyFill="1" applyBorder="1" applyAlignment="1" applyProtection="1">
      <alignment horizontal="left" vertical="center" indent="1"/>
    </xf>
    <xf numFmtId="0" fontId="70" fillId="22" borderId="146"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2" borderId="92" xfId="10" applyFont="1" applyFill="1" applyBorder="1" applyAlignment="1" applyProtection="1">
      <alignment horizontal="center" vertical="center" wrapText="1"/>
      <protection hidden="1"/>
    </xf>
    <xf numFmtId="0" fontId="70" fillId="22" borderId="25" xfId="0" applyFont="1" applyFill="1" applyBorder="1" applyAlignment="1" applyProtection="1">
      <alignment horizontal="center" vertical="center" wrapText="1"/>
      <protection hidden="1"/>
    </xf>
    <xf numFmtId="0" fontId="70" fillId="22" borderId="93" xfId="0" applyFont="1" applyFill="1" applyBorder="1" applyAlignment="1" applyProtection="1">
      <alignment horizontal="center" vertical="center" wrapText="1"/>
      <protection hidden="1"/>
    </xf>
    <xf numFmtId="0" fontId="134" fillId="22" borderId="94" xfId="10" applyFont="1" applyFill="1" applyBorder="1" applyAlignment="1">
      <alignment horizontal="center" vertical="center"/>
    </xf>
    <xf numFmtId="0" fontId="60" fillId="22" borderId="47" xfId="0" applyFont="1" applyFill="1" applyBorder="1" applyAlignment="1">
      <alignment horizontal="center" vertical="center"/>
    </xf>
    <xf numFmtId="0" fontId="60" fillId="22"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9" applyFont="1" applyFill="1" applyBorder="1" applyAlignment="1" applyProtection="1">
      <alignment horizontal="left" vertical="top" wrapText="1"/>
      <protection hidden="1"/>
    </xf>
    <xf numFmtId="0" fontId="132" fillId="0" borderId="0" xfId="19" applyFont="1" applyFill="1" applyBorder="1" applyAlignment="1" applyProtection="1">
      <alignment horizontal="left" vertical="top" wrapText="1"/>
      <protection hidden="1"/>
    </xf>
    <xf numFmtId="0" fontId="132" fillId="0" borderId="97" xfId="19" applyFont="1" applyFill="1" applyBorder="1" applyAlignment="1" applyProtection="1">
      <alignment horizontal="left" vertical="top" wrapText="1"/>
      <protection hidden="1"/>
    </xf>
    <xf numFmtId="0" fontId="131" fillId="22" borderId="138" xfId="19" applyFont="1" applyFill="1" applyBorder="1" applyAlignment="1">
      <alignment horizontal="center" vertical="center"/>
    </xf>
    <xf numFmtId="0" fontId="131" fillId="22" borderId="139" xfId="19" applyFont="1" applyFill="1" applyBorder="1" applyAlignment="1">
      <alignment horizontal="center" vertical="center"/>
    </xf>
    <xf numFmtId="0" fontId="131" fillId="22" borderId="140" xfId="19" applyFont="1" applyFill="1" applyBorder="1" applyAlignment="1">
      <alignment horizontal="center" vertical="center"/>
    </xf>
    <xf numFmtId="0" fontId="131" fillId="22" borderId="98" xfId="19" applyFont="1" applyFill="1" applyBorder="1" applyAlignment="1">
      <alignment horizontal="center" vertical="center"/>
    </xf>
    <xf numFmtId="0" fontId="131" fillId="22" borderId="78" xfId="19" applyFont="1" applyFill="1" applyBorder="1" applyAlignment="1">
      <alignment horizontal="center" vertical="center"/>
    </xf>
    <xf numFmtId="0" fontId="131" fillId="22" borderId="99" xfId="19" applyFont="1" applyFill="1" applyBorder="1" applyAlignment="1">
      <alignment horizontal="center" vertical="center"/>
    </xf>
    <xf numFmtId="0" fontId="132" fillId="0" borderId="96" xfId="19" applyFont="1" applyBorder="1" applyAlignment="1">
      <alignment vertical="top" wrapText="1"/>
    </xf>
    <xf numFmtId="0" fontId="132" fillId="0" borderId="0" xfId="19" applyFont="1" applyBorder="1" applyAlignment="1">
      <alignment vertical="top" wrapText="1"/>
    </xf>
    <xf numFmtId="0" fontId="132" fillId="0" borderId="97" xfId="19" applyFont="1" applyBorder="1" applyAlignment="1">
      <alignment vertical="top" wrapText="1"/>
    </xf>
    <xf numFmtId="0" fontId="132" fillId="0" borderId="96" xfId="19" applyFont="1" applyBorder="1" applyAlignment="1">
      <alignment vertical="top"/>
    </xf>
    <xf numFmtId="0" fontId="132" fillId="0" borderId="0" xfId="19" applyFont="1" applyBorder="1" applyAlignment="1">
      <alignment vertical="top"/>
    </xf>
    <xf numFmtId="0" fontId="132" fillId="0" borderId="97" xfId="19"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protection hidden="1"/>
    </xf>
    <xf numFmtId="0" fontId="62" fillId="19" borderId="21" xfId="0" applyFont="1" applyFill="1" applyBorder="1" applyAlignment="1" applyProtection="1">
      <alignment horizontal="left" vertical="center" wrapText="1" indent="1"/>
      <protection hidden="1"/>
    </xf>
    <xf numFmtId="0" fontId="62" fillId="19" borderId="14" xfId="0" applyFont="1" applyFill="1" applyBorder="1" applyAlignment="1" applyProtection="1">
      <alignment horizontal="left" vertical="center" wrapText="1" indent="1"/>
      <protection hidden="1"/>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12" fillId="0" borderId="96" xfId="18" applyFont="1" applyBorder="1" applyAlignment="1" applyProtection="1">
      <alignment vertical="top" wrapText="1"/>
      <protection locked="0"/>
    </xf>
    <xf numFmtId="0" fontId="12" fillId="0" borderId="0" xfId="18" applyFont="1" applyBorder="1" applyAlignment="1" applyProtection="1">
      <alignment vertical="top" wrapText="1"/>
      <protection locked="0"/>
    </xf>
    <xf numFmtId="0" fontId="12" fillId="0" borderId="97" xfId="18" applyFont="1" applyBorder="1" applyAlignment="1" applyProtection="1">
      <alignment vertical="top" wrapText="1"/>
      <protection locked="0"/>
    </xf>
    <xf numFmtId="0" fontId="12" fillId="0" borderId="98" xfId="18" applyFont="1" applyBorder="1" applyAlignment="1" applyProtection="1">
      <alignment vertical="top" wrapText="1"/>
      <protection locked="0"/>
    </xf>
    <xf numFmtId="0" fontId="12" fillId="0" borderId="78" xfId="18" applyFont="1" applyBorder="1" applyAlignment="1" applyProtection="1">
      <alignment vertical="top" wrapText="1"/>
      <protection locked="0"/>
    </xf>
    <xf numFmtId="0" fontId="12" fillId="0" borderId="99" xfId="18" applyFont="1" applyBorder="1" applyAlignment="1" applyProtection="1">
      <alignment vertical="top" wrapText="1"/>
      <protection locked="0"/>
    </xf>
    <xf numFmtId="0" fontId="54" fillId="0" borderId="139" xfId="18" applyFont="1" applyBorder="1" applyAlignment="1" applyProtection="1">
      <alignment horizontal="center" vertical="top" wrapText="1"/>
      <protection locked="0"/>
    </xf>
    <xf numFmtId="0" fontId="54" fillId="0" borderId="140"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106" fillId="22" borderId="0" xfId="18" applyFont="1" applyFill="1" applyAlignment="1">
      <alignment horizontal="center" vertical="center"/>
    </xf>
    <xf numFmtId="0" fontId="78" fillId="0" borderId="135"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12" fillId="0" borderId="139" xfId="18" applyFont="1" applyBorder="1" applyAlignment="1" applyProtection="1">
      <alignment horizontal="center" vertical="top" wrapText="1"/>
      <protection locked="0"/>
    </xf>
    <xf numFmtId="0" fontId="12" fillId="0" borderId="140" xfId="18" applyFont="1" applyBorder="1" applyAlignment="1" applyProtection="1">
      <alignment horizontal="center" vertical="top" wrapText="1"/>
      <protection locked="0"/>
    </xf>
    <xf numFmtId="0" fontId="70" fillId="0" borderId="21" xfId="3" applyFont="1" applyBorder="1" applyAlignment="1" applyProtection="1">
      <alignment vertical="center"/>
      <protection hidden="1"/>
    </xf>
    <xf numFmtId="0" fontId="70" fillId="0" borderId="14" xfId="3" applyFont="1" applyBorder="1" applyAlignment="1" applyProtection="1">
      <alignment vertical="center"/>
      <protection hidden="1"/>
    </xf>
    <xf numFmtId="0" fontId="70" fillId="67" borderId="78" xfId="3" applyFont="1" applyFill="1" applyBorder="1" applyAlignment="1" applyProtection="1">
      <alignment horizontal="left" vertical="center" indent="1"/>
      <protection locked="0"/>
    </xf>
    <xf numFmtId="0" fontId="70" fillId="67" borderId="78" xfId="3" applyFont="1" applyFill="1" applyBorder="1" applyAlignment="1" applyProtection="1">
      <alignment horizontal="left" vertical="center"/>
      <protection locked="0"/>
    </xf>
    <xf numFmtId="0" fontId="62" fillId="22" borderId="181" xfId="3" applyFont="1" applyFill="1" applyBorder="1" applyAlignment="1">
      <alignment horizontal="left" vertical="top" wrapText="1"/>
    </xf>
    <xf numFmtId="0" fontId="62" fillId="22" borderId="0" xfId="3" applyFont="1" applyFill="1" applyAlignment="1">
      <alignment vertical="top"/>
    </xf>
    <xf numFmtId="0" fontId="62" fillId="22" borderId="18" xfId="3" applyFont="1" applyFill="1" applyBorder="1" applyAlignment="1">
      <alignment vertical="top"/>
    </xf>
    <xf numFmtId="166" fontId="70" fillId="67" borderId="76" xfId="3" applyNumberFormat="1" applyFont="1" applyFill="1" applyBorder="1" applyAlignment="1" applyProtection="1">
      <alignment horizontal="left" vertical="center" indent="1"/>
      <protection locked="0"/>
    </xf>
    <xf numFmtId="0" fontId="70" fillId="0" borderId="203" xfId="3" applyFont="1" applyBorder="1" applyAlignment="1">
      <alignment horizontal="center" vertical="center"/>
    </xf>
    <xf numFmtId="0" fontId="62" fillId="0" borderId="126" xfId="3" applyFont="1" applyBorder="1" applyAlignment="1">
      <alignment horizontal="center" vertical="center"/>
    </xf>
    <xf numFmtId="0" fontId="62" fillId="0" borderId="124" xfId="3" applyFont="1" applyBorder="1" applyAlignment="1">
      <alignment horizontal="center" vertical="center"/>
    </xf>
    <xf numFmtId="0" fontId="62" fillId="0" borderId="21" xfId="3" applyFont="1" applyBorder="1" applyAlignment="1">
      <alignment horizontal="left" vertical="center" wrapText="1"/>
    </xf>
    <xf numFmtId="0" fontId="62" fillId="0" borderId="14" xfId="3" applyFont="1" applyBorder="1" applyAlignment="1">
      <alignment horizontal="left" vertical="center" wrapText="1"/>
    </xf>
    <xf numFmtId="0" fontId="62" fillId="0" borderId="126" xfId="3" applyFont="1" applyBorder="1" applyAlignment="1">
      <alignment horizontal="left" vertical="center" indent="1"/>
    </xf>
    <xf numFmtId="0" fontId="62" fillId="0" borderId="198" xfId="3" applyFont="1" applyBorder="1" applyAlignment="1">
      <alignment horizontal="left" vertical="center"/>
    </xf>
    <xf numFmtId="0" fontId="62" fillId="0" borderId="132" xfId="3" applyFont="1" applyBorder="1" applyAlignment="1" applyProtection="1">
      <alignment horizontal="center" vertical="center"/>
      <protection locked="0"/>
    </xf>
    <xf numFmtId="171" fontId="62" fillId="0" borderId="132" xfId="3" applyNumberFormat="1" applyFont="1" applyBorder="1" applyAlignment="1" applyProtection="1">
      <alignment horizontal="center"/>
      <protection locked="0"/>
    </xf>
    <xf numFmtId="0" fontId="85" fillId="0" borderId="131" xfId="3" applyFont="1" applyBorder="1" applyAlignment="1">
      <alignment horizontal="center" vertical="center" wrapText="1"/>
    </xf>
    <xf numFmtId="0" fontId="62" fillId="0" borderId="132" xfId="3" applyFont="1" applyBorder="1" applyAlignment="1" applyProtection="1">
      <alignment horizontal="center"/>
      <protection locked="0"/>
    </xf>
    <xf numFmtId="0" fontId="85" fillId="0" borderId="131" xfId="3" applyFont="1" applyBorder="1" applyAlignment="1">
      <alignment horizontal="center"/>
    </xf>
    <xf numFmtId="0" fontId="62" fillId="0" borderId="0" xfId="3" applyFont="1" applyAlignment="1" applyProtection="1">
      <alignment horizontal="left" vertical="top" wrapText="1" indent="2"/>
      <protection hidden="1"/>
    </xf>
    <xf numFmtId="0" fontId="62" fillId="0" borderId="5" xfId="3" quotePrefix="1" applyFont="1" applyBorder="1" applyAlignment="1" applyProtection="1">
      <alignment horizontal="left" vertical="top" wrapText="1" indent="2"/>
      <protection hidden="1"/>
    </xf>
    <xf numFmtId="0" fontId="62" fillId="0" borderId="0" xfId="3" quotePrefix="1" applyFont="1" applyAlignment="1" applyProtection="1">
      <alignment horizontal="left" vertical="top" wrapText="1" indent="2"/>
      <protection hidden="1"/>
    </xf>
    <xf numFmtId="0" fontId="189" fillId="0" borderId="201" xfId="3741" applyFont="1" applyBorder="1" applyAlignment="1">
      <alignment horizontal="center"/>
    </xf>
    <xf numFmtId="0" fontId="189" fillId="0" borderId="200" xfId="3741" applyFont="1" applyBorder="1" applyAlignment="1">
      <alignment horizontal="center"/>
    </xf>
    <xf numFmtId="0" fontId="189" fillId="0" borderId="199" xfId="3741" applyFont="1" applyBorder="1" applyAlignment="1">
      <alignment horizontal="center"/>
    </xf>
    <xf numFmtId="0" fontId="62" fillId="0" borderId="181" xfId="3741" applyFont="1" applyBorder="1" applyAlignment="1">
      <alignment wrapText="1"/>
    </xf>
    <xf numFmtId="0" fontId="62" fillId="0" borderId="0" xfId="3741" applyFont="1" applyAlignment="1">
      <alignment wrapText="1"/>
    </xf>
    <xf numFmtId="0" fontId="62" fillId="0" borderId="180" xfId="3741" applyFont="1" applyBorder="1" applyAlignment="1">
      <alignment wrapText="1"/>
    </xf>
    <xf numFmtId="0" fontId="62" fillId="0" borderId="190" xfId="3741" applyFont="1" applyBorder="1"/>
    <xf numFmtId="0" fontId="62" fillId="0" borderId="188" xfId="3741" applyFont="1" applyBorder="1"/>
    <xf numFmtId="166" fontId="62" fillId="0" borderId="21" xfId="3" applyNumberFormat="1" applyFont="1" applyBorder="1" applyAlignment="1">
      <alignment horizontal="left" vertical="center" indent="1"/>
    </xf>
    <xf numFmtId="166" fontId="62" fillId="0" borderId="197" xfId="3" applyNumberFormat="1" applyFont="1" applyBorder="1" applyAlignment="1">
      <alignment horizontal="left" vertical="center" indent="1"/>
    </xf>
    <xf numFmtId="0" fontId="62" fillId="66" borderId="183" xfId="3741" applyFont="1" applyFill="1" applyBorder="1"/>
    <xf numFmtId="0" fontId="62" fillId="66" borderId="77" xfId="3741" applyFont="1" applyFill="1" applyBorder="1"/>
    <xf numFmtId="0" fontId="70" fillId="0" borderId="172" xfId="3741" applyFont="1" applyBorder="1" applyAlignment="1">
      <alignment horizontal="center" wrapText="1"/>
    </xf>
    <xf numFmtId="0" fontId="70" fillId="0" borderId="196" xfId="3741" applyFont="1" applyBorder="1" applyAlignment="1">
      <alignment horizontal="center" wrapText="1"/>
    </xf>
    <xf numFmtId="0" fontId="106" fillId="0" borderId="195" xfId="3741" applyFont="1" applyBorder="1" applyAlignment="1">
      <alignment horizontal="center"/>
    </xf>
    <xf numFmtId="0" fontId="106" fillId="0" borderId="78" xfId="3741" applyFont="1" applyBorder="1" applyAlignment="1">
      <alignment horizontal="center"/>
    </xf>
    <xf numFmtId="0" fontId="106" fillId="0" borderId="99" xfId="3741" applyFont="1" applyBorder="1" applyAlignment="1">
      <alignment horizontal="center"/>
    </xf>
    <xf numFmtId="0" fontId="62" fillId="0" borderId="194" xfId="3741" applyFont="1" applyBorder="1"/>
    <xf numFmtId="0" fontId="62" fillId="0" borderId="191" xfId="3741" applyFont="1" applyBorder="1"/>
    <xf numFmtId="0" fontId="62" fillId="0" borderId="190" xfId="3741" applyFont="1" applyBorder="1" applyAlignment="1">
      <alignment wrapText="1"/>
    </xf>
    <xf numFmtId="0" fontId="62" fillId="0" borderId="188" xfId="3741" applyFont="1" applyBorder="1" applyAlignment="1">
      <alignment wrapText="1"/>
    </xf>
    <xf numFmtId="0" fontId="186" fillId="0" borderId="164" xfId="3740" applyFont="1" applyBorder="1" applyAlignment="1">
      <alignment horizontal="left" vertical="center" wrapText="1"/>
    </xf>
    <xf numFmtId="0" fontId="186" fillId="0" borderId="0" xfId="3740" applyFont="1" applyAlignment="1">
      <alignment horizontal="left" vertical="center" wrapText="1"/>
    </xf>
    <xf numFmtId="0" fontId="186" fillId="0" borderId="180" xfId="3740" applyFont="1" applyBorder="1" applyAlignment="1">
      <alignment horizontal="left" vertical="center" wrapText="1"/>
    </xf>
    <xf numFmtId="0" fontId="106" fillId="0" borderId="0" xfId="3741" applyFont="1" applyAlignment="1">
      <alignment horizontal="center" vertical="top" wrapText="1"/>
    </xf>
    <xf numFmtId="0" fontId="106" fillId="0" borderId="180" xfId="3741" applyFont="1" applyBorder="1" applyAlignment="1">
      <alignment horizontal="center" vertical="top" wrapText="1"/>
    </xf>
    <xf numFmtId="0" fontId="62" fillId="0" borderId="187" xfId="3741" applyFont="1" applyBorder="1"/>
    <xf numFmtId="0" fontId="62" fillId="0" borderId="185" xfId="3741" applyFont="1" applyBorder="1"/>
    <xf numFmtId="0" fontId="70" fillId="0" borderId="183" xfId="3741" applyFont="1" applyBorder="1"/>
    <xf numFmtId="0" fontId="70" fillId="0" borderId="77" xfId="3741" applyFont="1" applyBorder="1"/>
    <xf numFmtId="0" fontId="62" fillId="0" borderId="0" xfId="0" applyFont="1" applyAlignment="1">
      <alignment horizontal="left" wrapText="1"/>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2"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4" fillId="0" borderId="116" xfId="3" applyFont="1" applyBorder="1" applyAlignment="1">
      <alignment horizontal="center" vertical="center" wrapText="1"/>
    </xf>
    <xf numFmtId="0" fontId="115" fillId="0" borderId="13" xfId="3" applyNumberFormat="1" applyFont="1" applyFill="1" applyBorder="1" applyAlignment="1" applyProtection="1">
      <alignment vertical="top" wrapText="1"/>
      <protection hidden="1"/>
    </xf>
    <xf numFmtId="0" fontId="115" fillId="0" borderId="21" xfId="3" applyNumberFormat="1" applyFont="1" applyFill="1" applyBorder="1" applyAlignment="1" applyProtection="1">
      <alignment vertical="top" wrapText="1"/>
      <protection hidden="1"/>
    </xf>
    <xf numFmtId="0" fontId="115" fillId="0" borderId="14" xfId="3" applyNumberFormat="1" applyFont="1" applyFill="1" applyBorder="1" applyAlignment="1" applyProtection="1">
      <alignment vertical="top" wrapText="1"/>
      <protection hidden="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Fill="1" applyBorder="1" applyAlignment="1" applyProtection="1">
      <alignment vertical="top"/>
      <protection hidden="1"/>
    </xf>
    <xf numFmtId="0" fontId="88" fillId="0" borderId="0" xfId="3" applyFont="1" applyFill="1" applyBorder="1" applyAlignment="1" applyProtection="1">
      <alignment vertical="top"/>
      <protection hidden="1"/>
    </xf>
    <xf numFmtId="0" fontId="88" fillId="0" borderId="40" xfId="3" applyFont="1" applyFill="1" applyBorder="1" applyAlignment="1" applyProtection="1">
      <alignment vertical="top"/>
      <protection hidden="1"/>
    </xf>
    <xf numFmtId="0" fontId="88" fillId="0" borderId="50" xfId="3" applyFont="1" applyFill="1" applyBorder="1" applyAlignment="1" applyProtection="1">
      <alignment vertical="top"/>
      <protection hidden="1"/>
    </xf>
    <xf numFmtId="0" fontId="88" fillId="0" borderId="9" xfId="3" applyFont="1" applyFill="1" applyBorder="1" applyAlignment="1" applyProtection="1">
      <alignment vertical="top"/>
      <protection hidden="1"/>
    </xf>
    <xf numFmtId="0" fontId="88" fillId="0" borderId="59" xfId="3" applyFont="1" applyFill="1" applyBorder="1" applyAlignment="1" applyProtection="1">
      <alignment vertical="top"/>
      <protection hidden="1"/>
    </xf>
    <xf numFmtId="0" fontId="117" fillId="12" borderId="123" xfId="0" applyFont="1" applyFill="1" applyBorder="1" applyAlignment="1">
      <alignment horizontal="center" vertical="center"/>
    </xf>
    <xf numFmtId="0" fontId="117" fillId="12" borderId="126" xfId="0" applyFont="1" applyFill="1" applyBorder="1" applyAlignment="1">
      <alignment horizontal="center" vertical="center"/>
    </xf>
    <xf numFmtId="0" fontId="117" fillId="12" borderId="151"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3" xfId="0" applyNumberFormat="1" applyFont="1" applyFill="1" applyBorder="1" applyAlignment="1">
      <alignment horizontal="center" vertical="top"/>
    </xf>
    <xf numFmtId="164" fontId="118" fillId="12" borderId="126" xfId="0" applyNumberFormat="1" applyFont="1" applyFill="1" applyBorder="1" applyAlignment="1">
      <alignment horizontal="center" vertical="top"/>
    </xf>
    <xf numFmtId="164" fontId="118" fillId="12" borderId="151"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6" xfId="0" applyNumberFormat="1" applyFont="1" applyBorder="1" applyAlignment="1">
      <alignment horizontal="left" vertical="center" wrapText="1"/>
    </xf>
    <xf numFmtId="0" fontId="62" fillId="0" borderId="124"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5" xfId="3" applyNumberFormat="1" applyFont="1" applyBorder="1" applyAlignment="1" applyProtection="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70" fillId="0" borderId="0" xfId="3" applyNumberFormat="1" applyFont="1" applyAlignment="1" applyProtection="1">
      <alignment horizontal="center" vertical="center"/>
    </xf>
    <xf numFmtId="0" fontId="60" fillId="0" borderId="144" xfId="3" applyNumberFormat="1" applyFont="1" applyBorder="1" applyProtection="1"/>
    <xf numFmtId="0" fontId="60" fillId="0" borderId="145"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5" xfId="3" applyNumberFormat="1" applyFont="1" applyBorder="1" applyAlignment="1" applyProtection="1">
      <alignment horizontal="left" indent="1"/>
      <protection locked="0"/>
    </xf>
    <xf numFmtId="0" fontId="70" fillId="0" borderId="145" xfId="3" applyFont="1" applyBorder="1" applyAlignment="1" applyProtection="1">
      <alignment horizontal="left" indent="1"/>
      <protection locked="0"/>
    </xf>
    <xf numFmtId="0" fontId="70" fillId="0" borderId="146" xfId="3" applyFont="1" applyBorder="1" applyAlignment="1" applyProtection="1">
      <alignment horizontal="left" indent="1"/>
      <protection locked="0"/>
    </xf>
    <xf numFmtId="0" fontId="70" fillId="0" borderId="0" xfId="3" applyNumberFormat="1" applyFont="1" applyFill="1" applyAlignment="1" applyProtection="1">
      <alignment horizontal="center" vertical="center"/>
      <protection hidden="1"/>
    </xf>
    <xf numFmtId="0" fontId="62" fillId="0" borderId="0" xfId="3" applyFont="1" applyFill="1" applyAlignment="1" applyProtection="1">
      <alignment horizontal="center" vertical="center"/>
      <protection hidden="1"/>
    </xf>
    <xf numFmtId="0" fontId="70" fillId="0" borderId="59" xfId="3" applyFont="1" applyBorder="1" applyAlignment="1" applyProtection="1">
      <alignment horizontal="left"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59" fillId="0" borderId="0" xfId="3" applyFont="1" applyAlignment="1">
      <alignment horizontal="center" vertical="center"/>
    </xf>
    <xf numFmtId="0" fontId="62"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0" fontId="70" fillId="0" borderId="0" xfId="3" applyNumberFormat="1" applyFont="1" applyAlignment="1">
      <alignment horizontal="center"/>
    </xf>
    <xf numFmtId="165" fontId="70" fillId="0" borderId="0" xfId="3" applyNumberFormat="1" applyFont="1" applyAlignment="1" applyProtection="1">
      <alignment horizontal="center" vertical="center"/>
    </xf>
    <xf numFmtId="165" fontId="59" fillId="0" borderId="0" xfId="3" applyNumberFormat="1" applyFont="1" applyAlignment="1" applyProtection="1">
      <alignment horizontal="center" vertical="center"/>
    </xf>
    <xf numFmtId="0" fontId="59" fillId="0" borderId="0" xfId="3" applyNumberFormat="1" applyFont="1" applyAlignment="1" applyProtection="1">
      <alignment horizontal="center" vertic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3" fontId="60" fillId="0" borderId="77" xfId="3" applyNumberFormat="1" applyFont="1" applyBorder="1" applyAlignment="1" applyProtection="1">
      <alignment horizontal="right" indent="1"/>
      <protection locked="0"/>
    </xf>
    <xf numFmtId="0" fontId="59" fillId="0" borderId="0" xfId="3" applyFont="1" applyAlignment="1" applyProtection="1">
      <alignment horizontal="center"/>
    </xf>
    <xf numFmtId="0" fontId="59" fillId="0" borderId="78" xfId="3" applyFont="1" applyBorder="1" applyAlignment="1" applyProtection="1">
      <alignment horizontal="center"/>
    </xf>
    <xf numFmtId="0" fontId="67" fillId="0" borderId="0" xfId="3" applyFont="1" applyAlignment="1" applyProtection="1">
      <alignment horizontal="left" vertical="center" wrapText="1"/>
    </xf>
    <xf numFmtId="0" fontId="60" fillId="0" borderId="0" xfId="3" applyFont="1" applyBorder="1" applyAlignment="1" applyProtection="1">
      <alignment vertical="center" wrapText="1"/>
      <protection locked="0"/>
    </xf>
    <xf numFmtId="5" fontId="70" fillId="0" borderId="147" xfId="3" applyNumberFormat="1" applyFont="1" applyBorder="1" applyAlignment="1" applyProtection="1">
      <protection locked="0"/>
    </xf>
    <xf numFmtId="0" fontId="70" fillId="0" borderId="148" xfId="3" applyFont="1" applyBorder="1" applyAlignment="1" applyProtection="1">
      <protection locked="0"/>
    </xf>
    <xf numFmtId="0" fontId="67" fillId="0" borderId="0" xfId="3" applyFont="1" applyBorder="1" applyAlignment="1" applyProtection="1">
      <alignment horizontal="left" vertical="top" wrapText="1"/>
    </xf>
    <xf numFmtId="0" fontId="67" fillId="0" borderId="147"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8"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7" xfId="3" applyFont="1" applyBorder="1" applyAlignment="1" applyProtection="1">
      <alignment horizontal="center"/>
    </xf>
    <xf numFmtId="0" fontId="67" fillId="0" borderId="76" xfId="3" applyFont="1" applyBorder="1" applyAlignment="1" applyProtection="1">
      <alignment horizontal="center"/>
    </xf>
    <xf numFmtId="0" fontId="67" fillId="0" borderId="148" xfId="3" applyFont="1" applyBorder="1" applyAlignment="1" applyProtection="1">
      <alignment horizontal="center"/>
    </xf>
    <xf numFmtId="38" fontId="67" fillId="0" borderId="147"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8" xfId="3" applyNumberFormat="1" applyFont="1" applyBorder="1" applyAlignment="1" applyProtection="1">
      <alignment horizontal="right" vertical="center"/>
      <protection locked="0"/>
    </xf>
    <xf numFmtId="0" fontId="69" fillId="0" borderId="147"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8"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7" xfId="3" applyNumberFormat="1" applyFont="1" applyBorder="1" applyProtection="1">
      <protection locked="0"/>
    </xf>
    <xf numFmtId="6" fontId="67" fillId="0" borderId="148"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2" xfId="3" applyFont="1" applyBorder="1" applyAlignment="1" applyProtection="1">
      <alignment horizontal="center" vertical="center" wrapText="1"/>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Alignment="1" applyProtection="1">
      <alignment horizontal="center" vertical="center" wrapText="1"/>
    </xf>
  </cellXfs>
  <cellStyles count="8123">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085" xr:uid="{4F54FBED-E259-4B73-AA91-19CC355602C2}"/>
    <cellStyle name="Comma 3 10 2 3" xfId="5390" xr:uid="{C9D34973-2152-47B7-BDBF-E2C58A36BFBA}"/>
    <cellStyle name="Comma 3 10 2 4" xfId="6692" xr:uid="{EA220DF4-486B-4CFB-BF4A-5CEAB73DB0B6}"/>
    <cellStyle name="Comma 3 10 2 5" xfId="7995" xr:uid="{2B7CCE87-4A24-4238-90B8-8D93DF97C6E1}"/>
    <cellStyle name="Comma 3 10 3" xfId="4321" xr:uid="{1DD1F3F0-4F81-4331-BAE1-3380BAAC99B7}"/>
    <cellStyle name="Comma 3 10 3 2" xfId="5626" xr:uid="{D1F54073-1E91-41A0-8D7C-103CFF6B863E}"/>
    <cellStyle name="Comma 3 10 3 3" xfId="6928" xr:uid="{260B5EE5-FA77-4934-959A-D336F907E6D1}"/>
    <cellStyle name="Comma 3 10 4" xfId="4601" xr:uid="{AD7DEC3C-BCCC-4B4D-B8B7-FDB4082DC044}"/>
    <cellStyle name="Comma 3 10 4 2" xfId="5903" xr:uid="{0B509FB3-B599-4D82-939A-9E6515E8C573}"/>
    <cellStyle name="Comma 3 10 4 3" xfId="7206" xr:uid="{30864DD9-A1FC-41AA-B9C1-4CE8E108F537}"/>
    <cellStyle name="Comma 3 10 5" xfId="4878" xr:uid="{CC602534-F636-42D0-8365-35DCAE3D3FC0}"/>
    <cellStyle name="Comma 3 10 5 2" xfId="6180" xr:uid="{B99422FC-07F2-4DAB-9B8E-6DBA8C4E3889}"/>
    <cellStyle name="Comma 3 10 5 3" xfId="7483" xr:uid="{DA3501AD-44DE-4C31-801C-FC5A45B89515}"/>
    <cellStyle name="Comma 3 10 6" xfId="3856" xr:uid="{46A8DF13-E4A6-4C22-94DF-D64310C7FDE9}"/>
    <cellStyle name="Comma 3 10 7" xfId="5161" xr:uid="{655B49D3-1D32-4594-BFE2-DEC10DB06E38}"/>
    <cellStyle name="Comma 3 10 8" xfId="6463" xr:uid="{63A7ABFF-7C55-45ED-B572-88BD4C8CFD8F}"/>
    <cellStyle name="Comma 3 10 9" xfId="7766" xr:uid="{CF5D7CD6-599B-428F-8C47-3DAD1F73D826}"/>
    <cellStyle name="Comma 3 11" xfId="3508" xr:uid="{EFE4C2AF-257B-4B00-84A3-788A75D1DF95}"/>
    <cellStyle name="Comma 3 11 2" xfId="4457" xr:uid="{AA91A073-6954-4C21-888C-0BDE336139E3}"/>
    <cellStyle name="Comma 3 11 2 2" xfId="5760" xr:uid="{8BA93BB4-B6F2-42E2-82B1-B2934CCFB377}"/>
    <cellStyle name="Comma 3 11 2 3" xfId="7063" xr:uid="{714FF29F-D8E8-458C-AC29-E4B7CE2DF31B}"/>
    <cellStyle name="Comma 3 11 3" xfId="4735" xr:uid="{EE2E0FE3-9294-461C-AC67-0C1278E0248D}"/>
    <cellStyle name="Comma 3 11 3 2" xfId="6037" xr:uid="{99E7AE0F-7BE6-470D-A660-AA92E22E6237}"/>
    <cellStyle name="Comma 3 11 3 3" xfId="7340" xr:uid="{F17D884F-2DA1-4689-8F21-E4A075016DFE}"/>
    <cellStyle name="Comma 3 11 4" xfId="5012" xr:uid="{57709D48-CE88-4749-9EB9-05E5A77ADA71}"/>
    <cellStyle name="Comma 3 11 4 2" xfId="6314" xr:uid="{6E6FACF4-57C4-44CA-AA4D-3C0B85FA031C}"/>
    <cellStyle name="Comma 3 11 4 3" xfId="7617" xr:uid="{2F539BCB-E7E3-4F67-846F-95C441A67DE1}"/>
    <cellStyle name="Comma 3 11 5" xfId="3995" xr:uid="{5F170DDD-7DCB-4773-B689-7BBB6F2B4347}"/>
    <cellStyle name="Comma 3 11 6" xfId="5300" xr:uid="{825969AD-7031-4482-9ACC-E05AAB4D1DA4}"/>
    <cellStyle name="Comma 3 11 7" xfId="6602" xr:uid="{C084FD42-D901-4011-A85B-7ED699690208}"/>
    <cellStyle name="Comma 3 11 8" xfId="7905" xr:uid="{6E2CC953-782E-43F7-ADF2-F57EAEC52EDA}"/>
    <cellStyle name="Comma 3 12" xfId="4231" xr:uid="{ADBE62CA-96F4-4B8E-8FC3-0B9EEBCF2DBA}"/>
    <cellStyle name="Comma 3 12 2" xfId="5536" xr:uid="{8AED7055-DD3B-4BF1-9A48-AB5D73B70CD6}"/>
    <cellStyle name="Comma 3 12 3" xfId="6838" xr:uid="{CEDE088E-A579-432F-A02D-1F67C7E4A4D9}"/>
    <cellStyle name="Comma 3 13" xfId="4510" xr:uid="{4BFBBD6E-9B8E-42EB-9291-C6163A0E78CC}"/>
    <cellStyle name="Comma 3 13 2" xfId="5813" xr:uid="{9D74AFA5-CE92-422E-857D-A32B025B418A}"/>
    <cellStyle name="Comma 3 13 3" xfId="7116" xr:uid="{CCA40A07-16D1-4CCD-84E5-139566FDCF00}"/>
    <cellStyle name="Comma 3 14" xfId="4788" xr:uid="{2C702FB5-56F0-45BA-B161-DE1CAE6DEECF}"/>
    <cellStyle name="Comma 3 14 2" xfId="6090" xr:uid="{1CCD42AC-4B4A-4434-814A-7C9621F79859}"/>
    <cellStyle name="Comma 3 14 3" xfId="7393" xr:uid="{7E300290-17EB-4AC2-9C02-4271B06031CC}"/>
    <cellStyle name="Comma 3 15" xfId="3766" xr:uid="{B623C68B-ADE0-4D86-B6FE-C2B46BFBA95A}"/>
    <cellStyle name="Comma 3 16" xfId="5071" xr:uid="{03F6A9E6-A4D2-4CBF-887A-1DA0D4A9E338}"/>
    <cellStyle name="Comma 3 17" xfId="6373" xr:uid="{55F3CB1F-9212-44B7-BE31-B3DEAD3283BC}"/>
    <cellStyle name="Comma 3 18" xfId="7676" xr:uid="{404215DA-90EC-478F-BBBD-137F2F4CF543}"/>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10" xfId="3768" xr:uid="{E11341F6-269A-48D1-8FE1-DFE077A97E37}"/>
    <cellStyle name="Comma 3 4 11" xfId="5073" xr:uid="{74EB153A-5317-4760-9FC5-6133C84B8E5C}"/>
    <cellStyle name="Comma 3 4 12" xfId="6375" xr:uid="{CB9204A1-4190-449D-882B-71E076B3F42D}"/>
    <cellStyle name="Comma 3 4 13" xfId="7678" xr:uid="{E3E1DDAB-9D67-47DF-B4C6-7B50A20853FD}"/>
    <cellStyle name="Comma 3 4 2" xfId="2856" xr:uid="{5C1B52C6-2D5F-4CF0-AA73-C616E22895DB}"/>
    <cellStyle name="Comma 3 4 2 10" xfId="5090" xr:uid="{6338E0B7-B040-4DCE-9F7D-3D0A6A76EE36}"/>
    <cellStyle name="Comma 3 4 2 11" xfId="6392" xr:uid="{DC55156C-7754-420D-B2B3-F1A47AD23D62}"/>
    <cellStyle name="Comma 3 4 2 12" xfId="7695" xr:uid="{42AC3027-1BB7-468E-93EC-1D2137548CDA}"/>
    <cellStyle name="Comma 3 4 2 2" xfId="2903" xr:uid="{90EB9ECE-729C-4C10-8B86-53F5FA2C8CFD}"/>
    <cellStyle name="Comma 3 4 2 2 10" xfId="7740" xr:uid="{311DC93E-136D-4AF1-AC57-6F6774CC2038}"/>
    <cellStyle name="Comma 3 4 2 2 2" xfId="3004" xr:uid="{1A70AC8E-5EAB-432C-8B63-879B0B35A687}"/>
    <cellStyle name="Comma 3 4 2 2 2 2" xfId="3673" xr:uid="{6C0C6D32-DC09-4A60-845D-3A87F637C811}"/>
    <cellStyle name="Comma 3 4 2 2 2 2 2" xfId="4144" xr:uid="{5272EA73-AF7A-4836-B48E-81AB00605F1F}"/>
    <cellStyle name="Comma 3 4 2 2 2 2 3" xfId="5449" xr:uid="{34A09F9D-17FA-4DFA-A7A1-05106063492F}"/>
    <cellStyle name="Comma 3 4 2 2 2 2 4" xfId="6751" xr:uid="{E1834755-C444-484C-B46D-0DD6EE8C29FD}"/>
    <cellStyle name="Comma 3 4 2 2 2 2 5" xfId="8054" xr:uid="{0FF45407-BC84-4805-AA8B-6B6E9889B313}"/>
    <cellStyle name="Comma 3 4 2 2 2 3" xfId="4380" xr:uid="{B09289E9-1F9A-4479-A619-F795A036A86E}"/>
    <cellStyle name="Comma 3 4 2 2 2 3 2" xfId="5685" xr:uid="{75CBC8AD-98F7-4D6F-82A9-452F7EC8D07E}"/>
    <cellStyle name="Comma 3 4 2 2 2 3 3" xfId="6987" xr:uid="{8035F94A-9287-422B-967E-AB8B5172B001}"/>
    <cellStyle name="Comma 3 4 2 2 2 4" xfId="4660" xr:uid="{298E0E44-0BDE-4030-B53C-65970524D234}"/>
    <cellStyle name="Comma 3 4 2 2 2 4 2" xfId="5962" xr:uid="{A7F6D633-321E-4B04-8B40-29A70E0C0E29}"/>
    <cellStyle name="Comma 3 4 2 2 2 4 3" xfId="7265" xr:uid="{AB7B1E83-5079-4EB9-9A90-D2D62C4165B2}"/>
    <cellStyle name="Comma 3 4 2 2 2 5" xfId="4937" xr:uid="{E79098F5-6CC2-4597-8727-7C871D569A46}"/>
    <cellStyle name="Comma 3 4 2 2 2 5 2" xfId="6239" xr:uid="{3516F07E-4EB3-44CF-AC2E-9859BC573C3C}"/>
    <cellStyle name="Comma 3 4 2 2 2 5 3" xfId="7542" xr:uid="{F408209F-968A-465B-BE76-33FDBAC27EB5}"/>
    <cellStyle name="Comma 3 4 2 2 2 6" xfId="3915" xr:uid="{8732C5F1-0FF4-43A5-90C3-7EAFD07491BB}"/>
    <cellStyle name="Comma 3 4 2 2 2 7" xfId="5220" xr:uid="{E6D4BC52-0DE9-441A-8AFC-58AFE853ACD1}"/>
    <cellStyle name="Comma 3 4 2 2 2 8" xfId="6522" xr:uid="{AF86B713-21DE-4400-BE52-03C1C08F8F74}"/>
    <cellStyle name="Comma 3 4 2 2 2 9" xfId="7825" xr:uid="{3F87D9AE-9201-4635-A94D-88C9099071D9}"/>
    <cellStyle name="Comma 3 4 2 2 3" xfId="3572" xr:uid="{E04064AF-8D5B-474A-A164-ECAD72B69992}"/>
    <cellStyle name="Comma 3 4 2 2 3 2" xfId="4059" xr:uid="{33FF1F62-9B6D-40E0-AD19-20575A3FACC4}"/>
    <cellStyle name="Comma 3 4 2 2 3 3" xfId="5364" xr:uid="{FA83E049-B9EA-4C24-A1E9-27F863C67DCF}"/>
    <cellStyle name="Comma 3 4 2 2 3 4" xfId="6666" xr:uid="{AA5CFDCA-2DCE-4BF0-A079-1E3542E257F8}"/>
    <cellStyle name="Comma 3 4 2 2 3 5" xfId="7969" xr:uid="{18BE36F1-82EB-48F4-A0B8-A488FEBA2073}"/>
    <cellStyle name="Comma 3 4 2 2 4" xfId="4295" xr:uid="{5862E3AB-F0C6-4F1C-8BA4-6054816B51FF}"/>
    <cellStyle name="Comma 3 4 2 2 4 2" xfId="5600" xr:uid="{597BF626-7AAC-4650-95C6-04D2E40E7FB9}"/>
    <cellStyle name="Comma 3 4 2 2 4 3" xfId="6902" xr:uid="{E1F49484-70D8-4BEF-8FA9-E886EF75EF8C}"/>
    <cellStyle name="Comma 3 4 2 2 5" xfId="4575" xr:uid="{DC77A4D2-E328-469A-8843-3A71114F4E0D}"/>
    <cellStyle name="Comma 3 4 2 2 5 2" xfId="5877" xr:uid="{3AFAA8AB-9E87-4A9E-9D9A-D71269C3DE38}"/>
    <cellStyle name="Comma 3 4 2 2 5 3" xfId="7180" xr:uid="{31532858-48C2-4CDB-BB46-1B38D99161D5}"/>
    <cellStyle name="Comma 3 4 2 2 6" xfId="4852" xr:uid="{0DD58E11-4BD8-483F-881A-8254F44E9B08}"/>
    <cellStyle name="Comma 3 4 2 2 6 2" xfId="6154" xr:uid="{4C0DD316-32AE-45B3-8D6E-5F95D745A221}"/>
    <cellStyle name="Comma 3 4 2 2 6 3" xfId="7457" xr:uid="{7F9E1AC4-A2E1-4274-9041-C69D56756872}"/>
    <cellStyle name="Comma 3 4 2 2 7" xfId="3830" xr:uid="{C7AB00E1-034F-4B8F-912C-BFA6D69635F5}"/>
    <cellStyle name="Comma 3 4 2 2 8" xfId="5135" xr:uid="{E6374CC5-B241-4BE9-BEB3-DAAB79195738}"/>
    <cellStyle name="Comma 3 4 2 2 9" xfId="6437" xr:uid="{657976E5-CF16-47D1-B561-8EACD88F8A63}"/>
    <cellStyle name="Comma 3 4 2 3" xfId="3448" xr:uid="{4C0A1973-8449-4512-99AA-605FE5B41319}"/>
    <cellStyle name="Comma 3 4 2 3 2" xfId="3713" xr:uid="{73AC7E66-23DF-4B58-93B2-01A534530147}"/>
    <cellStyle name="Comma 3 4 2 3 2 2" xfId="4184" xr:uid="{95E39193-F5A5-4872-8801-CEEFA10C1824}"/>
    <cellStyle name="Comma 3 4 2 3 2 3" xfId="5489" xr:uid="{91EE51CF-CF04-43C2-86A3-1C16E83608F2}"/>
    <cellStyle name="Comma 3 4 2 3 2 4" xfId="6791" xr:uid="{0C946AB6-1D2F-4429-B905-5F339E6232A5}"/>
    <cellStyle name="Comma 3 4 2 3 2 5" xfId="8094" xr:uid="{33E9A1F2-F4D7-4CE7-8738-B63617F58367}"/>
    <cellStyle name="Comma 3 4 2 3 3" xfId="4420" xr:uid="{608F56F3-DA60-4FCA-AA03-AC6698DAF3FA}"/>
    <cellStyle name="Comma 3 4 2 3 3 2" xfId="5725" xr:uid="{F2B01C40-BBD9-44DB-AD89-5D368A65F214}"/>
    <cellStyle name="Comma 3 4 2 3 3 3" xfId="7027" xr:uid="{C220200A-03C3-4C6E-9AC5-F0C12D581A9B}"/>
    <cellStyle name="Comma 3 4 2 3 4" xfId="4700" xr:uid="{4CE54A49-723D-4470-8A6E-9BCF4F7BACB4}"/>
    <cellStyle name="Comma 3 4 2 3 4 2" xfId="6002" xr:uid="{54260FF7-E298-47DB-8752-4709FFB133C1}"/>
    <cellStyle name="Comma 3 4 2 3 4 3" xfId="7305" xr:uid="{319454BF-C111-48F2-8D1B-9B38A7F2A4AB}"/>
    <cellStyle name="Comma 3 4 2 3 5" xfId="4977" xr:uid="{D5C7315B-8E2F-40DE-A6A2-989ED776BBAF}"/>
    <cellStyle name="Comma 3 4 2 3 5 2" xfId="6279" xr:uid="{33EA2BB4-0133-4EAB-BB0F-2654E09AC86D}"/>
    <cellStyle name="Comma 3 4 2 3 5 3" xfId="7582" xr:uid="{13DB5962-C217-4386-B8F4-44DB969B9AB8}"/>
    <cellStyle name="Comma 3 4 2 3 6" xfId="3955" xr:uid="{D016447B-1E6F-4462-9A30-9F3A2154C56B}"/>
    <cellStyle name="Comma 3 4 2 3 7" xfId="5260" xr:uid="{472329FB-4FBB-4C54-A9F9-831A15C22743}"/>
    <cellStyle name="Comma 3 4 2 3 8" xfId="6562" xr:uid="{9CDE9DB5-6124-48E2-B31C-10DBB97C0C82}"/>
    <cellStyle name="Comma 3 4 2 3 9" xfId="7865" xr:uid="{271CE363-244A-498A-8DF8-CE17763177D2}"/>
    <cellStyle name="Comma 3 4 2 4" xfId="2948" xr:uid="{E0A3DC83-1792-4502-9B85-BE13B72125D0}"/>
    <cellStyle name="Comma 3 4 2 4 2" xfId="3617" xr:uid="{DCBA6CE1-3F75-4542-8A63-8887027FE4C4}"/>
    <cellStyle name="Comma 3 4 2 4 2 2" xfId="4104" xr:uid="{EE76DA3C-252C-405D-9F19-838BD1FDDF16}"/>
    <cellStyle name="Comma 3 4 2 4 2 3" xfId="5409" xr:uid="{B9314E89-9AB8-46DB-AE24-34D9B4695660}"/>
    <cellStyle name="Comma 3 4 2 4 2 4" xfId="6711" xr:uid="{791973B4-B85E-452A-B20F-82C12D310451}"/>
    <cellStyle name="Comma 3 4 2 4 2 5" xfId="8014" xr:uid="{81F5C618-5357-4685-B3E0-9CF62BED3FB3}"/>
    <cellStyle name="Comma 3 4 2 4 3" xfId="4340" xr:uid="{EC9CCA96-5C60-44DC-9E55-8A146B383FCB}"/>
    <cellStyle name="Comma 3 4 2 4 3 2" xfId="5645" xr:uid="{96EF892E-4E4A-4833-9452-9E6212980CDB}"/>
    <cellStyle name="Comma 3 4 2 4 3 3" xfId="6947" xr:uid="{0082621A-C890-4796-9841-16B6FDEF9B65}"/>
    <cellStyle name="Comma 3 4 2 4 4" xfId="4620" xr:uid="{EBB87C94-45B6-4F75-B0D5-477B66AFE5AA}"/>
    <cellStyle name="Comma 3 4 2 4 4 2" xfId="5922" xr:uid="{63DEB72C-D1F6-4353-BBFC-2D35328E4B58}"/>
    <cellStyle name="Comma 3 4 2 4 4 3" xfId="7225" xr:uid="{5E9A9D89-B093-4A2A-98AD-E8D67B585BBD}"/>
    <cellStyle name="Comma 3 4 2 4 5" xfId="4897" xr:uid="{AA70B6CE-B87C-4A4A-836F-86BC1356797F}"/>
    <cellStyle name="Comma 3 4 2 4 5 2" xfId="6199" xr:uid="{761B7526-AD9C-436D-969D-07B3E1C9B439}"/>
    <cellStyle name="Comma 3 4 2 4 5 3" xfId="7502" xr:uid="{A0B51846-D965-467F-BEB7-BDCC2F2A513C}"/>
    <cellStyle name="Comma 3 4 2 4 6" xfId="3875" xr:uid="{4F21AE4B-1A98-4619-9A4A-38FA0DE4B407}"/>
    <cellStyle name="Comma 3 4 2 4 7" xfId="5180" xr:uid="{3A59E4CD-75BD-41AD-80CC-17A8731961E7}"/>
    <cellStyle name="Comma 3 4 2 4 8" xfId="6482" xr:uid="{B5D3E369-4BD1-4190-97D9-77DD884AFFD5}"/>
    <cellStyle name="Comma 3 4 2 4 9" xfId="7785" xr:uid="{D62859C9-9539-40FC-96FC-BA08F626D51A}"/>
    <cellStyle name="Comma 3 4 2 5" xfId="3527" xr:uid="{543CE7C5-B4AB-4997-941E-024611540791}"/>
    <cellStyle name="Comma 3 4 2 5 2" xfId="4476" xr:uid="{F9C302CA-DCFD-467E-A756-A920C7C50609}"/>
    <cellStyle name="Comma 3 4 2 5 2 2" xfId="5779" xr:uid="{622A2155-38B9-44B1-8853-BABF8C69140C}"/>
    <cellStyle name="Comma 3 4 2 5 2 3" xfId="7082" xr:uid="{DAB28638-6D48-4491-8DD9-75AA717F2B71}"/>
    <cellStyle name="Comma 3 4 2 5 3" xfId="4754" xr:uid="{84DB6FDE-08D7-48F3-BAEA-8BB8691CD6B3}"/>
    <cellStyle name="Comma 3 4 2 5 3 2" xfId="6056" xr:uid="{1628EBF3-D5FA-409F-992D-3E27EACE938C}"/>
    <cellStyle name="Comma 3 4 2 5 3 3" xfId="7359" xr:uid="{AE4C6D0C-4B33-4B1C-82F3-C0D09E255FC9}"/>
    <cellStyle name="Comma 3 4 2 5 4" xfId="5031" xr:uid="{FB2D27DB-21D5-48C8-A466-65C01C576FB8}"/>
    <cellStyle name="Comma 3 4 2 5 4 2" xfId="6333" xr:uid="{D8554EB9-C81D-4AC9-9563-7D4DCAAE249D}"/>
    <cellStyle name="Comma 3 4 2 5 4 3" xfId="7636" xr:uid="{4CFB3912-1C05-4375-BA73-08035DA5740E}"/>
    <cellStyle name="Comma 3 4 2 5 5" xfId="4014" xr:uid="{783FA788-C1AA-4FE3-9510-FCB1E2A818B7}"/>
    <cellStyle name="Comma 3 4 2 5 6" xfId="5319" xr:uid="{3A50D4B4-8711-4572-A36F-5F6E1FDEC9E4}"/>
    <cellStyle name="Comma 3 4 2 5 7" xfId="6621" xr:uid="{E4D76287-968A-4183-A92D-D05C9300DFBC}"/>
    <cellStyle name="Comma 3 4 2 5 8" xfId="7924" xr:uid="{57F4537F-3574-4494-A011-A0E987D78855}"/>
    <cellStyle name="Comma 3 4 2 6" xfId="4250" xr:uid="{FB9B065F-BF08-45F4-AEF0-BFCAC9AB090E}"/>
    <cellStyle name="Comma 3 4 2 6 2" xfId="5555" xr:uid="{C7EA354F-4063-4B03-9358-30D3F723D2E2}"/>
    <cellStyle name="Comma 3 4 2 6 3" xfId="6857" xr:uid="{0A504F1C-8A7D-4136-B37B-6D3AAA424759}"/>
    <cellStyle name="Comma 3 4 2 7" xfId="4530" xr:uid="{4E24E019-DAE8-4FED-A28F-EA65690EC62F}"/>
    <cellStyle name="Comma 3 4 2 7 2" xfId="5832" xr:uid="{C63BC211-E9EE-41FB-9FA3-E64C86E9B5A2}"/>
    <cellStyle name="Comma 3 4 2 7 3" xfId="7135" xr:uid="{1488BD52-FBDD-4876-B709-3011A8649FEA}"/>
    <cellStyle name="Comma 3 4 2 8" xfId="4807" xr:uid="{076C1167-E118-4DC8-B79A-0CF733BF3A9B}"/>
    <cellStyle name="Comma 3 4 2 8 2" xfId="6109" xr:uid="{2A786BAB-D182-4871-864E-217564C83FFD}"/>
    <cellStyle name="Comma 3 4 2 8 3" xfId="7412" xr:uid="{FCB2DB35-7454-4831-AC1F-29CA87CB0019}"/>
    <cellStyle name="Comma 3 4 2 9" xfId="3785" xr:uid="{ABBAFB7E-181A-4922-8377-DAD569A94B3C}"/>
    <cellStyle name="Comma 3 4 3" xfId="2886" xr:uid="{B4E3D386-4C3F-4F19-8DB4-D1B17CD29374}"/>
    <cellStyle name="Comma 3 4 3 10" xfId="7723" xr:uid="{53EA4000-E904-429D-8968-C7AB38068234}"/>
    <cellStyle name="Comma 3 4 3 2" xfId="2982" xr:uid="{056404B3-5C18-4C5C-A3B9-08979F4978C2}"/>
    <cellStyle name="Comma 3 4 3 2 2" xfId="3651" xr:uid="{D33F01AF-8027-4511-B56E-BE81C528FE09}"/>
    <cellStyle name="Comma 3 4 3 2 2 2" xfId="4127" xr:uid="{DA0283B0-C0FC-4E69-8308-646736BB97E7}"/>
    <cellStyle name="Comma 3 4 3 2 2 3" xfId="5432" xr:uid="{FD665A68-72F0-4AD7-8C8A-D592AE9624B0}"/>
    <cellStyle name="Comma 3 4 3 2 2 4" xfId="6734" xr:uid="{A74ACFA0-1D72-4A7C-AE11-A70B591CC55D}"/>
    <cellStyle name="Comma 3 4 3 2 2 5" xfId="8037" xr:uid="{D05F6A09-916C-42AC-9BD3-54220A24E23F}"/>
    <cellStyle name="Comma 3 4 3 2 3" xfId="4363" xr:uid="{78C78CA3-20DC-4D2D-A733-50D84165C6CB}"/>
    <cellStyle name="Comma 3 4 3 2 3 2" xfId="5668" xr:uid="{9D0A8C16-8477-4B73-A080-58C3912F9FC5}"/>
    <cellStyle name="Comma 3 4 3 2 3 3" xfId="6970" xr:uid="{781A9155-47CE-484C-803D-751004303E98}"/>
    <cellStyle name="Comma 3 4 3 2 4" xfId="4643" xr:uid="{6C318DE9-AC8F-47C6-9E5D-47FAD2804DF2}"/>
    <cellStyle name="Comma 3 4 3 2 4 2" xfId="5945" xr:uid="{CED59F48-FD54-44B4-AF28-2EF28A1CB47D}"/>
    <cellStyle name="Comma 3 4 3 2 4 3" xfId="7248" xr:uid="{2559DCE8-2DC4-4366-A366-DA4C23AC651E}"/>
    <cellStyle name="Comma 3 4 3 2 5" xfId="4920" xr:uid="{DBF97B18-6BAB-4B96-AAA7-8306A09540D9}"/>
    <cellStyle name="Comma 3 4 3 2 5 2" xfId="6222" xr:uid="{A72C56C7-81EF-46B3-B255-E6337D4FA0FA}"/>
    <cellStyle name="Comma 3 4 3 2 5 3" xfId="7525" xr:uid="{6ED02D16-4E0C-4762-8E09-C034C62FD9A0}"/>
    <cellStyle name="Comma 3 4 3 2 6" xfId="3898" xr:uid="{B965FFE8-3BB3-477B-A1C1-416E5DC2FA4E}"/>
    <cellStyle name="Comma 3 4 3 2 7" xfId="5203" xr:uid="{40F8F36C-8B51-4598-BBA1-F2350124E7B8}"/>
    <cellStyle name="Comma 3 4 3 2 8" xfId="6505" xr:uid="{84B1DD7C-807A-4E4D-A9BE-C841B37371D2}"/>
    <cellStyle name="Comma 3 4 3 2 9" xfId="7808" xr:uid="{E3D6970F-867E-495F-9444-95E8556BC341}"/>
    <cellStyle name="Comma 3 4 3 3" xfId="3555" xr:uid="{C92B8B04-10FF-4182-8913-A1DA291D25C2}"/>
    <cellStyle name="Comma 3 4 3 3 2" xfId="4042" xr:uid="{F6C0FAA7-2E75-404A-9A8B-BDA582F336B2}"/>
    <cellStyle name="Comma 3 4 3 3 3" xfId="5347" xr:uid="{BB419481-5D49-4930-BDDF-96518E9A5C64}"/>
    <cellStyle name="Comma 3 4 3 3 4" xfId="6649" xr:uid="{8144F2DA-ED17-4144-AE2B-A1FAD9A7479B}"/>
    <cellStyle name="Comma 3 4 3 3 5" xfId="7952" xr:uid="{507EA67F-A306-4A6E-A941-6D71EF59547E}"/>
    <cellStyle name="Comma 3 4 3 4" xfId="4278" xr:uid="{6ABA4323-238C-4ACC-8AEB-05D45C8DA056}"/>
    <cellStyle name="Comma 3 4 3 4 2" xfId="5583" xr:uid="{C639ADD5-BEBD-4BF7-8C55-1BBD7F8F0708}"/>
    <cellStyle name="Comma 3 4 3 4 3" xfId="6885" xr:uid="{4E52C2D0-8672-4B58-ABA5-EBCBC775FB21}"/>
    <cellStyle name="Comma 3 4 3 5" xfId="4558" xr:uid="{E73FF66D-2339-4511-98E3-6F25D16BDD9D}"/>
    <cellStyle name="Comma 3 4 3 5 2" xfId="5860" xr:uid="{9B9D9B4C-8B18-4754-8752-D50080A1327C}"/>
    <cellStyle name="Comma 3 4 3 5 3" xfId="7163" xr:uid="{BFE9872F-2990-4AD9-9E5D-BE1F50B8966C}"/>
    <cellStyle name="Comma 3 4 3 6" xfId="4835" xr:uid="{6675D01F-614C-4D35-9F86-9734E18C706B}"/>
    <cellStyle name="Comma 3 4 3 6 2" xfId="6137" xr:uid="{2127BA5E-8603-4438-9F64-92D1D7AA129F}"/>
    <cellStyle name="Comma 3 4 3 6 3" xfId="7440" xr:uid="{FCF43664-DED3-4C39-86AD-706FD328488C}"/>
    <cellStyle name="Comma 3 4 3 7" xfId="3813" xr:uid="{8A035E60-C168-4E43-9401-75009E30D84F}"/>
    <cellStyle name="Comma 3 4 3 8" xfId="5118" xr:uid="{7BB6CB83-3E42-47E3-8641-DAEB30C0364C}"/>
    <cellStyle name="Comma 3 4 3 9" xfId="6420" xr:uid="{5241B773-18A4-40A3-BA2C-9EEEB3B99A98}"/>
    <cellStyle name="Comma 3 4 4" xfId="3424" xr:uid="{4F1C737B-D85A-402A-8AD7-C59FB17C0CFC}"/>
    <cellStyle name="Comma 3 4 4 2" xfId="3696" xr:uid="{76DC5773-C727-4A82-9030-A6E21916AE21}"/>
    <cellStyle name="Comma 3 4 4 2 2" xfId="4167" xr:uid="{1FBF66DF-0994-404F-8469-371F3FA4765E}"/>
    <cellStyle name="Comma 3 4 4 2 3" xfId="5472" xr:uid="{D8EAADA9-F93E-4509-B6EA-F335C5273E73}"/>
    <cellStyle name="Comma 3 4 4 2 4" xfId="6774" xr:uid="{9FF674CB-E5DF-4079-950E-7F8AC455BC55}"/>
    <cellStyle name="Comma 3 4 4 2 5" xfId="8077" xr:uid="{AC4E8B9F-4470-48D8-B9F5-8D770540C2F3}"/>
    <cellStyle name="Comma 3 4 4 3" xfId="4403" xr:uid="{52FADE75-2EB5-4E13-A66C-B735CE4442BB}"/>
    <cellStyle name="Comma 3 4 4 3 2" xfId="5708" xr:uid="{2D4B0062-7D48-432F-B4B9-306C6074D271}"/>
    <cellStyle name="Comma 3 4 4 3 3" xfId="7010" xr:uid="{5A545AAF-EE55-4C57-9DB2-20EBDB846CFF}"/>
    <cellStyle name="Comma 3 4 4 4" xfId="4683" xr:uid="{2667E7FF-8DCF-4BE3-8221-D3294E8D7127}"/>
    <cellStyle name="Comma 3 4 4 4 2" xfId="5985" xr:uid="{A6DE864B-B8C7-472E-873D-040798D6F914}"/>
    <cellStyle name="Comma 3 4 4 4 3" xfId="7288" xr:uid="{101BC073-B4A1-43CC-9C84-3CDDD79041BD}"/>
    <cellStyle name="Comma 3 4 4 5" xfId="4960" xr:uid="{E4C7C7A0-E0C5-4E09-BCF8-A9F3676F6D55}"/>
    <cellStyle name="Comma 3 4 4 5 2" xfId="6262" xr:uid="{2688DA42-1B1C-4632-B60E-8DDB8B2DA6FB}"/>
    <cellStyle name="Comma 3 4 4 5 3" xfId="7565" xr:uid="{2B8ABBEB-6227-4785-B998-1FFB33A402E8}"/>
    <cellStyle name="Comma 3 4 4 6" xfId="3938" xr:uid="{53214CDA-4E34-458B-87C8-01E8ECAE0135}"/>
    <cellStyle name="Comma 3 4 4 7" xfId="5243" xr:uid="{805548F1-F4A5-4821-842C-1C16B4155AA6}"/>
    <cellStyle name="Comma 3 4 4 8" xfId="6545" xr:uid="{7BF00CD5-5FE8-4D8E-8A93-F4520E68842A}"/>
    <cellStyle name="Comma 3 4 4 9" xfId="7848" xr:uid="{04CD8DB2-EB0A-467E-B6B7-47CBC4919F29}"/>
    <cellStyle name="Comma 3 4 5" xfId="2931" xr:uid="{1AB89C2F-68FE-47B6-A33C-DDF6A14AC0BD}"/>
    <cellStyle name="Comma 3 4 5 2" xfId="3600" xr:uid="{DFFDE328-BC63-47FC-ADF5-CB0CA6E7B6C8}"/>
    <cellStyle name="Comma 3 4 5 2 2" xfId="4087" xr:uid="{1971A8C1-C356-4DF1-B0F6-497F56841AB6}"/>
    <cellStyle name="Comma 3 4 5 2 3" xfId="5392" xr:uid="{42DF6153-EF72-469E-BA01-7EB42013DEB0}"/>
    <cellStyle name="Comma 3 4 5 2 4" xfId="6694" xr:uid="{21871412-C052-4C0B-B396-3A0FBD3B477B}"/>
    <cellStyle name="Comma 3 4 5 2 5" xfId="7997" xr:uid="{BCF25752-F2DE-4910-BD24-5D06A4899B0F}"/>
    <cellStyle name="Comma 3 4 5 3" xfId="4323" xr:uid="{53DC3B6C-59EF-4D77-8D6D-AA27BFC8084A}"/>
    <cellStyle name="Comma 3 4 5 3 2" xfId="5628" xr:uid="{0EB595FA-7428-443C-B5D6-9A9EF9879E86}"/>
    <cellStyle name="Comma 3 4 5 3 3" xfId="6930" xr:uid="{4817AB36-0F46-48FF-A785-73B8522F07EB}"/>
    <cellStyle name="Comma 3 4 5 4" xfId="4603" xr:uid="{5D0C1C25-3BDC-4BC5-8559-6AB19C8BA026}"/>
    <cellStyle name="Comma 3 4 5 4 2" xfId="5905" xr:uid="{309B00E7-9DBF-4ECC-A335-E57421CBABD4}"/>
    <cellStyle name="Comma 3 4 5 4 3" xfId="7208" xr:uid="{4B89D53F-FB7F-45C9-AACE-DD6E87677D48}"/>
    <cellStyle name="Comma 3 4 5 5" xfId="4880" xr:uid="{30F2A77C-306B-4285-A49B-14EB76B23D46}"/>
    <cellStyle name="Comma 3 4 5 5 2" xfId="6182" xr:uid="{D855DE84-3F45-4FB9-A2A3-BDC15F8D1E42}"/>
    <cellStyle name="Comma 3 4 5 5 3" xfId="7485" xr:uid="{D3B5F9D3-7B47-4C43-B32C-7629BA648748}"/>
    <cellStyle name="Comma 3 4 5 6" xfId="3858" xr:uid="{1662555E-644E-438C-84A9-4BC7EFA30505}"/>
    <cellStyle name="Comma 3 4 5 7" xfId="5163" xr:uid="{E130752B-39A3-4356-B500-478352D65AD2}"/>
    <cellStyle name="Comma 3 4 5 8" xfId="6465" xr:uid="{FBFA3994-D4B0-4517-870F-EDFE34E6A95C}"/>
    <cellStyle name="Comma 3 4 5 9" xfId="7768" xr:uid="{02B17EFC-B94D-4813-AEF4-524E8E5896F7}"/>
    <cellStyle name="Comma 3 4 6" xfId="3510" xr:uid="{AEF1870C-FE26-4342-9D6C-C02A94A4181C}"/>
    <cellStyle name="Comma 3 4 6 2" xfId="4459" xr:uid="{35ED7454-6D2A-4BCC-82D6-DCF38ED6B50D}"/>
    <cellStyle name="Comma 3 4 6 2 2" xfId="5762" xr:uid="{11A9A461-0BB6-47EF-ADC5-C8A22C266D51}"/>
    <cellStyle name="Comma 3 4 6 2 3" xfId="7065" xr:uid="{FC72DEDF-547B-4A79-B832-28E93700A1E4}"/>
    <cellStyle name="Comma 3 4 6 3" xfId="4737" xr:uid="{085FEF81-28C7-4DC5-B68E-5AC5F499C5C7}"/>
    <cellStyle name="Comma 3 4 6 3 2" xfId="6039" xr:uid="{2AC74075-3E6D-45DF-A175-AE08DED7200F}"/>
    <cellStyle name="Comma 3 4 6 3 3" xfId="7342" xr:uid="{BB997DAD-7122-411B-86E9-8B70F93C2BC9}"/>
    <cellStyle name="Comma 3 4 6 4" xfId="5014" xr:uid="{8CBEA186-1561-4D53-8117-8C8F5B9E735D}"/>
    <cellStyle name="Comma 3 4 6 4 2" xfId="6316" xr:uid="{7CA64FD8-A784-4F36-94BA-F081981AD825}"/>
    <cellStyle name="Comma 3 4 6 4 3" xfId="7619" xr:uid="{250D7172-350B-4915-8BC6-E348C551A6AC}"/>
    <cellStyle name="Comma 3 4 6 5" xfId="3997" xr:uid="{9C1A7183-E9B1-4C56-8543-8564601D83BC}"/>
    <cellStyle name="Comma 3 4 6 6" xfId="5302" xr:uid="{ED3603D9-6094-4F84-855B-85A582D7754D}"/>
    <cellStyle name="Comma 3 4 6 7" xfId="6604" xr:uid="{63FD9695-2F4E-46EB-ABDE-54B9C7407DF9}"/>
    <cellStyle name="Comma 3 4 6 8" xfId="7907" xr:uid="{C4E73981-86C7-442A-9087-77D6AFAD7DCF}"/>
    <cellStyle name="Comma 3 4 7" xfId="4233" xr:uid="{BEAFEA8F-19C0-4775-AFC7-2911EBEC87B4}"/>
    <cellStyle name="Comma 3 4 7 2" xfId="5538" xr:uid="{16B97667-079B-4D8E-85B9-D58191858AD3}"/>
    <cellStyle name="Comma 3 4 7 3" xfId="6840" xr:uid="{CEDE0462-22EB-42FC-9BB9-C47F4934F8A3}"/>
    <cellStyle name="Comma 3 4 8" xfId="4512" xr:uid="{01F8FC67-A234-42B4-943C-1C45770351FB}"/>
    <cellStyle name="Comma 3 4 8 2" xfId="5815" xr:uid="{EA1FE11B-F7DF-411A-8C31-FE6D35FAD1AC}"/>
    <cellStyle name="Comma 3 4 8 3" xfId="7118" xr:uid="{913DA460-E24D-435D-B208-0B1D347ED62A}"/>
    <cellStyle name="Comma 3 4 9" xfId="4790" xr:uid="{BFF5DB48-5DD9-45B5-BED1-102903DF4DA4}"/>
    <cellStyle name="Comma 3 4 9 2" xfId="6092" xr:uid="{461FD715-72CE-49C5-8F64-00E71ECCE2E2}"/>
    <cellStyle name="Comma 3 4 9 3" xfId="7395" xr:uid="{2D8C2DFE-1F0C-42DD-A319-B5C530A32633}"/>
    <cellStyle name="Comma 3 5" xfId="2537" xr:uid="{CCBAC487-4D48-4225-9E32-4B49CF7E806C}"/>
    <cellStyle name="Comma 3 5 10" xfId="3772" xr:uid="{A8B63860-FAB0-433B-8150-8CF09A6DEF18}"/>
    <cellStyle name="Comma 3 5 11" xfId="5077" xr:uid="{92FF5139-B7F6-4862-9E0A-FD4AC1E5F20B}"/>
    <cellStyle name="Comma 3 5 12" xfId="6379" xr:uid="{E54E8AC7-AF1E-4E47-A5FE-0B8A9B36A1C4}"/>
    <cellStyle name="Comma 3 5 13" xfId="7682" xr:uid="{2F756617-BE2E-4A15-A21B-286BCA60728D}"/>
    <cellStyle name="Comma 3 5 2" xfId="2860" xr:uid="{EB0352EE-8E2A-45C0-B5E9-C25735862FF6}"/>
    <cellStyle name="Comma 3 5 2 10" xfId="5094" xr:uid="{795C4B26-2F76-49A7-8D05-BEEA0AE37622}"/>
    <cellStyle name="Comma 3 5 2 11" xfId="6396" xr:uid="{052A2108-F36E-4249-ABEA-EA0C4BBBAD27}"/>
    <cellStyle name="Comma 3 5 2 12" xfId="7699" xr:uid="{BC09C3DF-7774-408F-B1FF-5522357145A4}"/>
    <cellStyle name="Comma 3 5 2 2" xfId="2907" xr:uid="{2B81958C-044B-4F6B-B3BD-43E7344B782A}"/>
    <cellStyle name="Comma 3 5 2 2 10" xfId="7744" xr:uid="{043E3D0B-2BD3-45C4-B109-C361DBB1E51D}"/>
    <cellStyle name="Comma 3 5 2 2 2" xfId="3008" xr:uid="{D353A835-9B93-412F-97E2-8D44CDFD43A9}"/>
    <cellStyle name="Comma 3 5 2 2 2 2" xfId="3677" xr:uid="{16EAE4E8-3F2C-4BAF-890D-711AADDFEC96}"/>
    <cellStyle name="Comma 3 5 2 2 2 2 2" xfId="4148" xr:uid="{33354812-28CB-4ECC-9EB7-411B7FFD4F51}"/>
    <cellStyle name="Comma 3 5 2 2 2 2 3" xfId="5453" xr:uid="{FB687360-FAB5-4719-B967-2E27703596CE}"/>
    <cellStyle name="Comma 3 5 2 2 2 2 4" xfId="6755" xr:uid="{89420237-12C8-417F-A489-56D65D589AB2}"/>
    <cellStyle name="Comma 3 5 2 2 2 2 5" xfId="8058" xr:uid="{9F78ED4B-F7CD-480A-AA48-8353CD37B7ED}"/>
    <cellStyle name="Comma 3 5 2 2 2 3" xfId="4384" xr:uid="{F40B16EE-1484-4E7F-BA56-8EB2F3CF830D}"/>
    <cellStyle name="Comma 3 5 2 2 2 3 2" xfId="5689" xr:uid="{FCF11B4C-AC7C-4D51-9988-5BE77DB4FF6F}"/>
    <cellStyle name="Comma 3 5 2 2 2 3 3" xfId="6991" xr:uid="{77931EB0-4D3D-4F5A-969A-16E43569D0F4}"/>
    <cellStyle name="Comma 3 5 2 2 2 4" xfId="4664" xr:uid="{CD8B5007-B87B-4F6C-9BC2-FAE3F5577B77}"/>
    <cellStyle name="Comma 3 5 2 2 2 4 2" xfId="5966" xr:uid="{B4EC7A76-7F6F-4CA9-92DF-222A4C0A2536}"/>
    <cellStyle name="Comma 3 5 2 2 2 4 3" xfId="7269" xr:uid="{E40C58EF-30B2-433F-B227-B4AB7DDCC5E7}"/>
    <cellStyle name="Comma 3 5 2 2 2 5" xfId="4941" xr:uid="{A2530B8E-4FC0-4F1D-BDB6-A1E8051F107A}"/>
    <cellStyle name="Comma 3 5 2 2 2 5 2" xfId="6243" xr:uid="{37817451-2702-4CB7-ADB9-5923BBB68882}"/>
    <cellStyle name="Comma 3 5 2 2 2 5 3" xfId="7546" xr:uid="{D7CED2F2-592F-438A-A2D6-267BDBD23766}"/>
    <cellStyle name="Comma 3 5 2 2 2 6" xfId="3919" xr:uid="{4EA2D9E2-E090-4B0F-B195-3FD534B40CB1}"/>
    <cellStyle name="Comma 3 5 2 2 2 7" xfId="5224" xr:uid="{4363ABAC-51F4-49B4-B2A4-27EB3DADB368}"/>
    <cellStyle name="Comma 3 5 2 2 2 8" xfId="6526" xr:uid="{66D7DD48-D900-415C-A636-61D09C5B8B6E}"/>
    <cellStyle name="Comma 3 5 2 2 2 9" xfId="7829" xr:uid="{820A2DBC-5030-42A2-B04D-6BB082B6863E}"/>
    <cellStyle name="Comma 3 5 2 2 3" xfId="3576" xr:uid="{01426F27-B567-4B2A-BFA0-C29176F9529F}"/>
    <cellStyle name="Comma 3 5 2 2 3 2" xfId="4063" xr:uid="{4C29C972-0245-47B4-800D-B3FFF545E581}"/>
    <cellStyle name="Comma 3 5 2 2 3 3" xfId="5368" xr:uid="{FDE88497-33E1-4F1D-A590-1BA09210054E}"/>
    <cellStyle name="Comma 3 5 2 2 3 4" xfId="6670" xr:uid="{9D1DFE4D-9021-4B02-95FB-36415565F825}"/>
    <cellStyle name="Comma 3 5 2 2 3 5" xfId="7973" xr:uid="{779EFA6A-F29B-4ACF-BD5E-7A148A2C9646}"/>
    <cellStyle name="Comma 3 5 2 2 4" xfId="4299" xr:uid="{499F8B7D-5ACF-4904-9859-A7314349D63E}"/>
    <cellStyle name="Comma 3 5 2 2 4 2" xfId="5604" xr:uid="{B13E109A-8097-4CDF-8EC6-40CF422D2578}"/>
    <cellStyle name="Comma 3 5 2 2 4 3" xfId="6906" xr:uid="{12EAEC5F-E4E2-4755-ACE1-284008A5398C}"/>
    <cellStyle name="Comma 3 5 2 2 5" xfId="4579" xr:uid="{5B73EA36-B190-4607-8B57-99E40E696736}"/>
    <cellStyle name="Comma 3 5 2 2 5 2" xfId="5881" xr:uid="{70E434D8-CEB3-4DD1-9207-70AC574B1BB7}"/>
    <cellStyle name="Comma 3 5 2 2 5 3" xfId="7184" xr:uid="{2F243DF2-8FC8-4F1F-9A36-D464B3D2B628}"/>
    <cellStyle name="Comma 3 5 2 2 6" xfId="4856" xr:uid="{724107AD-BF06-4261-984C-61F6B1F63B80}"/>
    <cellStyle name="Comma 3 5 2 2 6 2" xfId="6158" xr:uid="{CA2758A9-0915-42B9-8BC4-423AFD0F24A2}"/>
    <cellStyle name="Comma 3 5 2 2 6 3" xfId="7461" xr:uid="{09B82C49-18C0-4EC9-9314-B11AE81CEA5C}"/>
    <cellStyle name="Comma 3 5 2 2 7" xfId="3834" xr:uid="{595091DE-6AC6-4533-9E68-6F264E668A44}"/>
    <cellStyle name="Comma 3 5 2 2 8" xfId="5139" xr:uid="{C56B50E0-A592-49AD-AA98-A1BC6A2263A5}"/>
    <cellStyle name="Comma 3 5 2 2 9" xfId="6441" xr:uid="{9C5BA617-113B-4F63-94F8-FB61447324DC}"/>
    <cellStyle name="Comma 3 5 2 3" xfId="3452" xr:uid="{8F116F01-8EC7-415E-B53F-03BD58197742}"/>
    <cellStyle name="Comma 3 5 2 3 2" xfId="3717" xr:uid="{D51EE3AA-1E0B-4DE9-B673-3537F8C83E11}"/>
    <cellStyle name="Comma 3 5 2 3 2 2" xfId="4188" xr:uid="{50EE1647-8BBA-4C85-87F8-4E9C8831EBB0}"/>
    <cellStyle name="Comma 3 5 2 3 2 3" xfId="5493" xr:uid="{5C4FAC75-49D4-405B-9E64-0484ED97E0CD}"/>
    <cellStyle name="Comma 3 5 2 3 2 4" xfId="6795" xr:uid="{4AD6D7C9-6E14-4455-AFF1-CC5AE7984CFA}"/>
    <cellStyle name="Comma 3 5 2 3 2 5" xfId="8098" xr:uid="{CB932317-7F65-43C1-875A-B9BC3A4DE956}"/>
    <cellStyle name="Comma 3 5 2 3 3" xfId="4424" xr:uid="{E6F62FD4-9EEF-439F-A4C7-3727CE37534C}"/>
    <cellStyle name="Comma 3 5 2 3 3 2" xfId="5729" xr:uid="{9F1052FD-A713-42A6-818F-5DC210CDA3C2}"/>
    <cellStyle name="Comma 3 5 2 3 3 3" xfId="7031" xr:uid="{C56AA3EE-0EF1-441A-B84E-E01D39E07F24}"/>
    <cellStyle name="Comma 3 5 2 3 4" xfId="4704" xr:uid="{2E99C82C-CF62-476F-B452-788D580F430E}"/>
    <cellStyle name="Comma 3 5 2 3 4 2" xfId="6006" xr:uid="{B39F44EF-784C-4567-A642-88E6DF9BAC71}"/>
    <cellStyle name="Comma 3 5 2 3 4 3" xfId="7309" xr:uid="{7F7F1EC6-0ACA-44DF-8153-DE1BDB41B3E6}"/>
    <cellStyle name="Comma 3 5 2 3 5" xfId="4981" xr:uid="{13749CAB-81E3-48D7-B3B1-DDC3A2AA6F18}"/>
    <cellStyle name="Comma 3 5 2 3 5 2" xfId="6283" xr:uid="{107BEC90-A068-473F-99EB-4EC5EC4F9C25}"/>
    <cellStyle name="Comma 3 5 2 3 5 3" xfId="7586" xr:uid="{B33C2DAA-B03A-4A1A-A552-F9160E917EC7}"/>
    <cellStyle name="Comma 3 5 2 3 6" xfId="3959" xr:uid="{D40151E0-45F4-4515-850A-8A937D8E211E}"/>
    <cellStyle name="Comma 3 5 2 3 7" xfId="5264" xr:uid="{2514BBB4-B3E0-4BE7-959E-A08E2534177E}"/>
    <cellStyle name="Comma 3 5 2 3 8" xfId="6566" xr:uid="{15B23F2B-0E0B-478A-A141-88C9EB4CC69D}"/>
    <cellStyle name="Comma 3 5 2 3 9" xfId="7869" xr:uid="{8BB85CE2-1714-40E4-A455-0178CBF9A4A4}"/>
    <cellStyle name="Comma 3 5 2 4" xfId="2952" xr:uid="{20996558-6FFD-4C33-8575-38F6DBA626A3}"/>
    <cellStyle name="Comma 3 5 2 4 2" xfId="3621" xr:uid="{27053ED5-8166-4A31-9A7E-036D191E62A4}"/>
    <cellStyle name="Comma 3 5 2 4 2 2" xfId="4108" xr:uid="{1005F1A2-0EFA-4D7B-AB2F-189BC5B711D8}"/>
    <cellStyle name="Comma 3 5 2 4 2 3" xfId="5413" xr:uid="{BFACB695-BE63-4206-8578-AB7EE8E23578}"/>
    <cellStyle name="Comma 3 5 2 4 2 4" xfId="6715" xr:uid="{75BCAE79-6641-4189-A558-A0E0D6CC76C0}"/>
    <cellStyle name="Comma 3 5 2 4 2 5" xfId="8018" xr:uid="{BB1755CC-1F7A-4713-884A-C8748456F0D3}"/>
    <cellStyle name="Comma 3 5 2 4 3" xfId="4344" xr:uid="{157E9CF4-9EB4-4BC1-9A0C-46991ABE6221}"/>
    <cellStyle name="Comma 3 5 2 4 3 2" xfId="5649" xr:uid="{34B9C66D-52FF-4ADF-8750-8591B500A512}"/>
    <cellStyle name="Comma 3 5 2 4 3 3" xfId="6951" xr:uid="{E4EEF78C-7AD0-41C8-8BEC-F3A4EF0AE351}"/>
    <cellStyle name="Comma 3 5 2 4 4" xfId="4624" xr:uid="{A603E21D-F31E-407E-BCA3-D71DBFC89CEB}"/>
    <cellStyle name="Comma 3 5 2 4 4 2" xfId="5926" xr:uid="{AFB958E4-5272-4880-8A3A-9F57CF8DBDA1}"/>
    <cellStyle name="Comma 3 5 2 4 4 3" xfId="7229" xr:uid="{4F643E1A-6FE8-47C4-B6D4-DA03B11D1873}"/>
    <cellStyle name="Comma 3 5 2 4 5" xfId="4901" xr:uid="{BFC33A50-EB0F-4906-B15E-895F019FE120}"/>
    <cellStyle name="Comma 3 5 2 4 5 2" xfId="6203" xr:uid="{627134FF-A988-4A9D-85EB-5CE432CFBA84}"/>
    <cellStyle name="Comma 3 5 2 4 5 3" xfId="7506" xr:uid="{1763424E-24C8-45AE-8567-01A57E5160C4}"/>
    <cellStyle name="Comma 3 5 2 4 6" xfId="3879" xr:uid="{257D0AEC-C51C-4E65-9398-F21660DEF8E8}"/>
    <cellStyle name="Comma 3 5 2 4 7" xfId="5184" xr:uid="{C5827699-334F-4A28-872C-0B0C18E51739}"/>
    <cellStyle name="Comma 3 5 2 4 8" xfId="6486" xr:uid="{A630F74C-C50B-41CA-AA5C-D39958C4C649}"/>
    <cellStyle name="Comma 3 5 2 4 9" xfId="7789" xr:uid="{E42D763F-4349-4532-B034-8DCDE7D9797D}"/>
    <cellStyle name="Comma 3 5 2 5" xfId="3531" xr:uid="{D014B1BE-8956-48FB-8061-223A2444B888}"/>
    <cellStyle name="Comma 3 5 2 5 2" xfId="4480" xr:uid="{05D80FD2-EA2F-4CA0-85FF-55644551B19B}"/>
    <cellStyle name="Comma 3 5 2 5 2 2" xfId="5783" xr:uid="{0BC5B4DC-60C8-43B5-BA05-E3BAE231EF05}"/>
    <cellStyle name="Comma 3 5 2 5 2 3" xfId="7086" xr:uid="{D0FAB342-F7E9-4C5C-BD06-E63C855142A6}"/>
    <cellStyle name="Comma 3 5 2 5 3" xfId="4758" xr:uid="{9712A9BC-F4A2-4A46-BD72-7D5AF7924997}"/>
    <cellStyle name="Comma 3 5 2 5 3 2" xfId="6060" xr:uid="{764FD86C-02C8-42A0-B159-EDC4C4353F1C}"/>
    <cellStyle name="Comma 3 5 2 5 3 3" xfId="7363" xr:uid="{85C35885-A8F4-41E8-8800-1A35AA542E20}"/>
    <cellStyle name="Comma 3 5 2 5 4" xfId="5035" xr:uid="{6607FCB7-F12B-4C87-850A-745B8E1251AF}"/>
    <cellStyle name="Comma 3 5 2 5 4 2" xfId="6337" xr:uid="{60228155-2938-4505-995B-A6E5FE16C2D2}"/>
    <cellStyle name="Comma 3 5 2 5 4 3" xfId="7640" xr:uid="{645A694F-10BF-4280-9C8D-9F8E519751EF}"/>
    <cellStyle name="Comma 3 5 2 5 5" xfId="4018" xr:uid="{74D408C4-4D1C-4A17-83BE-1466A5F76F5D}"/>
    <cellStyle name="Comma 3 5 2 5 6" xfId="5323" xr:uid="{8CFD583F-4FF5-495E-A94A-28ABF6A89756}"/>
    <cellStyle name="Comma 3 5 2 5 7" xfId="6625" xr:uid="{948035E5-7D60-4C8D-92FB-F8E02A88D27F}"/>
    <cellStyle name="Comma 3 5 2 5 8" xfId="7928" xr:uid="{BE1C1F8B-2967-4901-8F63-CEDC38D0A7C6}"/>
    <cellStyle name="Comma 3 5 2 6" xfId="4254" xr:uid="{5345E529-6BBE-4495-B3A5-1D91D227FE12}"/>
    <cellStyle name="Comma 3 5 2 6 2" xfId="5559" xr:uid="{E4F29A5F-A496-4573-9B0D-019F5E35F36C}"/>
    <cellStyle name="Comma 3 5 2 6 3" xfId="6861" xr:uid="{FC193B62-F5D2-4098-920A-14A155FC9A00}"/>
    <cellStyle name="Comma 3 5 2 7" xfId="4534" xr:uid="{07537C04-E7E5-4A2B-A5BE-4FC10C1370ED}"/>
    <cellStyle name="Comma 3 5 2 7 2" xfId="5836" xr:uid="{F4D05046-3A5A-4643-82CC-EE829C19199B}"/>
    <cellStyle name="Comma 3 5 2 7 3" xfId="7139" xr:uid="{C199A2F0-F581-403F-BF99-0B9A5C9D5743}"/>
    <cellStyle name="Comma 3 5 2 8" xfId="4811" xr:uid="{FAE0DF3A-97F4-494A-9BA1-7D1F1C44DAE4}"/>
    <cellStyle name="Comma 3 5 2 8 2" xfId="6113" xr:uid="{142145C2-47EC-4653-BF0A-B2AE33D3A36C}"/>
    <cellStyle name="Comma 3 5 2 8 3" xfId="7416" xr:uid="{A452D783-00FF-4AF6-9877-39615D8FEDA5}"/>
    <cellStyle name="Comma 3 5 2 9" xfId="3789" xr:uid="{F54BED5A-DCFB-48A0-AC58-81468D629196}"/>
    <cellStyle name="Comma 3 5 3" xfId="2890" xr:uid="{8DED1700-37BC-4DEB-8908-183FECA7AD2B}"/>
    <cellStyle name="Comma 3 5 3 10" xfId="7727" xr:uid="{D4F9CEE3-DA4A-4903-B3D4-225F2628A318}"/>
    <cellStyle name="Comma 3 5 3 2" xfId="2991" xr:uid="{616C6411-5912-4A05-B822-26D039962FF1}"/>
    <cellStyle name="Comma 3 5 3 2 2" xfId="3660" xr:uid="{DB316F9A-AFEE-4790-8801-6BC8E7798880}"/>
    <cellStyle name="Comma 3 5 3 2 2 2" xfId="4131" xr:uid="{9B9FD0B0-8F1B-4671-9B65-749CC456FE16}"/>
    <cellStyle name="Comma 3 5 3 2 2 3" xfId="5436" xr:uid="{25AC613F-0393-4ED8-BEA5-6E28DD886580}"/>
    <cellStyle name="Comma 3 5 3 2 2 4" xfId="6738" xr:uid="{6BBE641B-23FC-488E-A930-35B13676B141}"/>
    <cellStyle name="Comma 3 5 3 2 2 5" xfId="8041" xr:uid="{AB95C695-CB55-4995-BDEC-5BDB2EFC9BA6}"/>
    <cellStyle name="Comma 3 5 3 2 3" xfId="4367" xr:uid="{90DBD0B6-23FB-4BE2-BA67-1D8A4875D25B}"/>
    <cellStyle name="Comma 3 5 3 2 3 2" xfId="5672" xr:uid="{E21F47A0-0871-407F-871C-B08D6491837F}"/>
    <cellStyle name="Comma 3 5 3 2 3 3" xfId="6974" xr:uid="{CFC31C34-D5E4-402D-AAD5-98674FABB651}"/>
    <cellStyle name="Comma 3 5 3 2 4" xfId="4647" xr:uid="{FA420BD9-8811-430A-B756-DDB9A19B39B0}"/>
    <cellStyle name="Comma 3 5 3 2 4 2" xfId="5949" xr:uid="{C11AE381-01C6-478B-97F1-7D78B778263B}"/>
    <cellStyle name="Comma 3 5 3 2 4 3" xfId="7252" xr:uid="{70769E9D-89D3-430E-97D5-3AE264A69E44}"/>
    <cellStyle name="Comma 3 5 3 2 5" xfId="4924" xr:uid="{08B7AD56-E344-45B8-BDA0-896E49C6626F}"/>
    <cellStyle name="Comma 3 5 3 2 5 2" xfId="6226" xr:uid="{361905F4-55B7-43DE-9C87-0338D250E349}"/>
    <cellStyle name="Comma 3 5 3 2 5 3" xfId="7529" xr:uid="{5017BDAA-12DD-4D9F-A4FD-D70B2E31A5E2}"/>
    <cellStyle name="Comma 3 5 3 2 6" xfId="3902" xr:uid="{BB40A755-1EF5-4C5C-9D4C-7DA3A24A9080}"/>
    <cellStyle name="Comma 3 5 3 2 7" xfId="5207" xr:uid="{556CB58B-8F0E-4B41-A60E-A485244C1A1E}"/>
    <cellStyle name="Comma 3 5 3 2 8" xfId="6509" xr:uid="{2D0C9B94-C277-4DCB-A58D-4D13E662DC05}"/>
    <cellStyle name="Comma 3 5 3 2 9" xfId="7812" xr:uid="{1AB86A22-BA87-4BCC-AB36-E4756480EFD8}"/>
    <cellStyle name="Comma 3 5 3 3" xfId="3559" xr:uid="{9EA85F05-5CF3-4CFE-9812-6C7C3CBA00BA}"/>
    <cellStyle name="Comma 3 5 3 3 2" xfId="4046" xr:uid="{81B8B770-964B-41AD-ACD7-6FFC92687A66}"/>
    <cellStyle name="Comma 3 5 3 3 3" xfId="5351" xr:uid="{44F1ABCD-C5C5-45B6-BE08-E9BDC503F851}"/>
    <cellStyle name="Comma 3 5 3 3 4" xfId="6653" xr:uid="{C404F0A8-AD20-4C45-8532-49262F79A2D5}"/>
    <cellStyle name="Comma 3 5 3 3 5" xfId="7956" xr:uid="{6FDF4F2E-44D7-413C-80FE-316992DD60E2}"/>
    <cellStyle name="Comma 3 5 3 4" xfId="4282" xr:uid="{1DC3CC45-4092-4630-8A72-3BD2A4E91571}"/>
    <cellStyle name="Comma 3 5 3 4 2" xfId="5587" xr:uid="{AB73E1B4-82FF-4B4A-A91B-91437D467836}"/>
    <cellStyle name="Comma 3 5 3 4 3" xfId="6889" xr:uid="{0B57CB3A-9EBF-42B2-9FB6-D776F961CA9B}"/>
    <cellStyle name="Comma 3 5 3 5" xfId="4562" xr:uid="{CDBA4AB9-E5CC-4E9E-BD73-ACA98E748FFE}"/>
    <cellStyle name="Comma 3 5 3 5 2" xfId="5864" xr:uid="{A6E1A342-0729-432B-BCF8-02F0EBBDA36F}"/>
    <cellStyle name="Comma 3 5 3 5 3" xfId="7167" xr:uid="{A432D7DE-6C56-420C-8954-728E79C664BD}"/>
    <cellStyle name="Comma 3 5 3 6" xfId="4839" xr:uid="{217AC991-1CB9-4D80-8F88-0ED941477B7F}"/>
    <cellStyle name="Comma 3 5 3 6 2" xfId="6141" xr:uid="{7382D23E-AE39-465F-8627-7B18C264B549}"/>
    <cellStyle name="Comma 3 5 3 6 3" xfId="7444" xr:uid="{9D87000F-6D01-4E11-9A1F-21C8B9EE8BEC}"/>
    <cellStyle name="Comma 3 5 3 7" xfId="3817" xr:uid="{B8FC606A-5480-482E-83C4-740BCDC2420F}"/>
    <cellStyle name="Comma 3 5 3 8" xfId="5122" xr:uid="{5CF9A92B-1BFC-41AE-BA23-E9337E4D68D3}"/>
    <cellStyle name="Comma 3 5 3 9" xfId="6424" xr:uid="{73469022-97BD-403B-B233-F1B176FA0B8E}"/>
    <cellStyle name="Comma 3 5 4" xfId="3434" xr:uid="{9667342D-ABB3-452F-B960-77B17D69792D}"/>
    <cellStyle name="Comma 3 5 4 2" xfId="3700" xr:uid="{F83C68D2-717F-4975-A0AB-81F49BB11E3C}"/>
    <cellStyle name="Comma 3 5 4 2 2" xfId="4171" xr:uid="{97C1767D-EB36-4FDA-B09D-641544A62B15}"/>
    <cellStyle name="Comma 3 5 4 2 3" xfId="5476" xr:uid="{B6A585E3-05F5-4374-9FB6-D90F88BE6CBC}"/>
    <cellStyle name="Comma 3 5 4 2 4" xfId="6778" xr:uid="{EFD91818-ECC4-4D0A-B99F-1BE1849DBCAF}"/>
    <cellStyle name="Comma 3 5 4 2 5" xfId="8081" xr:uid="{FA868638-32A5-41BE-A86E-7C58EEE490D1}"/>
    <cellStyle name="Comma 3 5 4 3" xfId="4407" xr:uid="{B33FA908-2F9F-4A1C-A50F-5C9C1C827B29}"/>
    <cellStyle name="Comma 3 5 4 3 2" xfId="5712" xr:uid="{528EF23B-CC36-47B6-84D6-E8C870BD3BFD}"/>
    <cellStyle name="Comma 3 5 4 3 3" xfId="7014" xr:uid="{9026161C-94EE-4E23-BA9A-6123E7D9809C}"/>
    <cellStyle name="Comma 3 5 4 4" xfId="4687" xr:uid="{E2492463-1CF0-4878-B3F4-068BCDD83F16}"/>
    <cellStyle name="Comma 3 5 4 4 2" xfId="5989" xr:uid="{D9C02096-4997-4106-AC8B-5DF667C70E50}"/>
    <cellStyle name="Comma 3 5 4 4 3" xfId="7292" xr:uid="{64736BB3-F585-499E-BA39-E8829E47E3F5}"/>
    <cellStyle name="Comma 3 5 4 5" xfId="4964" xr:uid="{987A345B-E1EB-4578-8138-B1C51AE82209}"/>
    <cellStyle name="Comma 3 5 4 5 2" xfId="6266" xr:uid="{0667B707-DB10-434B-9EA4-EDD4CDC5B67E}"/>
    <cellStyle name="Comma 3 5 4 5 3" xfId="7569" xr:uid="{1BC4CC2C-364E-4891-BA39-3DAE0A154793}"/>
    <cellStyle name="Comma 3 5 4 6" xfId="3942" xr:uid="{7C571C81-FD89-4553-9913-81A1FA3F4796}"/>
    <cellStyle name="Comma 3 5 4 7" xfId="5247" xr:uid="{FF392625-8186-462C-AE8E-6666F9BFB7ED}"/>
    <cellStyle name="Comma 3 5 4 8" xfId="6549" xr:uid="{B5A5E8C3-83E1-4737-A750-4F0795A6A397}"/>
    <cellStyle name="Comma 3 5 4 9" xfId="7852" xr:uid="{0D59D3D2-EE51-4795-AF9F-9649452C96F3}"/>
    <cellStyle name="Comma 3 5 5" xfId="2935" xr:uid="{FFC6E611-FEFD-4D94-A987-5EC9C9496D39}"/>
    <cellStyle name="Comma 3 5 5 2" xfId="3604" xr:uid="{11BEE5D8-4547-4655-B2F6-A0B892559211}"/>
    <cellStyle name="Comma 3 5 5 2 2" xfId="4091" xr:uid="{DF6E45AA-3989-46F7-890D-35E2A98CEA70}"/>
    <cellStyle name="Comma 3 5 5 2 3" xfId="5396" xr:uid="{107AB0CF-8333-48F5-8EC6-03A4C2E0FA46}"/>
    <cellStyle name="Comma 3 5 5 2 4" xfId="6698" xr:uid="{0400810C-206E-4D1E-B75D-74CBB3F5C2C6}"/>
    <cellStyle name="Comma 3 5 5 2 5" xfId="8001" xr:uid="{E0A93D87-1D70-43EB-BA38-37B54FC84F95}"/>
    <cellStyle name="Comma 3 5 5 3" xfId="4327" xr:uid="{82E84C44-CF85-4602-857E-BD842042B2C6}"/>
    <cellStyle name="Comma 3 5 5 3 2" xfId="5632" xr:uid="{B76F1493-C2F8-4E97-BC54-9E912DDDE76E}"/>
    <cellStyle name="Comma 3 5 5 3 3" xfId="6934" xr:uid="{D33BEB84-3D1F-436B-BE91-89EED0C6F9EA}"/>
    <cellStyle name="Comma 3 5 5 4" xfId="4607" xr:uid="{1998BFF1-3F43-4C7D-AC8F-C0AB2182F225}"/>
    <cellStyle name="Comma 3 5 5 4 2" xfId="5909" xr:uid="{DF59D23A-1D7C-4F7A-A567-763AF0AEB9E3}"/>
    <cellStyle name="Comma 3 5 5 4 3" xfId="7212" xr:uid="{AF4DA835-94B7-47AD-9FAB-FA5B748AA60E}"/>
    <cellStyle name="Comma 3 5 5 5" xfId="4884" xr:uid="{3C0FC28A-E1BA-4166-B38C-865AAE04DEB1}"/>
    <cellStyle name="Comma 3 5 5 5 2" xfId="6186" xr:uid="{D005D9B4-B648-4BD9-B089-D0EBC4074AA5}"/>
    <cellStyle name="Comma 3 5 5 5 3" xfId="7489" xr:uid="{0D45E5EB-D461-46BB-90A7-86E1F39B8716}"/>
    <cellStyle name="Comma 3 5 5 6" xfId="3862" xr:uid="{12AD5CAD-96E0-4AF3-8F87-AEE65FDCB211}"/>
    <cellStyle name="Comma 3 5 5 7" xfId="5167" xr:uid="{49023177-4764-45E8-A1C2-870D8C7D2433}"/>
    <cellStyle name="Comma 3 5 5 8" xfId="6469" xr:uid="{B1DF4DA8-3A20-4F83-B70E-F12019EDCB5F}"/>
    <cellStyle name="Comma 3 5 5 9" xfId="7772" xr:uid="{05C5A911-FB69-466D-8396-22F1D0A7E703}"/>
    <cellStyle name="Comma 3 5 6" xfId="3514" xr:uid="{0A4D5C66-EF7C-42BD-98A5-A9CD187D38A5}"/>
    <cellStyle name="Comma 3 5 6 2" xfId="4463" xr:uid="{27F95394-345E-432A-A1EF-8F00F055B8BE}"/>
    <cellStyle name="Comma 3 5 6 2 2" xfId="5766" xr:uid="{12DD9539-62BC-47BC-8631-B5A2A15631AF}"/>
    <cellStyle name="Comma 3 5 6 2 3" xfId="7069" xr:uid="{A18E2CE8-6E8D-4A32-842E-AD7B9A08EAF8}"/>
    <cellStyle name="Comma 3 5 6 3" xfId="4741" xr:uid="{B9411F3E-2739-4FA5-9B0D-FB6B4AA947EA}"/>
    <cellStyle name="Comma 3 5 6 3 2" xfId="6043" xr:uid="{218AA9BB-2FE6-474D-941B-4E9FAC71FBD8}"/>
    <cellStyle name="Comma 3 5 6 3 3" xfId="7346" xr:uid="{F25ED86D-BC3F-4E31-9163-A43635DFFD28}"/>
    <cellStyle name="Comma 3 5 6 4" xfId="5018" xr:uid="{9F4FEC02-38EE-4A6B-9FD8-AB51E12B844B}"/>
    <cellStyle name="Comma 3 5 6 4 2" xfId="6320" xr:uid="{E8B033E0-2EA8-4822-8AE2-B9E53934656E}"/>
    <cellStyle name="Comma 3 5 6 4 3" xfId="7623" xr:uid="{600B38F7-773C-4BCE-937C-AE7DFF2F244A}"/>
    <cellStyle name="Comma 3 5 6 5" xfId="4001" xr:uid="{28997DAE-5429-4198-AC31-143FF0E2A755}"/>
    <cellStyle name="Comma 3 5 6 6" xfId="5306" xr:uid="{EF0A1A8C-5EE6-40BB-B6EE-6AABFFD9E0D4}"/>
    <cellStyle name="Comma 3 5 6 7" xfId="6608" xr:uid="{98C03ABB-0305-428C-A709-6BEEC7EB85ED}"/>
    <cellStyle name="Comma 3 5 6 8" xfId="7911" xr:uid="{CE8FBB87-E337-443D-9FE8-45F1CA98A002}"/>
    <cellStyle name="Comma 3 5 7" xfId="4237" xr:uid="{1E74C692-72F8-4A9A-BE2D-CF6C2A7D5B60}"/>
    <cellStyle name="Comma 3 5 7 2" xfId="5542" xr:uid="{639E2710-A9F8-4613-AF1A-43A8FA16F4A3}"/>
    <cellStyle name="Comma 3 5 7 3" xfId="6844" xr:uid="{3BB5667A-0122-4911-924A-299B63BF6016}"/>
    <cellStyle name="Comma 3 5 8" xfId="4517" xr:uid="{670BBA05-06C4-4D9D-97B0-D361D438AD5A}"/>
    <cellStyle name="Comma 3 5 8 2" xfId="5819" xr:uid="{11DC9624-B14B-44FA-82A8-82679E12A92A}"/>
    <cellStyle name="Comma 3 5 8 3" xfId="7122" xr:uid="{F3323BBD-3036-4EC7-B52A-A77235640531}"/>
    <cellStyle name="Comma 3 5 9" xfId="4794" xr:uid="{4D694B38-90A5-4D3A-A739-A87A6A3ED9D2}"/>
    <cellStyle name="Comma 3 5 9 2" xfId="6096" xr:uid="{12587773-B29B-4AF3-94FD-D16E56E23D36}"/>
    <cellStyle name="Comma 3 5 9 3" xfId="7399" xr:uid="{A717E6DA-7BEC-46E2-9080-765E70760BF1}"/>
    <cellStyle name="Comma 3 6" xfId="2546" xr:uid="{8BBF20E2-56F5-49CE-8B1E-E7CFA095C591}"/>
    <cellStyle name="Comma 3 6 10" xfId="3776" xr:uid="{2BDF8077-DFB5-4671-A284-3B362302912B}"/>
    <cellStyle name="Comma 3 6 11" xfId="5081" xr:uid="{FF823526-71CC-4FD0-BA7C-E64969E43A17}"/>
    <cellStyle name="Comma 3 6 12" xfId="6383" xr:uid="{B71FCEFB-8DAE-4F50-941B-780684036BB1}"/>
    <cellStyle name="Comma 3 6 13" xfId="7686" xr:uid="{C71042E7-F7CD-4E6B-8F3B-61197BDE0F7C}"/>
    <cellStyle name="Comma 3 6 2" xfId="2864" xr:uid="{A68386EC-3ACF-4D61-AEF3-D18FDDF3CE1D}"/>
    <cellStyle name="Comma 3 6 2 10" xfId="5098" xr:uid="{B1410B66-A23C-4EBF-BC00-28624FDE2410}"/>
    <cellStyle name="Comma 3 6 2 11" xfId="6400" xr:uid="{3F857945-EDCB-431E-B256-0B7C8B581F81}"/>
    <cellStyle name="Comma 3 6 2 12" xfId="7703" xr:uid="{CED84472-C4E4-4468-8365-4C8C41B5D01A}"/>
    <cellStyle name="Comma 3 6 2 2" xfId="2911" xr:uid="{61445F6F-E462-4E7D-B25E-C37E3BEA0222}"/>
    <cellStyle name="Comma 3 6 2 2 10" xfId="7748" xr:uid="{C5B60E72-22B3-4CA8-AD00-E0CE5D9F9092}"/>
    <cellStyle name="Comma 3 6 2 2 2" xfId="3012" xr:uid="{BCFCA537-2619-4860-98F7-54C2E052FC4A}"/>
    <cellStyle name="Comma 3 6 2 2 2 2" xfId="3681" xr:uid="{2BD583E1-EF0C-490E-B335-4608D27182FE}"/>
    <cellStyle name="Comma 3 6 2 2 2 2 2" xfId="4152" xr:uid="{BFB8BCA1-9F27-4836-BFF6-08796CC73244}"/>
    <cellStyle name="Comma 3 6 2 2 2 2 3" xfId="5457" xr:uid="{B3BF8265-E8E1-4B4D-A74D-DF022A6C9DA4}"/>
    <cellStyle name="Comma 3 6 2 2 2 2 4" xfId="6759" xr:uid="{3F8FBD41-2146-495B-9A9C-454C4FEAB9AE}"/>
    <cellStyle name="Comma 3 6 2 2 2 2 5" xfId="8062" xr:uid="{335194BB-3B30-412E-8B55-565DB03B359B}"/>
    <cellStyle name="Comma 3 6 2 2 2 3" xfId="4388" xr:uid="{1ECBBF4B-C473-4BD8-8B3B-0FDB27C3F780}"/>
    <cellStyle name="Comma 3 6 2 2 2 3 2" xfId="5693" xr:uid="{64E76AC8-1F5C-4B65-885B-92C1BF3E7E07}"/>
    <cellStyle name="Comma 3 6 2 2 2 3 3" xfId="6995" xr:uid="{7A71F9A2-7AE7-4898-8FCE-C9C5A2D29BA9}"/>
    <cellStyle name="Comma 3 6 2 2 2 4" xfId="4668" xr:uid="{EB108BB7-A0CF-44C7-A7FB-DEC4FBE60216}"/>
    <cellStyle name="Comma 3 6 2 2 2 4 2" xfId="5970" xr:uid="{F6DFD25E-6490-426A-BECB-E02EE0F5A1B7}"/>
    <cellStyle name="Comma 3 6 2 2 2 4 3" xfId="7273" xr:uid="{D24BA575-F44A-48E0-9658-649E0CD579C0}"/>
    <cellStyle name="Comma 3 6 2 2 2 5" xfId="4945" xr:uid="{2017CB39-E0FB-41E9-BCA3-0BC992966F45}"/>
    <cellStyle name="Comma 3 6 2 2 2 5 2" xfId="6247" xr:uid="{03EC5221-BB04-4918-947C-63237026E116}"/>
    <cellStyle name="Comma 3 6 2 2 2 5 3" xfId="7550" xr:uid="{773BB2BB-D186-471F-A4F0-07D8AFDF11A5}"/>
    <cellStyle name="Comma 3 6 2 2 2 6" xfId="3923" xr:uid="{6AC0695D-6285-4AD9-92B1-FC6F42DE8C10}"/>
    <cellStyle name="Comma 3 6 2 2 2 7" xfId="5228" xr:uid="{8EF5DA3C-24B4-410E-B730-38E31BAC2C58}"/>
    <cellStyle name="Comma 3 6 2 2 2 8" xfId="6530" xr:uid="{25E9A29F-C315-4B15-98C8-DE8EEEC4EA5B}"/>
    <cellStyle name="Comma 3 6 2 2 2 9" xfId="7833" xr:uid="{D026DA28-0CF1-47AE-97E5-3604CC896213}"/>
    <cellStyle name="Comma 3 6 2 2 3" xfId="3580" xr:uid="{B2CE409E-9D40-4B69-8B10-BEF12F44CAE6}"/>
    <cellStyle name="Comma 3 6 2 2 3 2" xfId="4067" xr:uid="{98C0B9A3-2DA0-464F-942A-A9A0124B43F4}"/>
    <cellStyle name="Comma 3 6 2 2 3 3" xfId="5372" xr:uid="{4BB7AAC9-7F3B-4397-9C5C-21D025BC815B}"/>
    <cellStyle name="Comma 3 6 2 2 3 4" xfId="6674" xr:uid="{21D23876-D082-4D9A-A9FA-A64E375ABD6D}"/>
    <cellStyle name="Comma 3 6 2 2 3 5" xfId="7977" xr:uid="{D8135B3D-8976-4AEA-9D9A-85BC28131E6B}"/>
    <cellStyle name="Comma 3 6 2 2 4" xfId="4303" xr:uid="{B27C51E7-CF0A-4481-8242-06BE6B6F042E}"/>
    <cellStyle name="Comma 3 6 2 2 4 2" xfId="5608" xr:uid="{78A15CA6-55C8-4D42-BC7C-04BCE8C1B5B9}"/>
    <cellStyle name="Comma 3 6 2 2 4 3" xfId="6910" xr:uid="{6A594AF2-0FD7-41C3-9AE1-2CD5FEE4D099}"/>
    <cellStyle name="Comma 3 6 2 2 5" xfId="4583" xr:uid="{D7AA5AC4-A565-4586-8855-CB05EF7556B2}"/>
    <cellStyle name="Comma 3 6 2 2 5 2" xfId="5885" xr:uid="{3EDCD13C-470E-4D17-BE73-94F8A70FF936}"/>
    <cellStyle name="Comma 3 6 2 2 5 3" xfId="7188" xr:uid="{69FBDF3D-C43C-4583-A9F5-935C2BB10342}"/>
    <cellStyle name="Comma 3 6 2 2 6" xfId="4860" xr:uid="{5997BC38-1281-47BE-9A1F-0B33BBF00944}"/>
    <cellStyle name="Comma 3 6 2 2 6 2" xfId="6162" xr:uid="{DEE7651B-B7A8-4D22-A2C9-280FBA681762}"/>
    <cellStyle name="Comma 3 6 2 2 6 3" xfId="7465" xr:uid="{B543D8E5-989E-47AB-A947-AA02291CF76B}"/>
    <cellStyle name="Comma 3 6 2 2 7" xfId="3838" xr:uid="{9BB0D51A-F6DF-41DD-97C5-FD0B354E6FBD}"/>
    <cellStyle name="Comma 3 6 2 2 8" xfId="5143" xr:uid="{C5DAFC24-8F23-49B6-A7AD-AF95292B1601}"/>
    <cellStyle name="Comma 3 6 2 2 9" xfId="6445" xr:uid="{802DA517-92FA-4A34-AB09-7CAEE4FFC94C}"/>
    <cellStyle name="Comma 3 6 2 3" xfId="3456" xr:uid="{19E13F85-9DEB-46B6-88D0-3E0159468281}"/>
    <cellStyle name="Comma 3 6 2 3 2" xfId="3721" xr:uid="{172A5543-0D9C-4C33-A386-3E65684B06E9}"/>
    <cellStyle name="Comma 3 6 2 3 2 2" xfId="4192" xr:uid="{79B092AA-497E-4762-A13D-4CCDC7CD955D}"/>
    <cellStyle name="Comma 3 6 2 3 2 3" xfId="5497" xr:uid="{860E9915-AC6E-46A0-B05D-36927C630741}"/>
    <cellStyle name="Comma 3 6 2 3 2 4" xfId="6799" xr:uid="{335ED756-A84D-42A4-898C-6F6E297C63D0}"/>
    <cellStyle name="Comma 3 6 2 3 2 5" xfId="8102" xr:uid="{34CD73A0-3D85-4F8B-87BF-2F40691316E0}"/>
    <cellStyle name="Comma 3 6 2 3 3" xfId="4428" xr:uid="{CA3DE152-B9B4-47F3-8028-9CC8B8A5924D}"/>
    <cellStyle name="Comma 3 6 2 3 3 2" xfId="5733" xr:uid="{BC13EDF2-4124-4834-A8AE-B71CA5776337}"/>
    <cellStyle name="Comma 3 6 2 3 3 3" xfId="7035" xr:uid="{0DCFB839-C9B9-4EA0-9454-31BD7705F6A3}"/>
    <cellStyle name="Comma 3 6 2 3 4" xfId="4708" xr:uid="{D06F3291-8543-424A-B990-3E980EC9AB0D}"/>
    <cellStyle name="Comma 3 6 2 3 4 2" xfId="6010" xr:uid="{C1F2A0D5-2837-43EB-B38E-C9E1B13B2065}"/>
    <cellStyle name="Comma 3 6 2 3 4 3" xfId="7313" xr:uid="{F32895FA-C5AB-4A9C-A044-7A1C157EF17C}"/>
    <cellStyle name="Comma 3 6 2 3 5" xfId="4985" xr:uid="{9B6968D2-6152-4056-89AE-D1AFA250CE2E}"/>
    <cellStyle name="Comma 3 6 2 3 5 2" xfId="6287" xr:uid="{22263BEA-70A1-4899-9B49-593E2DAA749F}"/>
    <cellStyle name="Comma 3 6 2 3 5 3" xfId="7590" xr:uid="{F8B86EB7-4B70-4882-89EF-079E5D87619B}"/>
    <cellStyle name="Comma 3 6 2 3 6" xfId="3963" xr:uid="{BA92BEC8-4E9A-43E7-A8E0-0EB7FB3FE1A1}"/>
    <cellStyle name="Comma 3 6 2 3 7" xfId="5268" xr:uid="{EF4D6BBD-4FAA-4939-8899-F2B653D87699}"/>
    <cellStyle name="Comma 3 6 2 3 8" xfId="6570" xr:uid="{87D015E6-E1A2-455E-9038-47EA2134BEBE}"/>
    <cellStyle name="Comma 3 6 2 3 9" xfId="7873" xr:uid="{55F0FD63-0D66-4A95-B787-70F577727007}"/>
    <cellStyle name="Comma 3 6 2 4" xfId="2956" xr:uid="{A3FF41A8-82B3-4934-A392-049227BBD6CC}"/>
    <cellStyle name="Comma 3 6 2 4 2" xfId="3625" xr:uid="{78B8B414-F0ED-4A8B-A6E4-B0D4CFF7BF34}"/>
    <cellStyle name="Comma 3 6 2 4 2 2" xfId="4112" xr:uid="{CA3C88AB-0512-4285-84E6-CB3A1F07288C}"/>
    <cellStyle name="Comma 3 6 2 4 2 3" xfId="5417" xr:uid="{555D379B-D39D-4879-B3DE-D0F6155823D6}"/>
    <cellStyle name="Comma 3 6 2 4 2 4" xfId="6719" xr:uid="{354C2FF2-A396-4872-8F1B-FF3EE4D76FD5}"/>
    <cellStyle name="Comma 3 6 2 4 2 5" xfId="8022" xr:uid="{E47D2C56-DD35-4571-B3E6-11C9798AC5E3}"/>
    <cellStyle name="Comma 3 6 2 4 3" xfId="4348" xr:uid="{AE3A7CF3-D580-4833-92C6-53429F68E051}"/>
    <cellStyle name="Comma 3 6 2 4 3 2" xfId="5653" xr:uid="{F41A7522-F2E6-4AB0-8EB9-4B940EBE89EF}"/>
    <cellStyle name="Comma 3 6 2 4 3 3" xfId="6955" xr:uid="{25090326-F836-4357-B34D-90D8E8DF8AFA}"/>
    <cellStyle name="Comma 3 6 2 4 4" xfId="4628" xr:uid="{0A5E31C5-BA1F-4A7E-9EE6-02D18366EBD1}"/>
    <cellStyle name="Comma 3 6 2 4 4 2" xfId="5930" xr:uid="{69DB5DAB-9BBA-4E5D-A058-0DF7B443305B}"/>
    <cellStyle name="Comma 3 6 2 4 4 3" xfId="7233" xr:uid="{AEB0FC65-C934-4613-96E6-BF2021042693}"/>
    <cellStyle name="Comma 3 6 2 4 5" xfId="4905" xr:uid="{1C944016-35D6-43E4-A14D-131F0C9D7CED}"/>
    <cellStyle name="Comma 3 6 2 4 5 2" xfId="6207" xr:uid="{FFF2AA9B-F89C-4506-A2B6-D5C446F93FE3}"/>
    <cellStyle name="Comma 3 6 2 4 5 3" xfId="7510" xr:uid="{9BA2FAAB-CC5A-4042-BAD3-3297C2A0BCCC}"/>
    <cellStyle name="Comma 3 6 2 4 6" xfId="3883" xr:uid="{2F824683-ED72-4174-A1BD-2BB907142292}"/>
    <cellStyle name="Comma 3 6 2 4 7" xfId="5188" xr:uid="{4B985150-6314-4150-B978-87E371135D07}"/>
    <cellStyle name="Comma 3 6 2 4 8" xfId="6490" xr:uid="{06B451B3-7774-4055-9068-2280FB49EBB2}"/>
    <cellStyle name="Comma 3 6 2 4 9" xfId="7793" xr:uid="{68F9C96A-A990-4C02-93E0-E1CA03011D9E}"/>
    <cellStyle name="Comma 3 6 2 5" xfId="3535" xr:uid="{D993457B-BB89-4413-B123-2EE2A62D718C}"/>
    <cellStyle name="Comma 3 6 2 5 2" xfId="4484" xr:uid="{3F90165A-999B-43C0-AD4F-8994A46DA451}"/>
    <cellStyle name="Comma 3 6 2 5 2 2" xfId="5787" xr:uid="{246EB91A-368E-4D34-8A2F-5FE29A2692F5}"/>
    <cellStyle name="Comma 3 6 2 5 2 3" xfId="7090" xr:uid="{606398D6-8146-446C-83E4-6E64088B1DD4}"/>
    <cellStyle name="Comma 3 6 2 5 3" xfId="4762" xr:uid="{057B61DC-FEEA-4CA2-B806-834C7BF222CF}"/>
    <cellStyle name="Comma 3 6 2 5 3 2" xfId="6064" xr:uid="{896200CB-BC81-4693-91A4-11383DE295E9}"/>
    <cellStyle name="Comma 3 6 2 5 3 3" xfId="7367" xr:uid="{EB66BDF5-55BC-479F-8DF2-F46691EAF209}"/>
    <cellStyle name="Comma 3 6 2 5 4" xfId="5039" xr:uid="{582151AF-E971-462C-B472-0D58994A1F6F}"/>
    <cellStyle name="Comma 3 6 2 5 4 2" xfId="6341" xr:uid="{A7487FD6-437C-4707-85FE-9CAB2A010FB4}"/>
    <cellStyle name="Comma 3 6 2 5 4 3" xfId="7644" xr:uid="{0B562509-FF90-4EC0-8184-D8ACD8185AC6}"/>
    <cellStyle name="Comma 3 6 2 5 5" xfId="4022" xr:uid="{FA688B51-E061-4A0A-A80B-5F488BFA491A}"/>
    <cellStyle name="Comma 3 6 2 5 6" xfId="5327" xr:uid="{EB62D88A-F3FB-48E2-BD6E-ABFF467F11B0}"/>
    <cellStyle name="Comma 3 6 2 5 7" xfId="6629" xr:uid="{C2C75CEF-CE01-406A-8A19-5AD9A8F84A94}"/>
    <cellStyle name="Comma 3 6 2 5 8" xfId="7932" xr:uid="{D7DCEF8F-3EE9-4A36-9E28-02C637C64726}"/>
    <cellStyle name="Comma 3 6 2 6" xfId="4258" xr:uid="{5C786774-BF01-43E7-A01F-0BE4DD68192E}"/>
    <cellStyle name="Comma 3 6 2 6 2" xfId="5563" xr:uid="{0E9A3219-CEF6-4AAD-A6C7-D9E55C2B33AD}"/>
    <cellStyle name="Comma 3 6 2 6 3" xfId="6865" xr:uid="{B38F899C-7DED-4523-A621-CFBF57499AC4}"/>
    <cellStyle name="Comma 3 6 2 7" xfId="4538" xr:uid="{E06E337B-9FB5-42A4-8E34-84ED66C2145B}"/>
    <cellStyle name="Comma 3 6 2 7 2" xfId="5840" xr:uid="{09EB2D64-5E61-4028-A87F-E2D67BEE127A}"/>
    <cellStyle name="Comma 3 6 2 7 3" xfId="7143" xr:uid="{9682CC5A-571E-49CF-A344-8A0BEC9EB679}"/>
    <cellStyle name="Comma 3 6 2 8" xfId="4815" xr:uid="{0C35807A-BFDA-41A7-879B-846E0A93F3B1}"/>
    <cellStyle name="Comma 3 6 2 8 2" xfId="6117" xr:uid="{77AEC45D-1223-4F9A-9E30-F83ECF352CFA}"/>
    <cellStyle name="Comma 3 6 2 8 3" xfId="7420" xr:uid="{643FDF95-38B0-4DB0-BCB0-23E4E6F6DB29}"/>
    <cellStyle name="Comma 3 6 2 9" xfId="3793" xr:uid="{CD85779D-C219-4EE2-9F2E-6A6C01FAC0A8}"/>
    <cellStyle name="Comma 3 6 3" xfId="2894" xr:uid="{878C4A08-86BD-49B7-A0A9-8A77F1045F64}"/>
    <cellStyle name="Comma 3 6 3 10" xfId="7731" xr:uid="{54213DC4-7E48-4C97-A551-4E2001295808}"/>
    <cellStyle name="Comma 3 6 3 2" xfId="2995" xr:uid="{21565DD1-545A-4387-98D5-DA1DDE5800F6}"/>
    <cellStyle name="Comma 3 6 3 2 2" xfId="3664" xr:uid="{CE01EFA7-944E-4C88-836D-C73BEB9AA2D7}"/>
    <cellStyle name="Comma 3 6 3 2 2 2" xfId="4135" xr:uid="{9B8CDA9B-C01F-4B9C-9B7B-04FF625E21F8}"/>
    <cellStyle name="Comma 3 6 3 2 2 3" xfId="5440" xr:uid="{5BCA5408-E461-4554-8CFE-73B54C5DB15C}"/>
    <cellStyle name="Comma 3 6 3 2 2 4" xfId="6742" xr:uid="{DB1555ED-FE02-4652-B6AD-70F7C2FD3DC8}"/>
    <cellStyle name="Comma 3 6 3 2 2 5" xfId="8045" xr:uid="{6D55D8BC-4181-47A0-82E9-1AB699400E9C}"/>
    <cellStyle name="Comma 3 6 3 2 3" xfId="4371" xr:uid="{52F3657B-B94D-4A8A-8185-299A3A89A8A4}"/>
    <cellStyle name="Comma 3 6 3 2 3 2" xfId="5676" xr:uid="{CBB8E478-2464-4B90-8E1D-8C2D504DD54E}"/>
    <cellStyle name="Comma 3 6 3 2 3 3" xfId="6978" xr:uid="{ADC4636A-7230-40E4-9782-6A2CC0EFD82F}"/>
    <cellStyle name="Comma 3 6 3 2 4" xfId="4651" xr:uid="{5C5781D6-7CA0-4BFD-942D-7A15B0E954A3}"/>
    <cellStyle name="Comma 3 6 3 2 4 2" xfId="5953" xr:uid="{E54496B5-C660-4674-BCDA-FD31C539A525}"/>
    <cellStyle name="Comma 3 6 3 2 4 3" xfId="7256" xr:uid="{4373B83C-7A82-43BC-BCCB-0C29F47F8654}"/>
    <cellStyle name="Comma 3 6 3 2 5" xfId="4928" xr:uid="{BDAF6279-7C76-44A5-AE46-8DB7992AA23A}"/>
    <cellStyle name="Comma 3 6 3 2 5 2" xfId="6230" xr:uid="{265AC223-955A-4552-87B5-1327AB4D107B}"/>
    <cellStyle name="Comma 3 6 3 2 5 3" xfId="7533" xr:uid="{86A2B817-7312-4483-9D1B-4AC399C595E5}"/>
    <cellStyle name="Comma 3 6 3 2 6" xfId="3906" xr:uid="{92BA41A6-C97B-4897-A59E-51DC8F4418BD}"/>
    <cellStyle name="Comma 3 6 3 2 7" xfId="5211" xr:uid="{5FCAA5D9-6668-4DEF-BB93-F15954D8C7C2}"/>
    <cellStyle name="Comma 3 6 3 2 8" xfId="6513" xr:uid="{7720600F-7AE3-41C7-A8A4-1159F2B9AEB9}"/>
    <cellStyle name="Comma 3 6 3 2 9" xfId="7816" xr:uid="{85AE60DB-4484-4898-A2D6-DB1A59B9E403}"/>
    <cellStyle name="Comma 3 6 3 3" xfId="3563" xr:uid="{65993E7F-2B56-4C43-BEBC-BF40D30BA7C1}"/>
    <cellStyle name="Comma 3 6 3 3 2" xfId="4050" xr:uid="{D95C9EDF-A51D-4000-9146-7C1A73EE08DF}"/>
    <cellStyle name="Comma 3 6 3 3 3" xfId="5355" xr:uid="{4A4D178B-EC33-4391-86D7-2B18BDE53AF3}"/>
    <cellStyle name="Comma 3 6 3 3 4" xfId="6657" xr:uid="{997C1C40-7E44-4BB6-8F03-24A2D3A4B61B}"/>
    <cellStyle name="Comma 3 6 3 3 5" xfId="7960" xr:uid="{0F771892-0E3C-4180-8135-912DD750DA5C}"/>
    <cellStyle name="Comma 3 6 3 4" xfId="4286" xr:uid="{C9228A30-97A1-49D4-AEFB-887E170FF77F}"/>
    <cellStyle name="Comma 3 6 3 4 2" xfId="5591" xr:uid="{237058B9-4E39-4EB3-9ED2-971E1C5C913E}"/>
    <cellStyle name="Comma 3 6 3 4 3" xfId="6893" xr:uid="{73EE6093-18D9-4958-A8DD-BC80C2CBCA75}"/>
    <cellStyle name="Comma 3 6 3 5" xfId="4566" xr:uid="{888A1BDA-5D56-4375-B587-BECADABA7936}"/>
    <cellStyle name="Comma 3 6 3 5 2" xfId="5868" xr:uid="{53EC66C0-64B0-463E-A2CE-705F7F32B3B9}"/>
    <cellStyle name="Comma 3 6 3 5 3" xfId="7171" xr:uid="{60E7D720-7799-4DE1-93AF-170E48890E03}"/>
    <cellStyle name="Comma 3 6 3 6" xfId="4843" xr:uid="{41FE8492-19C8-4226-A89F-798D2494B990}"/>
    <cellStyle name="Comma 3 6 3 6 2" xfId="6145" xr:uid="{A9F6FA36-1D4F-4C75-8CF6-01C9938B2234}"/>
    <cellStyle name="Comma 3 6 3 6 3" xfId="7448" xr:uid="{251B401C-8B6E-4811-877E-2D5B63D7ED3B}"/>
    <cellStyle name="Comma 3 6 3 7" xfId="3821" xr:uid="{BB43F2E8-A4DA-429D-984F-691875E32A09}"/>
    <cellStyle name="Comma 3 6 3 8" xfId="5126" xr:uid="{A2C133DE-438B-4A83-8B5C-5A9DD35F7B35}"/>
    <cellStyle name="Comma 3 6 3 9" xfId="6428" xr:uid="{D39EFAA7-8271-4E6B-86F1-CB238B75FCB6}"/>
    <cellStyle name="Comma 3 6 4" xfId="3438" xr:uid="{E14B93A6-95BB-424A-B590-DA47656FABC7}"/>
    <cellStyle name="Comma 3 6 4 2" xfId="3704" xr:uid="{D86C5ADA-E3E5-4DE5-A865-D51ACA4464EE}"/>
    <cellStyle name="Comma 3 6 4 2 2" xfId="4175" xr:uid="{695E3D8A-0A26-40E8-B92B-4BBFA2F1380A}"/>
    <cellStyle name="Comma 3 6 4 2 3" xfId="5480" xr:uid="{FCF2757D-37F3-4584-8C55-4001AF6124FC}"/>
    <cellStyle name="Comma 3 6 4 2 4" xfId="6782" xr:uid="{ACC9CFDD-8C0A-4B74-9FD1-3DADE2758A7A}"/>
    <cellStyle name="Comma 3 6 4 2 5" xfId="8085" xr:uid="{E5167EC5-4CC5-463D-AE33-0F70BEE2C1B2}"/>
    <cellStyle name="Comma 3 6 4 3" xfId="4411" xr:uid="{E9ABB48A-ADFC-4835-ADFE-CB17BDA8B18F}"/>
    <cellStyle name="Comma 3 6 4 3 2" xfId="5716" xr:uid="{49761A0A-A902-43B7-BB68-F44A1EFD5352}"/>
    <cellStyle name="Comma 3 6 4 3 3" xfId="7018" xr:uid="{D249DD55-E08D-42E8-9DFA-7D76C0F5D2B1}"/>
    <cellStyle name="Comma 3 6 4 4" xfId="4691" xr:uid="{F95562D2-D08C-4403-AE9F-AFC54C3BDA27}"/>
    <cellStyle name="Comma 3 6 4 4 2" xfId="5993" xr:uid="{08E0C645-C286-4A2A-9A5F-2CD470834526}"/>
    <cellStyle name="Comma 3 6 4 4 3" xfId="7296" xr:uid="{F106EC78-62F9-49CD-B9FE-93F885F8B747}"/>
    <cellStyle name="Comma 3 6 4 5" xfId="4968" xr:uid="{17896EC7-69DF-4C66-902F-F0DA48FEE6C0}"/>
    <cellStyle name="Comma 3 6 4 5 2" xfId="6270" xr:uid="{F88D1800-3BAD-4B62-B33D-DD40BCE94F34}"/>
    <cellStyle name="Comma 3 6 4 5 3" xfId="7573" xr:uid="{6407E197-4178-44B1-B50D-1CE2D23144BA}"/>
    <cellStyle name="Comma 3 6 4 6" xfId="3946" xr:uid="{304D1BE5-6D5D-41B6-B26F-DB3A9C0A2D62}"/>
    <cellStyle name="Comma 3 6 4 7" xfId="5251" xr:uid="{FDE49338-6C60-42B0-A60C-0C92E1FD3F89}"/>
    <cellStyle name="Comma 3 6 4 8" xfId="6553" xr:uid="{6B7B9AC6-A685-4D91-9A08-BE10F2D958A8}"/>
    <cellStyle name="Comma 3 6 4 9" xfId="7856" xr:uid="{7A3B2325-BE93-4708-A4B4-A0057CB290E0}"/>
    <cellStyle name="Comma 3 6 5" xfId="2939" xr:uid="{2D4036A9-4261-4BED-A372-C431896DCDFF}"/>
    <cellStyle name="Comma 3 6 5 2" xfId="3608" xr:uid="{7B471FB4-98BA-4914-BEB5-BCD1D03B1023}"/>
    <cellStyle name="Comma 3 6 5 2 2" xfId="4095" xr:uid="{7B4A2D86-956C-4C0F-9021-7A507172FFEC}"/>
    <cellStyle name="Comma 3 6 5 2 3" xfId="5400" xr:uid="{99FF55B5-5B24-46F4-8F67-2CDA2C31C768}"/>
    <cellStyle name="Comma 3 6 5 2 4" xfId="6702" xr:uid="{BDEDB1F7-CC41-448F-8F4A-5E8C51630943}"/>
    <cellStyle name="Comma 3 6 5 2 5" xfId="8005" xr:uid="{6AEC6CE3-B366-429C-A20A-A6F9187C3E6B}"/>
    <cellStyle name="Comma 3 6 5 3" xfId="4331" xr:uid="{6E2E1830-02C3-4013-8D54-7335A5D6F8BD}"/>
    <cellStyle name="Comma 3 6 5 3 2" xfId="5636" xr:uid="{52E18F44-31B8-4F83-B849-CBBD8FBED3EC}"/>
    <cellStyle name="Comma 3 6 5 3 3" xfId="6938" xr:uid="{0A595DDC-570F-4F98-98AB-71F36A5FC7BC}"/>
    <cellStyle name="Comma 3 6 5 4" xfId="4611" xr:uid="{ACF8A719-FD3F-42A7-B6AB-6D937FF0D403}"/>
    <cellStyle name="Comma 3 6 5 4 2" xfId="5913" xr:uid="{E73AA9D6-3782-48C6-9DF1-AE230F63C36F}"/>
    <cellStyle name="Comma 3 6 5 4 3" xfId="7216" xr:uid="{23EBDB2D-B45A-4960-BEFD-044E9C072113}"/>
    <cellStyle name="Comma 3 6 5 5" xfId="4888" xr:uid="{DD13F672-9C53-4F15-9F61-479B1660805F}"/>
    <cellStyle name="Comma 3 6 5 5 2" xfId="6190" xr:uid="{7938C705-7789-45D7-AEE0-20FC111C5D1B}"/>
    <cellStyle name="Comma 3 6 5 5 3" xfId="7493" xr:uid="{BEBD32EF-2F2B-46FF-BC33-94C10225E900}"/>
    <cellStyle name="Comma 3 6 5 6" xfId="3866" xr:uid="{3C6B5331-1BB0-4ADE-8031-0EEBB6CDB72E}"/>
    <cellStyle name="Comma 3 6 5 7" xfId="5171" xr:uid="{4DAABDBF-98FB-4426-A69B-E27DEE4D447D}"/>
    <cellStyle name="Comma 3 6 5 8" xfId="6473" xr:uid="{7B0A9FE5-8001-4BDD-8444-D22C0A9649C6}"/>
    <cellStyle name="Comma 3 6 5 9" xfId="7776" xr:uid="{E437C20A-8233-4D77-954B-44B9E1DA16C8}"/>
    <cellStyle name="Comma 3 6 6" xfId="3518" xr:uid="{1080763B-E43B-4A51-B60E-3351A50A5F10}"/>
    <cellStyle name="Comma 3 6 6 2" xfId="4467" xr:uid="{556CB51E-3EFD-412B-B98C-36B2C8D62915}"/>
    <cellStyle name="Comma 3 6 6 2 2" xfId="5770" xr:uid="{DA32DCA1-92EA-4E61-A758-4AF1C2FCCAFC}"/>
    <cellStyle name="Comma 3 6 6 2 3" xfId="7073" xr:uid="{F112E188-7B3C-44B8-8152-9B3BDA8191D7}"/>
    <cellStyle name="Comma 3 6 6 3" xfId="4745" xr:uid="{271A1AC4-CD52-449B-9C1D-3425D1C35F8B}"/>
    <cellStyle name="Comma 3 6 6 3 2" xfId="6047" xr:uid="{162EC1C7-BB2F-4D01-9346-76A50EB2412E}"/>
    <cellStyle name="Comma 3 6 6 3 3" xfId="7350" xr:uid="{11F0A105-56D4-4693-94C2-EC61F74B01B1}"/>
    <cellStyle name="Comma 3 6 6 4" xfId="5022" xr:uid="{1D4CAAFD-BCC4-4893-B637-201F3278CD21}"/>
    <cellStyle name="Comma 3 6 6 4 2" xfId="6324" xr:uid="{1369BC62-0BC7-48A0-AE5F-2C6F5673AB59}"/>
    <cellStyle name="Comma 3 6 6 4 3" xfId="7627" xr:uid="{33ACF0D5-651D-40E7-94FE-A309057DBB3B}"/>
    <cellStyle name="Comma 3 6 6 5" xfId="4005" xr:uid="{55C2E32E-ABAD-4D2E-98B5-48840B7D9D1E}"/>
    <cellStyle name="Comma 3 6 6 6" xfId="5310" xr:uid="{A3BF79C4-D28C-467C-AA6D-FC99AC74619D}"/>
    <cellStyle name="Comma 3 6 6 7" xfId="6612" xr:uid="{DFFE0501-9229-49E3-AA1E-719876C3EB5A}"/>
    <cellStyle name="Comma 3 6 6 8" xfId="7915" xr:uid="{CE57E370-72C0-4380-9D47-8EFDA73497B1}"/>
    <cellStyle name="Comma 3 6 7" xfId="4241" xr:uid="{757FAD5E-1F6D-4EB0-88F3-356607BA9EB7}"/>
    <cellStyle name="Comma 3 6 7 2" xfId="5546" xr:uid="{F2CFF15D-8B47-4E3B-95A9-FEF4A5D1B0B6}"/>
    <cellStyle name="Comma 3 6 7 3" xfId="6848" xr:uid="{9086CD8B-2DB6-4652-B5BF-42C336910A67}"/>
    <cellStyle name="Comma 3 6 8" xfId="4521" xr:uid="{A134CAD2-05A9-40D1-8A85-0394FBFAD179}"/>
    <cellStyle name="Comma 3 6 8 2" xfId="5823" xr:uid="{65309814-ABAF-41A0-8A3B-DB4B3F0889A5}"/>
    <cellStyle name="Comma 3 6 8 3" xfId="7126" xr:uid="{B4AEEBA1-48FD-4B6D-B3DC-58C29FBFBDBC}"/>
    <cellStyle name="Comma 3 6 9" xfId="4798" xr:uid="{A3E9A9A9-AADC-4763-BF79-2A5DF47B3236}"/>
    <cellStyle name="Comma 3 6 9 2" xfId="6100" xr:uid="{5524BF5E-14CA-429B-A893-D0C5EE4921D4}"/>
    <cellStyle name="Comma 3 6 9 3" xfId="7403" xr:uid="{FCCC8104-25BB-43AE-A97B-3492C9F9191C}"/>
    <cellStyle name="Comma 3 7" xfId="2854" xr:uid="{55B40A91-9AB4-44DC-A48E-537FB2635E99}"/>
    <cellStyle name="Comma 3 7 10" xfId="5088" xr:uid="{D0A554A8-D2C4-4D84-BBC1-607116A7B49E}"/>
    <cellStyle name="Comma 3 7 11" xfId="6390" xr:uid="{7C219699-702F-4483-9F0A-77CBBD418356}"/>
    <cellStyle name="Comma 3 7 12" xfId="7693" xr:uid="{52A80C8F-868A-410A-9097-3BE6222F2104}"/>
    <cellStyle name="Comma 3 7 2" xfId="2901" xr:uid="{5FC15697-3CA9-4508-B4BD-78464CD31305}"/>
    <cellStyle name="Comma 3 7 2 10" xfId="7738" xr:uid="{1641A537-7EC4-46CB-AF23-6C7252BF7893}"/>
    <cellStyle name="Comma 3 7 2 2" xfId="3002" xr:uid="{0CA2E23C-EB6F-424F-ACF3-40A3DB7D0816}"/>
    <cellStyle name="Comma 3 7 2 2 2" xfId="3671" xr:uid="{FED4822D-21F7-4019-BF54-34BDE2E40B15}"/>
    <cellStyle name="Comma 3 7 2 2 2 2" xfId="4142" xr:uid="{AA0C40B7-DF7B-48F7-9BBF-3CAD991701C0}"/>
    <cellStyle name="Comma 3 7 2 2 2 3" xfId="5447" xr:uid="{686F94CF-DE0A-438B-8EFD-F46AC5979B61}"/>
    <cellStyle name="Comma 3 7 2 2 2 4" xfId="6749" xr:uid="{8609D334-71E6-4776-8C0C-D0D9E19C5AA3}"/>
    <cellStyle name="Comma 3 7 2 2 2 5" xfId="8052" xr:uid="{6F3D00E7-6C68-4407-AF25-28DCFF02E7B5}"/>
    <cellStyle name="Comma 3 7 2 2 3" xfId="4378" xr:uid="{86C31CC9-1EE4-4761-AD50-94F6D4812261}"/>
    <cellStyle name="Comma 3 7 2 2 3 2" xfId="5683" xr:uid="{7267FF07-ACE6-4E7C-BC9F-ABD4C85BA5ED}"/>
    <cellStyle name="Comma 3 7 2 2 3 3" xfId="6985" xr:uid="{A5A263E8-D327-4A46-8EB7-44B3D193407E}"/>
    <cellStyle name="Comma 3 7 2 2 4" xfId="4658" xr:uid="{815F6B05-3D43-4502-8021-7104C659E72B}"/>
    <cellStyle name="Comma 3 7 2 2 4 2" xfId="5960" xr:uid="{267BE4CA-66F2-4D89-90D4-3BD7C0298117}"/>
    <cellStyle name="Comma 3 7 2 2 4 3" xfId="7263" xr:uid="{283C57DC-6751-4A82-A3F1-4730572F8868}"/>
    <cellStyle name="Comma 3 7 2 2 5" xfId="4935" xr:uid="{A23FB9B2-5F12-404D-A54B-7B6A70519ABE}"/>
    <cellStyle name="Comma 3 7 2 2 5 2" xfId="6237" xr:uid="{F87AF21F-B0C1-4100-ACA9-6676C905C551}"/>
    <cellStyle name="Comma 3 7 2 2 5 3" xfId="7540" xr:uid="{69BE64E7-A73D-4EB0-B3D4-D7F81D36287C}"/>
    <cellStyle name="Comma 3 7 2 2 6" xfId="3913" xr:uid="{39852186-BA7E-4E82-91DA-C5D6374A82C2}"/>
    <cellStyle name="Comma 3 7 2 2 7" xfId="5218" xr:uid="{5E3FFEAF-1D73-4470-AC7D-00BB701C5986}"/>
    <cellStyle name="Comma 3 7 2 2 8" xfId="6520" xr:uid="{1FCC7311-3A53-483F-911D-C7A877012EAD}"/>
    <cellStyle name="Comma 3 7 2 2 9" xfId="7823" xr:uid="{7CE052F0-40BD-4B7A-8631-32326480948B}"/>
    <cellStyle name="Comma 3 7 2 3" xfId="3570" xr:uid="{F6123F3E-F786-4442-84A7-86A08CC76F03}"/>
    <cellStyle name="Comma 3 7 2 3 2" xfId="4057" xr:uid="{E66E1AC6-E1B3-49DD-B394-C1BB7E7F4797}"/>
    <cellStyle name="Comma 3 7 2 3 3" xfId="5362" xr:uid="{C32FD93C-1EAE-4818-9FB0-56F1CA0F63C8}"/>
    <cellStyle name="Comma 3 7 2 3 4" xfId="6664" xr:uid="{B973464D-DDBE-4DBC-AB87-72CB6E36706E}"/>
    <cellStyle name="Comma 3 7 2 3 5" xfId="7967" xr:uid="{4987B134-4AD3-4B09-A2C6-CBEB2EF8C53E}"/>
    <cellStyle name="Comma 3 7 2 4" xfId="4293" xr:uid="{46325758-0771-4B59-AEF5-0223BCEF1A92}"/>
    <cellStyle name="Comma 3 7 2 4 2" xfId="5598" xr:uid="{54968169-028D-41B7-BCF0-E210F6B99D83}"/>
    <cellStyle name="Comma 3 7 2 4 3" xfId="6900" xr:uid="{D916F82B-7FCF-4A32-A260-5CBFFFF8E292}"/>
    <cellStyle name="Comma 3 7 2 5" xfId="4573" xr:uid="{1357AE7F-8791-4A2B-8EB5-E620B75BE5FE}"/>
    <cellStyle name="Comma 3 7 2 5 2" xfId="5875" xr:uid="{B0521A67-4493-4CED-92DD-B34B192DAB3B}"/>
    <cellStyle name="Comma 3 7 2 5 3" xfId="7178" xr:uid="{0169E6B1-8E7D-4B6D-8B47-F6CD360A1F88}"/>
    <cellStyle name="Comma 3 7 2 6" xfId="4850" xr:uid="{D1FB7E8E-4E91-411F-B2BE-C2D0233FAF11}"/>
    <cellStyle name="Comma 3 7 2 6 2" xfId="6152" xr:uid="{C2D0BC8E-58B9-4648-8C6B-20D5806E18AB}"/>
    <cellStyle name="Comma 3 7 2 6 3" xfId="7455" xr:uid="{3F81CE7F-6E81-4F06-A028-AA2FB5F49BCF}"/>
    <cellStyle name="Comma 3 7 2 7" xfId="3828" xr:uid="{AD28AC72-FE33-4F1F-B47C-DA59F247BB84}"/>
    <cellStyle name="Comma 3 7 2 8" xfId="5133" xr:uid="{DFE1E18B-D4F7-41C2-B507-D83A9A2343BF}"/>
    <cellStyle name="Comma 3 7 2 9" xfId="6435" xr:uid="{DBBBC0F2-2F0F-4B66-B5EA-505ED4DD0666}"/>
    <cellStyle name="Comma 3 7 3" xfId="3446" xr:uid="{6BCC77A9-5E6A-42FB-A650-A80C2B2AFF75}"/>
    <cellStyle name="Comma 3 7 3 2" xfId="3711" xr:uid="{1F93ABAE-D387-40E1-874B-F6B0FF10DD60}"/>
    <cellStyle name="Comma 3 7 3 2 2" xfId="4182" xr:uid="{A17BA20B-37BD-4D94-AC90-AD5722FDA4FD}"/>
    <cellStyle name="Comma 3 7 3 2 3" xfId="5487" xr:uid="{0056D585-30DE-46F5-B090-0861FAC40527}"/>
    <cellStyle name="Comma 3 7 3 2 4" xfId="6789" xr:uid="{3EDA0CF5-1D8E-420A-AA86-C38EEC3E7255}"/>
    <cellStyle name="Comma 3 7 3 2 5" xfId="8092" xr:uid="{1F1C3E86-10FB-4147-B1CE-894F0929136E}"/>
    <cellStyle name="Comma 3 7 3 3" xfId="4418" xr:uid="{E9A742AE-ED48-45D4-BBB1-1891C388B0C0}"/>
    <cellStyle name="Comma 3 7 3 3 2" xfId="5723" xr:uid="{75F9E66C-75C1-4D00-B42A-E260EF183C86}"/>
    <cellStyle name="Comma 3 7 3 3 3" xfId="7025" xr:uid="{06F8AAA4-D3C8-4BA2-8F5D-1D6BB6C42E75}"/>
    <cellStyle name="Comma 3 7 3 4" xfId="4698" xr:uid="{8212F0F9-4EDD-4767-8492-D5918F2A7340}"/>
    <cellStyle name="Comma 3 7 3 4 2" xfId="6000" xr:uid="{CB9382EB-8BFF-44BD-B469-A2A9921E76EF}"/>
    <cellStyle name="Comma 3 7 3 4 3" xfId="7303" xr:uid="{6FC15AA5-9B6F-43E5-B157-CDE2B7FF04DA}"/>
    <cellStyle name="Comma 3 7 3 5" xfId="4975" xr:uid="{11BC275D-4D4E-42EB-97DE-FD7C3BDF055C}"/>
    <cellStyle name="Comma 3 7 3 5 2" xfId="6277" xr:uid="{22336B3A-83FE-4E6C-8508-3897D73A7AEA}"/>
    <cellStyle name="Comma 3 7 3 5 3" xfId="7580" xr:uid="{1A7E980F-499C-4C6E-9034-6F550F2D229E}"/>
    <cellStyle name="Comma 3 7 3 6" xfId="3953" xr:uid="{A64E7397-534A-41E4-991F-C50AFE7B97F7}"/>
    <cellStyle name="Comma 3 7 3 7" xfId="5258" xr:uid="{8797D89E-1380-4B83-9000-ABD4B0E34434}"/>
    <cellStyle name="Comma 3 7 3 8" xfId="6560" xr:uid="{CF68F0B4-7A72-4857-8F8D-54F1B4CEFCA0}"/>
    <cellStyle name="Comma 3 7 3 9" xfId="7863" xr:uid="{F6CBF71F-8710-444C-A181-D96D690E4F77}"/>
    <cellStyle name="Comma 3 7 4" xfId="2946" xr:uid="{7874155A-6C6D-499D-8A7C-5353A95E2735}"/>
    <cellStyle name="Comma 3 7 4 2" xfId="3615" xr:uid="{20059CE6-6314-459E-B521-5921E40A756C}"/>
    <cellStyle name="Comma 3 7 4 2 2" xfId="4102" xr:uid="{5BD4E04D-ACC5-41E9-AF2C-7EEF734C9364}"/>
    <cellStyle name="Comma 3 7 4 2 3" xfId="5407" xr:uid="{4D41814C-5E21-40C3-B98E-A1C820F8677F}"/>
    <cellStyle name="Comma 3 7 4 2 4" xfId="6709" xr:uid="{73980754-7C22-4AD2-A155-4BE792938CD4}"/>
    <cellStyle name="Comma 3 7 4 2 5" xfId="8012" xr:uid="{2110E66A-2E95-4D12-97D1-E5D5B1C642E5}"/>
    <cellStyle name="Comma 3 7 4 3" xfId="4338" xr:uid="{969E24E2-457B-4BDA-825F-BE11412FADF8}"/>
    <cellStyle name="Comma 3 7 4 3 2" xfId="5643" xr:uid="{4007325B-0F5F-4664-888E-47E4C48DC81F}"/>
    <cellStyle name="Comma 3 7 4 3 3" xfId="6945" xr:uid="{A4695209-0CD0-403D-9805-B9E0B5E87CCD}"/>
    <cellStyle name="Comma 3 7 4 4" xfId="4618" xr:uid="{E93C6BF9-8ED9-434B-96DF-30539ED04415}"/>
    <cellStyle name="Comma 3 7 4 4 2" xfId="5920" xr:uid="{FC3303C5-79DB-49B3-A3A5-D888BDCEAA05}"/>
    <cellStyle name="Comma 3 7 4 4 3" xfId="7223" xr:uid="{DD833010-FF57-4DAE-9D33-3F29F4F955DB}"/>
    <cellStyle name="Comma 3 7 4 5" xfId="4895" xr:uid="{4D0CEAAD-F68E-4AD2-BB39-0A319FADE6AB}"/>
    <cellStyle name="Comma 3 7 4 5 2" xfId="6197" xr:uid="{ADA3B251-78E9-4364-9737-8C7BA2A2F99C}"/>
    <cellStyle name="Comma 3 7 4 5 3" xfId="7500" xr:uid="{9752DAAF-657B-4906-8803-CB52E315F931}"/>
    <cellStyle name="Comma 3 7 4 6" xfId="3873" xr:uid="{38E4BB7F-5539-4889-A43F-6A13FD2D5F9E}"/>
    <cellStyle name="Comma 3 7 4 7" xfId="5178" xr:uid="{D28B7802-ED1E-4BBB-9541-78EC43809B4C}"/>
    <cellStyle name="Comma 3 7 4 8" xfId="6480" xr:uid="{827EC075-357B-4209-846E-7E469E2FBEE5}"/>
    <cellStyle name="Comma 3 7 4 9" xfId="7783" xr:uid="{D348BA31-F0F3-41CC-B707-58D2C50D96A1}"/>
    <cellStyle name="Comma 3 7 5" xfId="3525" xr:uid="{14E23C52-4FA2-4526-BF01-6D29D8541278}"/>
    <cellStyle name="Comma 3 7 5 2" xfId="4474" xr:uid="{DE2E07DB-A0FF-4E06-837E-86A508C9471C}"/>
    <cellStyle name="Comma 3 7 5 2 2" xfId="5777" xr:uid="{47E25F19-CC39-4A64-BEC8-584867EE09FA}"/>
    <cellStyle name="Comma 3 7 5 2 3" xfId="7080" xr:uid="{C4C2BE9B-7C23-47A9-96B5-9E4C4EAA4CEE}"/>
    <cellStyle name="Comma 3 7 5 3" xfId="4752" xr:uid="{C61F8D29-AEE8-400E-9831-D89881DC7713}"/>
    <cellStyle name="Comma 3 7 5 3 2" xfId="6054" xr:uid="{5C472EE8-E764-45C9-9D6F-71F7B4CC38A5}"/>
    <cellStyle name="Comma 3 7 5 3 3" xfId="7357" xr:uid="{5CFE8492-04F7-40A4-B3F0-EEA761BC8364}"/>
    <cellStyle name="Comma 3 7 5 4" xfId="5029" xr:uid="{8E1243F7-9BDF-4553-9888-80D7FDF74927}"/>
    <cellStyle name="Comma 3 7 5 4 2" xfId="6331" xr:uid="{92996276-18F9-48AD-8EA0-0BCE44953E26}"/>
    <cellStyle name="Comma 3 7 5 4 3" xfId="7634" xr:uid="{05DEF0F7-E012-4121-B151-68400BB58E0A}"/>
    <cellStyle name="Comma 3 7 5 5" xfId="4012" xr:uid="{ADA7D6D3-C92F-4A02-B5BC-9B9927C49F4A}"/>
    <cellStyle name="Comma 3 7 5 6" xfId="5317" xr:uid="{480178EC-B702-4498-942A-293E63E7F7A8}"/>
    <cellStyle name="Comma 3 7 5 7" xfId="6619" xr:uid="{D8BF7869-397A-4B5B-BB47-9E5FFEB10F29}"/>
    <cellStyle name="Comma 3 7 5 8" xfId="7922" xr:uid="{3F2EA11E-691C-4315-98D5-90B8A7B483C5}"/>
    <cellStyle name="Comma 3 7 6" xfId="4248" xr:uid="{63A3A813-D23E-444C-AFE9-2A98A9A6EC7B}"/>
    <cellStyle name="Comma 3 7 6 2" xfId="5553" xr:uid="{A030AD81-B80D-4960-B8B3-4D4E7E7564CA}"/>
    <cellStyle name="Comma 3 7 6 3" xfId="6855" xr:uid="{2CB93DF1-4169-41AA-B89D-DA0D78317AF7}"/>
    <cellStyle name="Comma 3 7 7" xfId="4528" xr:uid="{5F5EB08D-A3C7-4961-AFBC-18ABC60A0FB8}"/>
    <cellStyle name="Comma 3 7 7 2" xfId="5830" xr:uid="{14190550-A728-4F8A-8F19-F6B054E49060}"/>
    <cellStyle name="Comma 3 7 7 3" xfId="7133" xr:uid="{378E65B4-3D95-4721-97EB-5B56D7E78261}"/>
    <cellStyle name="Comma 3 7 8" xfId="4805" xr:uid="{CFA1E14E-C6C0-4EF1-9B02-8B01856F635F}"/>
    <cellStyle name="Comma 3 7 8 2" xfId="6107" xr:uid="{1181C788-4857-46A6-BAEA-0661C4D6C618}"/>
    <cellStyle name="Comma 3 7 8 3" xfId="7410" xr:uid="{13612E74-E610-4F38-9907-7A07AF123BDB}"/>
    <cellStyle name="Comma 3 7 9" xfId="3783" xr:uid="{DB9E94FC-3701-4D30-BB5C-50F6236373AD}"/>
    <cellStyle name="Comma 3 8" xfId="2884" xr:uid="{C9B36F34-9130-45D3-A320-1346E09E7C87}"/>
    <cellStyle name="Comma 3 8 10" xfId="7721" xr:uid="{2D837A69-0AB1-441C-8169-608839360DDB}"/>
    <cellStyle name="Comma 3 8 2" xfId="2971" xr:uid="{C66229D5-25D3-410F-BC0E-43D220C9A4F2}"/>
    <cellStyle name="Comma 3 8 2 2" xfId="3640" xr:uid="{0E63BC05-6BCC-41C7-9EEF-4F073555BFC4}"/>
    <cellStyle name="Comma 3 8 2 2 2" xfId="4125" xr:uid="{4969D656-6C93-4123-AD06-B1B7E8A46B87}"/>
    <cellStyle name="Comma 3 8 2 2 3" xfId="5430" xr:uid="{6139D3A2-81DD-40F8-8269-1854801395BF}"/>
    <cellStyle name="Comma 3 8 2 2 4" xfId="6732" xr:uid="{EC2F4C02-969E-4050-9F06-22FC8015DF88}"/>
    <cellStyle name="Comma 3 8 2 2 5" xfId="8035" xr:uid="{743E09E5-3940-461D-A31E-63F522EB7516}"/>
    <cellStyle name="Comma 3 8 2 3" xfId="4361" xr:uid="{DE482D03-FAF5-45BC-BC79-16C6033CEAC3}"/>
    <cellStyle name="Comma 3 8 2 3 2" xfId="5666" xr:uid="{3CDE27CC-E567-48E0-BDD0-7D473C1088F5}"/>
    <cellStyle name="Comma 3 8 2 3 3" xfId="6968" xr:uid="{36FB3C03-C532-4C1B-97CB-D2BEF48F964B}"/>
    <cellStyle name="Comma 3 8 2 4" xfId="4641" xr:uid="{05880BA7-B629-4CC8-AB13-662A8BA0FE40}"/>
    <cellStyle name="Comma 3 8 2 4 2" xfId="5943" xr:uid="{C3B6725C-548F-4BF8-8BA2-BDB073EB9D3C}"/>
    <cellStyle name="Comma 3 8 2 4 3" xfId="7246" xr:uid="{8B2CA54C-BB0F-4AD4-9A01-EC04956CEA4D}"/>
    <cellStyle name="Comma 3 8 2 5" xfId="4918" xr:uid="{10A211D6-EBF5-4401-B587-FCAC86EEB793}"/>
    <cellStyle name="Comma 3 8 2 5 2" xfId="6220" xr:uid="{3F71B471-B4A9-4D11-A80D-16FFFD633344}"/>
    <cellStyle name="Comma 3 8 2 5 3" xfId="7523" xr:uid="{31026B30-FB10-4030-B361-46DF7CA804E1}"/>
    <cellStyle name="Comma 3 8 2 6" xfId="3896" xr:uid="{E2E33783-91E0-49A5-B79D-8FF167C88A67}"/>
    <cellStyle name="Comma 3 8 2 7" xfId="5201" xr:uid="{99DA0F7C-D4DD-456D-953F-F5D5522421BF}"/>
    <cellStyle name="Comma 3 8 2 8" xfId="6503" xr:uid="{59993CBC-C6A3-4FEF-B77A-13D820420658}"/>
    <cellStyle name="Comma 3 8 2 9" xfId="7806" xr:uid="{2D990F17-AB10-4C2C-B284-EBC549A3451A}"/>
    <cellStyle name="Comma 3 8 3" xfId="3553" xr:uid="{42BDFCAE-3765-4057-9BC9-F0181DC541E3}"/>
    <cellStyle name="Comma 3 8 3 2" xfId="4040" xr:uid="{A0B2E153-24A7-4FDD-977B-4BAC5AAC7F03}"/>
    <cellStyle name="Comma 3 8 3 3" xfId="5345" xr:uid="{522986FD-04AF-41C5-95FA-60246882909A}"/>
    <cellStyle name="Comma 3 8 3 4" xfId="6647" xr:uid="{3E71E6DE-0C51-45E5-8618-1EB19C8750FE}"/>
    <cellStyle name="Comma 3 8 3 5" xfId="7950" xr:uid="{455F20FF-3887-4B60-86EF-C43B8176D5AF}"/>
    <cellStyle name="Comma 3 8 4" xfId="4276" xr:uid="{9029FF41-E657-427D-B9F9-B689C4CA5597}"/>
    <cellStyle name="Comma 3 8 4 2" xfId="5581" xr:uid="{F23D12F8-119E-493F-BD62-A3F36FAE72C7}"/>
    <cellStyle name="Comma 3 8 4 3" xfId="6883" xr:uid="{38AEC012-875A-4F03-9800-70A58ECDEE5A}"/>
    <cellStyle name="Comma 3 8 5" xfId="4556" xr:uid="{98ABD6D9-561B-4494-A4D0-920C2929C397}"/>
    <cellStyle name="Comma 3 8 5 2" xfId="5858" xr:uid="{EAA0E428-FD59-4786-BD8F-3E7CC7EC4953}"/>
    <cellStyle name="Comma 3 8 5 3" xfId="7161" xr:uid="{472840FC-9ADC-4EF6-8431-8C612DC4CF8B}"/>
    <cellStyle name="Comma 3 8 6" xfId="4833" xr:uid="{3A96AE79-1DF6-4DFF-8C32-BAF10A0C5105}"/>
    <cellStyle name="Comma 3 8 6 2" xfId="6135" xr:uid="{17139584-B32D-4E8A-9AC3-5C0FB0ACF732}"/>
    <cellStyle name="Comma 3 8 6 3" xfId="7438" xr:uid="{9C3EE3CF-7EE2-4019-9095-F5275346502F}"/>
    <cellStyle name="Comma 3 8 7" xfId="3811" xr:uid="{A47523C5-9FE2-4C5D-A0DD-45E04C250CEA}"/>
    <cellStyle name="Comma 3 8 8" xfId="5116" xr:uid="{FCCD64C3-0EB8-41A8-9F5F-F2499A3FE969}"/>
    <cellStyle name="Comma 3 8 9" xfId="6418" xr:uid="{239602C3-2173-4232-A088-047203A47926}"/>
    <cellStyle name="Comma 3 9" xfId="3039" xr:uid="{3C8CAE85-D6B1-4E5C-BEC0-FA4EEF3BBF18}"/>
    <cellStyle name="Comma 3 9 2" xfId="3694" xr:uid="{E3E723CF-DE91-4D77-91A1-CED072A62EB6}"/>
    <cellStyle name="Comma 3 9 2 2" xfId="4165" xr:uid="{6086277C-7641-4633-9DA9-5766A7A621A8}"/>
    <cellStyle name="Comma 3 9 2 3" xfId="5470" xr:uid="{E81B7FD9-ADA9-4DEB-860D-7FD12079F415}"/>
    <cellStyle name="Comma 3 9 2 4" xfId="6772" xr:uid="{F0C2737A-A5FA-4CF2-9E59-635BD77179EA}"/>
    <cellStyle name="Comma 3 9 2 5" xfId="8075" xr:uid="{55E7539A-8EFC-4C23-BFE2-9190F2C74D92}"/>
    <cellStyle name="Comma 3 9 3" xfId="4401" xr:uid="{8BF45934-187F-4050-89B1-4942D06B5898}"/>
    <cellStyle name="Comma 3 9 3 2" xfId="5706" xr:uid="{AF4A8AB4-44CA-4830-AB67-EB4F614A366C}"/>
    <cellStyle name="Comma 3 9 3 3" xfId="7008" xr:uid="{50CE3B7C-E591-4556-933B-E3C1AD877306}"/>
    <cellStyle name="Comma 3 9 4" xfId="4681" xr:uid="{72458102-EDA1-4FB4-B189-CF1362DDAFCA}"/>
    <cellStyle name="Comma 3 9 4 2" xfId="5983" xr:uid="{8F60F47A-8402-4442-8157-A3A74E6E10FF}"/>
    <cellStyle name="Comma 3 9 4 3" xfId="7286" xr:uid="{54A9EA8D-4173-475D-B95D-F9B2DA6D1111}"/>
    <cellStyle name="Comma 3 9 5" xfId="4958" xr:uid="{96C64049-91E7-4479-BEB7-31707AE51442}"/>
    <cellStyle name="Comma 3 9 5 2" xfId="6260" xr:uid="{1D7FA8E9-3CEE-4E54-BEB7-72C7F786465C}"/>
    <cellStyle name="Comma 3 9 5 3" xfId="7563" xr:uid="{24EAC935-1CA2-4C4B-9FFD-E0C4FB97824E}"/>
    <cellStyle name="Comma 3 9 6" xfId="3936" xr:uid="{72AF1DA5-DB93-4B72-BFBC-FB71CF4DC767}"/>
    <cellStyle name="Comma 3 9 7" xfId="5241" xr:uid="{36D9F7AF-997D-43A2-B4D8-B5575979EA41}"/>
    <cellStyle name="Comma 3 9 8" xfId="6543" xr:uid="{F93FA9B3-1D9D-446E-B1EC-62D2FEB8333D}"/>
    <cellStyle name="Comma 3 9 9" xfId="7846" xr:uid="{0DE8C7F9-C77E-4879-8D92-81885B2D0143}"/>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10" xfId="5101" xr:uid="{A137E3D7-2830-4CFA-BAA2-14C8E8C945B9}"/>
    <cellStyle name="Comma 5 11" xfId="6403" xr:uid="{752411B7-A9F8-4213-9C48-0500C072FBFF}"/>
    <cellStyle name="Comma 5 12" xfId="7706" xr:uid="{6C6CDEA7-1F1A-469B-93C7-DD8848B4821D}"/>
    <cellStyle name="Comma 5 2" xfId="2914" xr:uid="{B42125D4-469B-4057-8BAC-A801C26EF53B}"/>
    <cellStyle name="Comma 5 2 10" xfId="7751" xr:uid="{8820583D-8666-4CD6-ACDE-183DC5E86FA4}"/>
    <cellStyle name="Comma 5 2 2" xfId="3015" xr:uid="{01FBB12D-FA62-4FAD-9737-CC8FEC86C270}"/>
    <cellStyle name="Comma 5 2 2 2" xfId="3684" xr:uid="{1A61A69A-1C2C-46FD-96B7-7B637E3B4F3A}"/>
    <cellStyle name="Comma 5 2 2 2 2" xfId="4155" xr:uid="{F5A2DDE8-2A7D-4CBD-99B3-9372424F7D1C}"/>
    <cellStyle name="Comma 5 2 2 2 3" xfId="5460" xr:uid="{EB38CADA-2781-49DE-9226-75B0432B4408}"/>
    <cellStyle name="Comma 5 2 2 2 4" xfId="6762" xr:uid="{BC7CCFF3-0B79-486A-8F23-BC0018189E27}"/>
    <cellStyle name="Comma 5 2 2 2 5" xfId="8065" xr:uid="{BFE88351-D16F-4439-898A-118EA14403A3}"/>
    <cellStyle name="Comma 5 2 2 3" xfId="4391" xr:uid="{565E3E5B-F241-451E-A63E-A7A15576BD39}"/>
    <cellStyle name="Comma 5 2 2 3 2" xfId="5696" xr:uid="{6CD74CC5-3005-44B4-B3D8-5FFB425DA9ED}"/>
    <cellStyle name="Comma 5 2 2 3 3" xfId="6998" xr:uid="{DBD84301-887B-4320-A804-21AA9E66E0D4}"/>
    <cellStyle name="Comma 5 2 2 4" xfId="4671" xr:uid="{44A5FE7B-C024-4B90-9D94-D94A473E60B4}"/>
    <cellStyle name="Comma 5 2 2 4 2" xfId="5973" xr:uid="{148BEC5A-9376-4204-840F-CD83DCB7D6F2}"/>
    <cellStyle name="Comma 5 2 2 4 3" xfId="7276" xr:uid="{F68FBDC0-69CD-435E-9C9B-DA060CEF5119}"/>
    <cellStyle name="Comma 5 2 2 5" xfId="4948" xr:uid="{31A2B4F1-94DD-46AF-9564-BF6AE86A8C4B}"/>
    <cellStyle name="Comma 5 2 2 5 2" xfId="6250" xr:uid="{34709840-3C3D-481A-946C-56CA0DE19411}"/>
    <cellStyle name="Comma 5 2 2 5 3" xfId="7553" xr:uid="{1CA0742C-C8CF-45FB-B1D9-544BAF30239D}"/>
    <cellStyle name="Comma 5 2 2 6" xfId="3926" xr:uid="{DF257F7E-93C0-4D4B-9B44-84F5E78E5510}"/>
    <cellStyle name="Comma 5 2 2 7" xfId="5231" xr:uid="{1BAE3600-AC1B-4348-839D-5061840EF482}"/>
    <cellStyle name="Comma 5 2 2 8" xfId="6533" xr:uid="{BEFF7696-BC92-4CE1-814F-12E00AE6F629}"/>
    <cellStyle name="Comma 5 2 2 9" xfId="7836" xr:uid="{6B1D86FD-963C-4424-8719-5727A1A9203C}"/>
    <cellStyle name="Comma 5 2 3" xfId="3583" xr:uid="{62BEFAF8-5C29-4B53-B718-116974703191}"/>
    <cellStyle name="Comma 5 2 3 2" xfId="4070" xr:uid="{CB25B35D-AAAC-47FF-9471-423C9F77715A}"/>
    <cellStyle name="Comma 5 2 3 3" xfId="5375" xr:uid="{3400A4B0-7052-4925-B7F8-0710DB365365}"/>
    <cellStyle name="Comma 5 2 3 4" xfId="6677" xr:uid="{3A99B22F-901B-489E-850F-36452DDAB687}"/>
    <cellStyle name="Comma 5 2 3 5" xfId="7980" xr:uid="{834C968B-C664-49DB-93C3-D7B0498B6042}"/>
    <cellStyle name="Comma 5 2 4" xfId="4306" xr:uid="{0F5DF40C-0580-4FB7-9F94-E6490447E338}"/>
    <cellStyle name="Comma 5 2 4 2" xfId="5611" xr:uid="{24B9B70F-8471-4C3E-9F29-689FCBF39968}"/>
    <cellStyle name="Comma 5 2 4 3" xfId="6913" xr:uid="{CD595A9E-83A1-4AC8-A322-A4F660438190}"/>
    <cellStyle name="Comma 5 2 5" xfId="4586" xr:uid="{5A3B159B-F956-4A66-AC9A-9C4F1DBB1D7F}"/>
    <cellStyle name="Comma 5 2 5 2" xfId="5888" xr:uid="{8B1F22DB-A42D-4141-96CD-FB648C495E74}"/>
    <cellStyle name="Comma 5 2 5 3" xfId="7191" xr:uid="{9670FC2D-0BA2-421A-A0D1-AF4F2F371AA9}"/>
    <cellStyle name="Comma 5 2 6" xfId="4863" xr:uid="{C2F7DBEE-CFB2-4E0D-9E88-95A44A7311D0}"/>
    <cellStyle name="Comma 5 2 6 2" xfId="6165" xr:uid="{0D3F656E-7C22-4F20-ADC3-088AB5270864}"/>
    <cellStyle name="Comma 5 2 6 3" xfId="7468" xr:uid="{C18DF5F9-A7BD-45D4-885D-BCA401E934A7}"/>
    <cellStyle name="Comma 5 2 7" xfId="3841" xr:uid="{DD534D05-09BA-4BD4-B147-5221825C8AF4}"/>
    <cellStyle name="Comma 5 2 8" xfId="5146" xr:uid="{5BB3E4F3-CA6D-4C2C-BCFD-0AAF5F96A5CE}"/>
    <cellStyle name="Comma 5 2 9" xfId="6448" xr:uid="{2C563AE6-C37D-4ED2-8157-F4F5062314B6}"/>
    <cellStyle name="Comma 5 3" xfId="3459" xr:uid="{0B6DD5F4-4107-4CA4-A2E3-D7AB3A9A1363}"/>
    <cellStyle name="Comma 5 3 2" xfId="3724" xr:uid="{AB56FAF0-0D2B-4E84-ABDF-D24B4DFBDEFF}"/>
    <cellStyle name="Comma 5 3 2 2" xfId="4195" xr:uid="{5072E43C-E3A9-4916-B58C-B8E1BB07A277}"/>
    <cellStyle name="Comma 5 3 2 3" xfId="5500" xr:uid="{B1A5EB52-0C3A-4D9B-B624-0FB3A637452A}"/>
    <cellStyle name="Comma 5 3 2 4" xfId="6802" xr:uid="{AADAE696-9BE9-4F20-995E-4A87B9F995E2}"/>
    <cellStyle name="Comma 5 3 2 5" xfId="8105" xr:uid="{32C6BB7A-F995-4123-A3C4-9D2A36C4BEA9}"/>
    <cellStyle name="Comma 5 3 3" xfId="4431" xr:uid="{BE09C8E7-1DF4-4E40-8616-BBE06C30F0D3}"/>
    <cellStyle name="Comma 5 3 3 2" xfId="5736" xr:uid="{AC823AAB-55B7-491D-8F9C-BD00391857E5}"/>
    <cellStyle name="Comma 5 3 3 3" xfId="7038" xr:uid="{212AB928-BABA-4DCD-9AD2-CB1B5586BFFF}"/>
    <cellStyle name="Comma 5 3 4" xfId="4711" xr:uid="{A0F4F100-4EC7-446C-BE07-AA374CF91A1D}"/>
    <cellStyle name="Comma 5 3 4 2" xfId="6013" xr:uid="{B836D7CC-CEE0-4960-B2E0-DD7A13D191F8}"/>
    <cellStyle name="Comma 5 3 4 3" xfId="7316" xr:uid="{9B044A38-0389-4650-BAE2-02E8E137578B}"/>
    <cellStyle name="Comma 5 3 5" xfId="4988" xr:uid="{4E100204-F384-4333-8A3A-96936FCFDE2A}"/>
    <cellStyle name="Comma 5 3 5 2" xfId="6290" xr:uid="{75CDFD2B-243C-4C53-8531-4F76B68A1F1C}"/>
    <cellStyle name="Comma 5 3 5 3" xfId="7593" xr:uid="{F32F648B-A0A9-4228-BA64-88C8773E0A42}"/>
    <cellStyle name="Comma 5 3 6" xfId="3966" xr:uid="{94DFB560-E671-4B3E-B26D-570291C3AC09}"/>
    <cellStyle name="Comma 5 3 7" xfId="5271" xr:uid="{1459B19F-2528-491B-82CB-97075698B35A}"/>
    <cellStyle name="Comma 5 3 8" xfId="6573" xr:uid="{020874EE-0C03-4B3E-8095-90ABA94E4620}"/>
    <cellStyle name="Comma 5 3 9" xfId="7876" xr:uid="{F518742A-9301-4ECA-9A92-03DAA9AD04D8}"/>
    <cellStyle name="Comma 5 4" xfId="2959" xr:uid="{BD4641BD-368C-4B1B-8C20-165DBCF2D8FC}"/>
    <cellStyle name="Comma 5 4 2" xfId="3628" xr:uid="{8B085F66-FD5D-4DD6-944F-EEA6294E187A}"/>
    <cellStyle name="Comma 5 4 2 2" xfId="4115" xr:uid="{48F50EAB-8DD5-4602-8BCC-8C86403F1DB4}"/>
    <cellStyle name="Comma 5 4 2 3" xfId="5420" xr:uid="{817E3671-0378-412E-BF4C-7D19A0B8517C}"/>
    <cellStyle name="Comma 5 4 2 4" xfId="6722" xr:uid="{4782CD88-5A2A-49D4-A376-22A70B71B6B6}"/>
    <cellStyle name="Comma 5 4 2 5" xfId="8025" xr:uid="{D33CCD42-316C-474E-B955-DA4AD42A6837}"/>
    <cellStyle name="Comma 5 4 3" xfId="4351" xr:uid="{036F0111-EA18-463B-94FC-DE7D86C59F4E}"/>
    <cellStyle name="Comma 5 4 3 2" xfId="5656" xr:uid="{21A36651-8804-4E04-9946-89B77711535E}"/>
    <cellStyle name="Comma 5 4 3 3" xfId="6958" xr:uid="{F0370640-B5D8-426C-8E7D-0AA4B041A171}"/>
    <cellStyle name="Comma 5 4 4" xfId="4631" xr:uid="{D7276EBB-E2E3-4BF8-AB6E-3EF5CAB18576}"/>
    <cellStyle name="Comma 5 4 4 2" xfId="5933" xr:uid="{343028E3-E19D-4317-AF3B-79083A75B984}"/>
    <cellStyle name="Comma 5 4 4 3" xfId="7236" xr:uid="{2C743301-C384-4BEF-882E-7FD260010544}"/>
    <cellStyle name="Comma 5 4 5" xfId="4908" xr:uid="{9E4065A0-6F95-4B00-A6A7-3C06FBF26E74}"/>
    <cellStyle name="Comma 5 4 5 2" xfId="6210" xr:uid="{E19B919C-DBAC-4C80-8E05-44C5B3B97D0A}"/>
    <cellStyle name="Comma 5 4 5 3" xfId="7513" xr:uid="{DE28366F-6131-4B52-8461-BB1CAFE91EEF}"/>
    <cellStyle name="Comma 5 4 6" xfId="3886" xr:uid="{AB693E69-89B6-44A8-B506-6538A866BBE1}"/>
    <cellStyle name="Comma 5 4 7" xfId="5191" xr:uid="{3F0F5805-7147-44D8-8FEF-62A199DD8AD6}"/>
    <cellStyle name="Comma 5 4 8" xfId="6493" xr:uid="{CE3693DE-7B09-44C8-8156-225A0B950DF8}"/>
    <cellStyle name="Comma 5 4 9" xfId="7796" xr:uid="{2B400DD0-AA63-4901-9C38-30B2F95BFCE7}"/>
    <cellStyle name="Comma 5 5" xfId="3538" xr:uid="{9CA2F56D-1D50-47EC-92E7-BED589E2846D}"/>
    <cellStyle name="Comma 5 5 2" xfId="4487" xr:uid="{21AB0A4E-4A0B-4D08-A95F-5781F219108D}"/>
    <cellStyle name="Comma 5 5 2 2" xfId="5790" xr:uid="{E41A6E98-C605-44A1-A61A-4D55CD6EE34F}"/>
    <cellStyle name="Comma 5 5 2 3" xfId="7093" xr:uid="{439F9497-9DF9-481E-8F64-C8A12830AFCE}"/>
    <cellStyle name="Comma 5 5 3" xfId="4765" xr:uid="{D30A6DFE-5713-4FD6-9F52-2A479B5F3826}"/>
    <cellStyle name="Comma 5 5 3 2" xfId="6067" xr:uid="{D8509A82-5920-4614-8530-B343B955FE9C}"/>
    <cellStyle name="Comma 5 5 3 3" xfId="7370" xr:uid="{5982DD23-DF0E-4911-9ECB-634542F6E5D8}"/>
    <cellStyle name="Comma 5 5 4" xfId="5042" xr:uid="{FA2C18D4-7B27-4F2E-B699-AAE4A1E53F3C}"/>
    <cellStyle name="Comma 5 5 4 2" xfId="6344" xr:uid="{6625D8ED-813B-4C15-98CA-E317C0E0002D}"/>
    <cellStyle name="Comma 5 5 4 3" xfId="7647" xr:uid="{BD637DC0-5200-46D6-B436-6997736019F5}"/>
    <cellStyle name="Comma 5 5 5" xfId="4025" xr:uid="{FCF51D96-ACA7-419B-B352-AF1625D97A3B}"/>
    <cellStyle name="Comma 5 5 6" xfId="5330" xr:uid="{79477A12-FE8E-4CAE-AF31-F5212FA6C067}"/>
    <cellStyle name="Comma 5 5 7" xfId="6632" xr:uid="{9FF386ED-8FDD-43A2-8B8F-2F80E83DA8DC}"/>
    <cellStyle name="Comma 5 5 8" xfId="7935" xr:uid="{D6CE938E-2C17-4A15-9308-F90DDB2C026B}"/>
    <cellStyle name="Comma 5 6" xfId="4261" xr:uid="{6ED86772-37AD-42B2-AB38-ED1A0E779377}"/>
    <cellStyle name="Comma 5 6 2" xfId="5566" xr:uid="{E59F68B2-4BA8-4566-850C-22DBAB87B45B}"/>
    <cellStyle name="Comma 5 6 3" xfId="6868" xr:uid="{5FD7DD2C-7BEB-48DB-A97F-1618FFA4DC65}"/>
    <cellStyle name="Comma 5 7" xfId="4541" xr:uid="{8F5F7C80-ADBA-45B3-8618-D3CE02EF89F3}"/>
    <cellStyle name="Comma 5 7 2" xfId="5843" xr:uid="{EB5870B2-F4C0-40E1-9319-99C14DADB76B}"/>
    <cellStyle name="Comma 5 7 3" xfId="7146" xr:uid="{15880189-1D1D-4E13-95F7-9966EDFC9D0D}"/>
    <cellStyle name="Comma 5 8" xfId="4818" xr:uid="{1382229A-42C8-4285-914F-E17F7B3D0FDF}"/>
    <cellStyle name="Comma 5 8 2" xfId="6120" xr:uid="{4EE9C82E-CE72-4171-9CBC-A381C09BE96F}"/>
    <cellStyle name="Comma 5 8 3" xfId="7423" xr:uid="{396416A7-FD60-4032-8F6C-816C6DE05036}"/>
    <cellStyle name="Comma 5 9" xfId="3796" xr:uid="{E9A1BAC8-65C5-47DB-B2D3-A7BE129F29FD}"/>
    <cellStyle name="Comma 58 2" xfId="1739" xr:uid="{0A8BC880-0544-4B8B-85FA-3F064FCB882F}"/>
    <cellStyle name="Comma 6" xfId="3480" xr:uid="{2F647900-AECC-4EC3-B7E1-70600B07B3B9}"/>
    <cellStyle name="Comma 6 2" xfId="3727" xr:uid="{478A7263-B51A-4F65-99EC-CEC9C2D4F793}"/>
    <cellStyle name="Comma 6 2 2" xfId="4443" xr:uid="{97134B2D-48DB-45D2-A53C-BC4546F534AD}"/>
    <cellStyle name="Comma 6 2 3" xfId="4198" xr:uid="{949A0B23-BCEF-42B0-846D-1D8A7B0C5FDB}"/>
    <cellStyle name="Comma 6 2 4" xfId="5503" xr:uid="{F7411BE8-4DDB-4F09-86C9-3620CDE63C1D}"/>
    <cellStyle name="Comma 6 2 5" xfId="6805" xr:uid="{60A7A1BA-694C-4A76-B025-EC0699159708}"/>
    <cellStyle name="Comma 6 2 6" xfId="8108" xr:uid="{F4E0FCB3-CDE1-4189-883A-C9C360264BF6}"/>
    <cellStyle name="Comma 6 3" xfId="4434" xr:uid="{E9C3B924-A0C0-45FA-B619-282FE4D24D60}"/>
    <cellStyle name="Comma 6 3 2" xfId="5739" xr:uid="{8180623F-FBA1-465F-9D4E-6B4241A15DC6}"/>
    <cellStyle name="Comma 6 3 3" xfId="7041" xr:uid="{ADDAE616-5816-435C-9D05-02A4088295BB}"/>
    <cellStyle name="Comma 6 4" xfId="4714" xr:uid="{77B578B3-96CE-4BE4-AE2E-D5BD76DAF9E5}"/>
    <cellStyle name="Comma 6 4 2" xfId="6016" xr:uid="{358665CD-E1B5-4D16-9337-2F5C50A783E9}"/>
    <cellStyle name="Comma 6 4 3" xfId="7319" xr:uid="{3A2D1FC7-E228-4710-BBBC-78D2C5F895EC}"/>
    <cellStyle name="Comma 6 5" xfId="4991" xr:uid="{D09A789B-BD2B-497C-90BD-7F03C3CCE747}"/>
    <cellStyle name="Comma 6 5 2" xfId="6293" xr:uid="{2B0D542A-E79D-428B-AE62-D48DA69233DC}"/>
    <cellStyle name="Comma 6 5 3" xfId="7596" xr:uid="{38297BA8-22B4-4D2A-A3EE-8B0FD1D18F07}"/>
    <cellStyle name="Comma 6 6" xfId="3969" xr:uid="{51FF11E4-D6C4-44EE-8332-BAC205DDA520}"/>
    <cellStyle name="Comma 6 7" xfId="5274" xr:uid="{08C506AC-E6D6-4434-9BE4-D1EDC446AD04}"/>
    <cellStyle name="Comma 6 8" xfId="6576" xr:uid="{0D4BE544-02EA-4E68-84BC-2BC4471926C3}"/>
    <cellStyle name="Comma 6 9" xfId="7879" xr:uid="{A13EBE80-CD68-467B-9529-044863FB5B62}"/>
    <cellStyle name="Comma 7" xfId="3489" xr:uid="{B85F0E73-3223-4595-8AAA-D12E56954A25}"/>
    <cellStyle name="Comma 8" xfId="3737" xr:uid="{0BE5ACB8-7A2C-41BF-AAE3-6976D131805D}"/>
    <cellStyle name="Comma 8 2" xfId="4208" xr:uid="{04F95966-46F2-4FDC-BC57-6DD779D2F653}"/>
    <cellStyle name="Comma 8 3" xfId="5513" xr:uid="{1B5A617C-3382-4147-9583-036CA1052589}"/>
    <cellStyle name="Comma 8 4" xfId="6815" xr:uid="{513DD115-4FAD-4837-B16E-591533F60264}"/>
    <cellStyle name="Comma 8 5" xfId="8118" xr:uid="{FBBCC7A2-1F9F-44F1-B611-F1CDEA188C97}"/>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4210" xr:uid="{F1766E37-B18C-4656-B68F-5A4D012FD51A}"/>
    <cellStyle name="Currency 4 3" xfId="5515" xr:uid="{E7FACFEA-3B20-4BAC-AB0E-40F6A671991C}"/>
    <cellStyle name="Currency 4 4" xfId="6817" xr:uid="{24D4256D-5592-4A72-B0DE-1194ACF3F59B}"/>
    <cellStyle name="Currency 4 5" xfId="8120" xr:uid="{B0E75501-A267-4CD0-9528-80153905C46F}"/>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4490" xr:uid="{F7E6FCF4-9EDC-425E-9AC4-5C90490C7511}"/>
    <cellStyle name="Normal 10 3 2" xfId="5793" xr:uid="{DDFB4AE3-42B4-42F0-A634-3C40E69C7F6C}"/>
    <cellStyle name="Normal 10 3 3" xfId="7096" xr:uid="{9AB9FD2C-7203-4075-8A0F-4A065BDF4668}"/>
    <cellStyle name="Normal 10 4" xfId="4768" xr:uid="{6480E028-C9C7-4128-81DB-00E241FAB44E}"/>
    <cellStyle name="Normal 10 4 2" xfId="6070" xr:uid="{2B4A4F07-6E87-498C-84FF-D5824887C1AF}"/>
    <cellStyle name="Normal 10 4 3" xfId="7373" xr:uid="{BBA36C5F-BCD7-45F4-812C-E9EA85F4285D}"/>
    <cellStyle name="Normal 10 5" xfId="5045" xr:uid="{CF137B01-459C-43E3-A9C5-AB74BEEBB09E}"/>
    <cellStyle name="Normal 10 5 2" xfId="6347" xr:uid="{1C15D45F-5D00-4813-A301-8F149E955D30}"/>
    <cellStyle name="Normal 10 5 3" xfId="7650" xr:uid="{242DBF94-B86B-46C4-8D0D-8E87AE8C143E}"/>
    <cellStyle name="Normal 10 6" xfId="3976" xr:uid="{C03FDD1E-FEB6-48BD-A4D9-DD4180047311}"/>
    <cellStyle name="Normal 10 7" xfId="5281" xr:uid="{96C91C95-0961-44D0-9240-5917208E40B5}"/>
    <cellStyle name="Normal 10 8" xfId="6583" xr:uid="{79DC2F7E-3F8E-40DF-8E30-0B23E934F0B6}"/>
    <cellStyle name="Normal 10 9" xfId="7886" xr:uid="{0AC5B1CE-AA75-48BA-A5B8-B6BF7FA97215}"/>
    <cellStyle name="Normal 11" xfId="3736" xr:uid="{22FC7D92-58AD-4262-B9F8-B3AB13B9FC8F}"/>
    <cellStyle name="Normal 11 2" xfId="2256" xr:uid="{BD22F16C-3B46-41A3-8599-23E2D3BD8AAF}"/>
    <cellStyle name="Normal 11 3" xfId="4207" xr:uid="{8EF42153-C984-47C3-B1E6-5C124BDDD25B}"/>
    <cellStyle name="Normal 11 4" xfId="5512" xr:uid="{E115DB9A-7574-444A-87E6-1736E48FBF9E}"/>
    <cellStyle name="Normal 11 5" xfId="6814" xr:uid="{CAF2A724-EBE8-4209-A092-7A3E55A20989}"/>
    <cellStyle name="Normal 11 6" xfId="8117" xr:uid="{C189AE9E-066B-476C-BD00-41E3C194FC7E}"/>
    <cellStyle name="Normal 12" xfId="3738" xr:uid="{C2596002-6726-4E71-AB9E-E912A4AB71C8}"/>
    <cellStyle name="Normal 12 2" xfId="4209" xr:uid="{E9EA2DD9-B97A-4023-B593-1436ADD0EB9D}"/>
    <cellStyle name="Normal 12 3" xfId="5514" xr:uid="{8C3E450C-AC8A-422C-96BC-53FAFB0C7DD0}"/>
    <cellStyle name="Normal 12 4" xfId="6816" xr:uid="{C87CEE81-1E84-4C73-A9EC-7865C347C1D4}"/>
    <cellStyle name="Normal 12 5" xfId="8119" xr:uid="{F94A498E-6FC2-4A8C-8493-39A14C94BDA0}"/>
    <cellStyle name="Normal 13" xfId="3740" xr:uid="{2E155E72-2D7F-42EA-9740-DF83CC070FF9}"/>
    <cellStyle name="Normal 13 2" xfId="4211" xr:uid="{1D47EABA-79CE-4BF8-AB87-6F85009B76E2}"/>
    <cellStyle name="Normal 13 3" xfId="5516" xr:uid="{5EEE1EBE-0F72-4013-A4F1-567AD2FAEFE4}"/>
    <cellStyle name="Normal 13 4" xfId="6818" xr:uid="{1CF379E0-1B86-44AD-B249-177347A7B9DB}"/>
    <cellStyle name="Normal 13 5" xfId="8121" xr:uid="{02779E8A-D184-4B2F-944D-16970AB55C83}"/>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10" xfId="5083" xr:uid="{F6A85C11-112E-4EF6-8785-9BE353E4F205}"/>
    <cellStyle name="Normal 3 10 11" xfId="6385" xr:uid="{08268023-46A2-413F-95EE-91E4F74C9A80}"/>
    <cellStyle name="Normal 3 10 12" xfId="7688" xr:uid="{D2F22531-B1D4-44AC-85CF-66AF79B8A73A}"/>
    <cellStyle name="Normal 3 10 2" xfId="2896" xr:uid="{91A13123-307B-4BAB-9CD9-7B6663473517}"/>
    <cellStyle name="Normal 3 10 2 10" xfId="7733" xr:uid="{899F89EE-C196-45B5-A58D-93AA91111556}"/>
    <cellStyle name="Normal 3 10 2 2" xfId="2997" xr:uid="{D7F9CB20-E8DF-4C83-BBE0-91131B002445}"/>
    <cellStyle name="Normal 3 10 2 2 2" xfId="3666" xr:uid="{B5873B34-9518-43E4-A169-83D0C7957EFE}"/>
    <cellStyle name="Normal 3 10 2 2 2 2" xfId="4137" xr:uid="{DB70AA10-C685-47DE-BF43-946A9F4CC238}"/>
    <cellStyle name="Normal 3 10 2 2 2 3" xfId="5442" xr:uid="{AD1E6002-9D1E-441E-86D5-94224AC72C9D}"/>
    <cellStyle name="Normal 3 10 2 2 2 4" xfId="6744" xr:uid="{41C7F06E-E4E1-4BEA-8575-6A0A8154DC48}"/>
    <cellStyle name="Normal 3 10 2 2 2 5" xfId="8047" xr:uid="{8DFE01F5-90B2-47A6-B383-B75175D12E9C}"/>
    <cellStyle name="Normal 3 10 2 2 3" xfId="4373" xr:uid="{CE2FA18F-3515-4F64-A162-A144C6C9E96D}"/>
    <cellStyle name="Normal 3 10 2 2 3 2" xfId="5678" xr:uid="{C803C055-A1F7-4134-8A0C-77FC98B4EF16}"/>
    <cellStyle name="Normal 3 10 2 2 3 3" xfId="6980" xr:uid="{C4B8992F-83A9-4C77-B654-82C7C85C42CB}"/>
    <cellStyle name="Normal 3 10 2 2 4" xfId="4653" xr:uid="{EFA8E65E-C427-4260-BD4A-9E47FBFAAE6C}"/>
    <cellStyle name="Normal 3 10 2 2 4 2" xfId="5955" xr:uid="{37C2140C-55E6-4DB0-94BD-58EF55A2AB5E}"/>
    <cellStyle name="Normal 3 10 2 2 4 3" xfId="7258" xr:uid="{C62A65D1-489C-454A-85F6-20C13C96709A}"/>
    <cellStyle name="Normal 3 10 2 2 5" xfId="4930" xr:uid="{F2A52268-CB62-4698-880B-B12F13A0061D}"/>
    <cellStyle name="Normal 3 10 2 2 5 2" xfId="6232" xr:uid="{4FC780B9-5FF1-4FF2-A67C-7E5A4EA73B0B}"/>
    <cellStyle name="Normal 3 10 2 2 5 3" xfId="7535" xr:uid="{05AF21D3-D711-448A-B6DE-8B7A81217811}"/>
    <cellStyle name="Normal 3 10 2 2 6" xfId="3908" xr:uid="{EE87408F-F34D-4703-9951-9824A8FD1E78}"/>
    <cellStyle name="Normal 3 10 2 2 7" xfId="5213" xr:uid="{C7BD80D8-AC99-419E-ACCA-50A8C9A9920E}"/>
    <cellStyle name="Normal 3 10 2 2 8" xfId="6515" xr:uid="{B273BDB7-8D12-430A-B013-DD1ACB32BD64}"/>
    <cellStyle name="Normal 3 10 2 2 9" xfId="7818" xr:uid="{134C5AAC-64B5-46F1-B30B-4C46A342E5D8}"/>
    <cellStyle name="Normal 3 10 2 3" xfId="3565" xr:uid="{02304A72-2AC1-4481-8B44-9DBF1C9C679E}"/>
    <cellStyle name="Normal 3 10 2 3 2" xfId="4052" xr:uid="{73D98241-5CCC-424C-A860-1EC0099E6650}"/>
    <cellStyle name="Normal 3 10 2 3 3" xfId="5357" xr:uid="{86D02ED6-EBF9-4277-9A1B-6A1A249A41A8}"/>
    <cellStyle name="Normal 3 10 2 3 4" xfId="6659" xr:uid="{DBBE7C37-2D46-4DCF-A614-1A583C30A706}"/>
    <cellStyle name="Normal 3 10 2 3 5" xfId="7962" xr:uid="{77166D90-794A-4FCC-B83E-56FADA8E716B}"/>
    <cellStyle name="Normal 3 10 2 4" xfId="4288" xr:uid="{617ECC98-69C2-421A-ABBA-5F77F79AFDE7}"/>
    <cellStyle name="Normal 3 10 2 4 2" xfId="5593" xr:uid="{8EBDB025-0350-49E9-8A36-2EE73CF5375C}"/>
    <cellStyle name="Normal 3 10 2 4 3" xfId="6895" xr:uid="{9E5C137E-D697-493E-9CFA-44E3F132E509}"/>
    <cellStyle name="Normal 3 10 2 5" xfId="4568" xr:uid="{5EC4B4B5-E105-4CDD-88D0-9289A6E2D853}"/>
    <cellStyle name="Normal 3 10 2 5 2" xfId="5870" xr:uid="{2211E5CB-710F-4152-B686-9FF8B39B88AB}"/>
    <cellStyle name="Normal 3 10 2 5 3" xfId="7173" xr:uid="{9E28842B-8ECD-445C-A1DD-9B0AE8AF72A0}"/>
    <cellStyle name="Normal 3 10 2 6" xfId="4845" xr:uid="{B442FFE0-AC62-4844-80F6-3192542492DD}"/>
    <cellStyle name="Normal 3 10 2 6 2" xfId="6147" xr:uid="{137F77D0-78C1-4B8A-BA39-D0D61FE19C6E}"/>
    <cellStyle name="Normal 3 10 2 6 3" xfId="7450" xr:uid="{62480DD2-824E-4827-8E3E-31347E680660}"/>
    <cellStyle name="Normal 3 10 2 7" xfId="3823" xr:uid="{D78E4D53-57ED-41AA-89ED-B9B7DA98395D}"/>
    <cellStyle name="Normal 3 10 2 8" xfId="5128" xr:uid="{37A305AD-0020-4CB2-9E34-C6ADADD0816B}"/>
    <cellStyle name="Normal 3 10 2 9" xfId="6430" xr:uid="{2D035287-2B0A-4F5A-85A3-2B55CE9C0B18}"/>
    <cellStyle name="Normal 3 10 3" xfId="3441" xr:uid="{5AD22851-273F-402C-B72C-A848480C2C01}"/>
    <cellStyle name="Normal 3 10 3 2" xfId="3706" xr:uid="{6396958C-2FEE-4741-9C04-0D953DBD4B2B}"/>
    <cellStyle name="Normal 3 10 3 2 2" xfId="4177" xr:uid="{CAB0D4F7-FA0C-4CDE-995A-84AF6619D0E7}"/>
    <cellStyle name="Normal 3 10 3 2 3" xfId="5482" xr:uid="{CFA38866-2720-4598-BD1E-D4F69C711987}"/>
    <cellStyle name="Normal 3 10 3 2 4" xfId="6784" xr:uid="{75D4FBDF-34D6-4D1A-8B11-637ABD55AE01}"/>
    <cellStyle name="Normal 3 10 3 2 5" xfId="8087" xr:uid="{81471632-0ACD-46F2-9B38-29531E5F6274}"/>
    <cellStyle name="Normal 3 10 3 3" xfId="4413" xr:uid="{51CEF482-152B-4994-B321-AADAA64E9BB5}"/>
    <cellStyle name="Normal 3 10 3 3 2" xfId="5718" xr:uid="{8C4A4D43-5E72-4313-A4AE-36568AFCA9F3}"/>
    <cellStyle name="Normal 3 10 3 3 3" xfId="7020" xr:uid="{8F1EB5D3-4C49-4962-A681-12C8561B7003}"/>
    <cellStyle name="Normal 3 10 3 4" xfId="4693" xr:uid="{8563AC89-476A-414B-B00A-F0A2BE728B14}"/>
    <cellStyle name="Normal 3 10 3 4 2" xfId="5995" xr:uid="{F69FE8A9-D77C-45C0-9ED2-55419095EA09}"/>
    <cellStyle name="Normal 3 10 3 4 3" xfId="7298" xr:uid="{409F61F4-B1F4-4615-9D73-CD653047BDAC}"/>
    <cellStyle name="Normal 3 10 3 5" xfId="4970" xr:uid="{83CF0297-65C7-4E18-B581-F3BE7C846B84}"/>
    <cellStyle name="Normal 3 10 3 5 2" xfId="6272" xr:uid="{33AD2111-ACD4-4D97-BB3C-B4420FB26568}"/>
    <cellStyle name="Normal 3 10 3 5 3" xfId="7575" xr:uid="{C97429D1-974C-4E02-A9D7-2EE01AA5AB17}"/>
    <cellStyle name="Normal 3 10 3 6" xfId="3948" xr:uid="{D9284F1D-4392-43BA-B1D8-F0C4D0482C5A}"/>
    <cellStyle name="Normal 3 10 3 7" xfId="5253" xr:uid="{3FA10CD1-2014-4A04-9D45-304B1E1D2A1B}"/>
    <cellStyle name="Normal 3 10 3 8" xfId="6555" xr:uid="{EA5C926F-95B0-429D-A83A-546349E6085C}"/>
    <cellStyle name="Normal 3 10 3 9" xfId="7858" xr:uid="{9E382193-2BD4-4A57-9D69-AEC0F183BE18}"/>
    <cellStyle name="Normal 3 10 4" xfId="2941" xr:uid="{462CDA6A-0C52-4C07-B947-2BC7D626CDC2}"/>
    <cellStyle name="Normal 3 10 4 2" xfId="3610" xr:uid="{6911D803-67A5-4D99-BFDD-EEA0E5856FFC}"/>
    <cellStyle name="Normal 3 10 4 2 2" xfId="4097" xr:uid="{28E9C498-F475-4F12-81A4-EFF45F089C3F}"/>
    <cellStyle name="Normal 3 10 4 2 3" xfId="5402" xr:uid="{61FEFC73-423A-4F72-B095-6D992246130D}"/>
    <cellStyle name="Normal 3 10 4 2 4" xfId="6704" xr:uid="{6B2CE992-55C6-4100-AABD-807247DA53EF}"/>
    <cellStyle name="Normal 3 10 4 2 5" xfId="8007" xr:uid="{CDF143B0-97C4-449D-BF20-73ADD3BE7DFE}"/>
    <cellStyle name="Normal 3 10 4 3" xfId="4333" xr:uid="{DB13CC88-1787-4C14-8823-9207545377B3}"/>
    <cellStyle name="Normal 3 10 4 3 2" xfId="5638" xr:uid="{9AE39C78-EF03-4471-9129-0C0D98E970D2}"/>
    <cellStyle name="Normal 3 10 4 3 3" xfId="6940" xr:uid="{B003978C-40CD-4B42-B0D1-21908AC6E23F}"/>
    <cellStyle name="Normal 3 10 4 4" xfId="4613" xr:uid="{BFC0B1F9-BB19-4908-9939-DFA9BB31A67C}"/>
    <cellStyle name="Normal 3 10 4 4 2" xfId="5915" xr:uid="{71C53B4A-72F4-442B-97F5-72B37B4D0F35}"/>
    <cellStyle name="Normal 3 10 4 4 3" xfId="7218" xr:uid="{43217460-7E05-416B-A659-BAD9CCDC639E}"/>
    <cellStyle name="Normal 3 10 4 5" xfId="4890" xr:uid="{94C1740C-441B-409E-BA01-3BF7163FFFA1}"/>
    <cellStyle name="Normal 3 10 4 5 2" xfId="6192" xr:uid="{41E1AB69-236E-433E-BE18-7EAF3D409DFC}"/>
    <cellStyle name="Normal 3 10 4 5 3" xfId="7495" xr:uid="{EB5F04E7-B663-47C4-B6BC-70E9E0F6E4EE}"/>
    <cellStyle name="Normal 3 10 4 6" xfId="3868" xr:uid="{B35F586E-E248-4685-915C-311AF4EC0E8E}"/>
    <cellStyle name="Normal 3 10 4 7" xfId="5173" xr:uid="{240EA225-47AC-4CFB-98C4-F710E254D0B9}"/>
    <cellStyle name="Normal 3 10 4 8" xfId="6475" xr:uid="{26475D06-12C7-4474-AD69-BCF08ECC6572}"/>
    <cellStyle name="Normal 3 10 4 9" xfId="7778" xr:uid="{71069685-2B9E-4D95-A401-C6379F15F791}"/>
    <cellStyle name="Normal 3 10 5" xfId="3520" xr:uid="{A7366CB9-D620-4BFE-85E8-7DDC3FFAF77F}"/>
    <cellStyle name="Normal 3 10 5 2" xfId="4469" xr:uid="{6C0F7CCC-9336-4D07-B17C-737E8B98CD5D}"/>
    <cellStyle name="Normal 3 10 5 2 2" xfId="5772" xr:uid="{C7112D19-1E4D-4BA8-B0E3-67942D6F107A}"/>
    <cellStyle name="Normal 3 10 5 2 3" xfId="7075" xr:uid="{155B4D20-6E7A-4F60-BB42-DE60F6F4487C}"/>
    <cellStyle name="Normal 3 10 5 3" xfId="4747" xr:uid="{F758AAA8-1869-415E-A301-AC11F7C4B375}"/>
    <cellStyle name="Normal 3 10 5 3 2" xfId="6049" xr:uid="{FBC285A6-52E5-4DCF-AFD2-BCED34473D10}"/>
    <cellStyle name="Normal 3 10 5 3 3" xfId="7352" xr:uid="{41086D56-1000-480F-938E-B984D10B5BBF}"/>
    <cellStyle name="Normal 3 10 5 4" xfId="5024" xr:uid="{3DD5C647-C190-4F72-8BD7-DD67CB31C0F4}"/>
    <cellStyle name="Normal 3 10 5 4 2" xfId="6326" xr:uid="{746B78FB-8987-4E2F-87EC-5F947D58BCA6}"/>
    <cellStyle name="Normal 3 10 5 4 3" xfId="7629" xr:uid="{6F893023-0A9A-4974-B4D1-3A347A25AE66}"/>
    <cellStyle name="Normal 3 10 5 5" xfId="4007" xr:uid="{83F340BB-BBBD-4D9C-B84A-50DB0A6E1F38}"/>
    <cellStyle name="Normal 3 10 5 6" xfId="5312" xr:uid="{25BAF160-4BED-4769-A31A-208C7F11AD1B}"/>
    <cellStyle name="Normal 3 10 5 7" xfId="6614" xr:uid="{7548F150-A3EE-4125-9627-67C94FB76412}"/>
    <cellStyle name="Normal 3 10 5 8" xfId="7917" xr:uid="{E75A90F8-F8C0-42BC-8E37-988EB94446D4}"/>
    <cellStyle name="Normal 3 10 6" xfId="4243" xr:uid="{E172C732-0872-4B42-BCF4-0FD5A1322B62}"/>
    <cellStyle name="Normal 3 10 6 2" xfId="5548" xr:uid="{B6C01A4E-5A37-4398-9685-3FF8B59730FA}"/>
    <cellStyle name="Normal 3 10 6 3" xfId="6850" xr:uid="{67F0A3E0-4E1B-4C3F-99D2-734B4FD6DC25}"/>
    <cellStyle name="Normal 3 10 7" xfId="4523" xr:uid="{A07E0FA0-615F-46FE-AA03-874D308ED56A}"/>
    <cellStyle name="Normal 3 10 7 2" xfId="5825" xr:uid="{FFAEB8C6-84F9-40DB-BDF6-AD7E56CE97E6}"/>
    <cellStyle name="Normal 3 10 7 3" xfId="7128" xr:uid="{53D94237-C369-471B-8B9D-DF59F998B1DD}"/>
    <cellStyle name="Normal 3 10 8" xfId="4800" xr:uid="{D9C62D84-F7FD-4312-A5C7-08B5D7A0B451}"/>
    <cellStyle name="Normal 3 10 8 2" xfId="6102" xr:uid="{DB8A78BE-58EB-49A1-AA38-01FA10F68592}"/>
    <cellStyle name="Normal 3 10 8 3" xfId="7405" xr:uid="{3F82661B-7B93-4ED2-AD0B-7AEF51A3CCF2}"/>
    <cellStyle name="Normal 3 10 9" xfId="3778" xr:uid="{762D9FD2-AAD5-4491-9D64-1961C7261A46}"/>
    <cellStyle name="Normal 3 11" xfId="2869" xr:uid="{51FAFCD3-8A22-4583-8376-457D01F5D88C}"/>
    <cellStyle name="Normal 3 11 10" xfId="5102" xr:uid="{D607949C-30C0-4C9C-B0E3-A75F65F461FA}"/>
    <cellStyle name="Normal 3 11 11" xfId="6404" xr:uid="{FCA690E3-8FAE-43B0-9D9C-714ECF236F10}"/>
    <cellStyle name="Normal 3 11 12" xfId="7707" xr:uid="{ECCE7768-E69F-466B-B19E-F87F8811B526}"/>
    <cellStyle name="Normal 3 11 2" xfId="2915" xr:uid="{3946DB59-33F3-4513-A8BD-9E807940CDAB}"/>
    <cellStyle name="Normal 3 11 2 10" xfId="7752" xr:uid="{2007FC3D-F502-4F53-9D69-494FB6F8C5F4}"/>
    <cellStyle name="Normal 3 11 2 2" xfId="3016" xr:uid="{D1258D86-AA9B-4E17-8D98-CFA0474BA4CA}"/>
    <cellStyle name="Normal 3 11 2 2 2" xfId="3685" xr:uid="{3A3438E4-0AFD-45B9-ACAF-BE00E842960A}"/>
    <cellStyle name="Normal 3 11 2 2 2 2" xfId="4156" xr:uid="{20B5569A-6CDE-4F23-8CCE-4E0FCC099545}"/>
    <cellStyle name="Normal 3 11 2 2 2 3" xfId="5461" xr:uid="{FFE71554-5494-4A4C-8D1C-7D2CE07E36C0}"/>
    <cellStyle name="Normal 3 11 2 2 2 4" xfId="6763" xr:uid="{C86B8DA3-03DC-4113-9E79-9A451DD999CF}"/>
    <cellStyle name="Normal 3 11 2 2 2 5" xfId="8066" xr:uid="{609AF218-6182-4802-85C3-A196E6FA6587}"/>
    <cellStyle name="Normal 3 11 2 2 3" xfId="4392" xr:uid="{4174F5DA-A77E-4ADD-A9B7-7D333A55AF61}"/>
    <cellStyle name="Normal 3 11 2 2 3 2" xfId="5697" xr:uid="{DEE74263-F536-4A9E-A5F7-DB1050E4BA6F}"/>
    <cellStyle name="Normal 3 11 2 2 3 3" xfId="6999" xr:uid="{A79DD1EB-9A42-4390-8003-FC082E62D3BD}"/>
    <cellStyle name="Normal 3 11 2 2 4" xfId="4672" xr:uid="{77E92A5D-56EA-4A7D-B53E-3BC0C75B29D5}"/>
    <cellStyle name="Normal 3 11 2 2 4 2" xfId="5974" xr:uid="{A0AB679F-244C-432D-A944-EB4AB34BA30C}"/>
    <cellStyle name="Normal 3 11 2 2 4 3" xfId="7277" xr:uid="{D39B144B-CA30-4F5B-9F68-5DBFEECEF08A}"/>
    <cellStyle name="Normal 3 11 2 2 5" xfId="4949" xr:uid="{6B8B4B72-1A4E-46B6-9B6E-6DEA1B2AD9BF}"/>
    <cellStyle name="Normal 3 11 2 2 5 2" xfId="6251" xr:uid="{33C2D476-FD93-4D5A-9A30-A46C351136EC}"/>
    <cellStyle name="Normal 3 11 2 2 5 3" xfId="7554" xr:uid="{F048AF26-D689-4212-BBB9-25239C2DB072}"/>
    <cellStyle name="Normal 3 11 2 2 6" xfId="3927" xr:uid="{D58D9B4D-D531-4ED7-9D96-87205019F7D7}"/>
    <cellStyle name="Normal 3 11 2 2 7" xfId="5232" xr:uid="{FD0A0145-0E62-4888-B5E6-C550148C6B8E}"/>
    <cellStyle name="Normal 3 11 2 2 8" xfId="6534" xr:uid="{EFC93DC5-35AA-41B3-903D-5E9D2D5BA663}"/>
    <cellStyle name="Normal 3 11 2 2 9" xfId="7837" xr:uid="{88F746D8-1731-446F-837E-6CEDEF55DA08}"/>
    <cellStyle name="Normal 3 11 2 3" xfId="3584" xr:uid="{687EC46E-A000-4D42-80C4-AB6653969B40}"/>
    <cellStyle name="Normal 3 11 2 3 2" xfId="4071" xr:uid="{A52C234D-26E7-4871-929B-7545D94A74FB}"/>
    <cellStyle name="Normal 3 11 2 3 3" xfId="5376" xr:uid="{59F65406-B768-4F13-B2D7-A718ED30070A}"/>
    <cellStyle name="Normal 3 11 2 3 4" xfId="6678" xr:uid="{C54D1803-92E4-41AC-990D-7895795F0356}"/>
    <cellStyle name="Normal 3 11 2 3 5" xfId="7981" xr:uid="{FE1EEA5E-AD87-4613-ABF5-0A0445F68AE5}"/>
    <cellStyle name="Normal 3 11 2 4" xfId="4307" xr:uid="{58912D21-99EF-44E2-96F2-3F75DA730860}"/>
    <cellStyle name="Normal 3 11 2 4 2" xfId="5612" xr:uid="{B5FFEAC9-18BD-4DAF-9350-61F436A6CA63}"/>
    <cellStyle name="Normal 3 11 2 4 3" xfId="6914" xr:uid="{AC3D2EA2-86F6-4C65-9269-57ABB5A1B27A}"/>
    <cellStyle name="Normal 3 11 2 5" xfId="4587" xr:uid="{BFFD6F38-F552-430C-B555-7D4AF605ECB1}"/>
    <cellStyle name="Normal 3 11 2 5 2" xfId="5889" xr:uid="{F8074D3F-A3B9-4DCB-AD8B-0EF9A06BC6AA}"/>
    <cellStyle name="Normal 3 11 2 5 3" xfId="7192" xr:uid="{865DC9FB-8E4C-4BD7-874E-1D0724D7DD00}"/>
    <cellStyle name="Normal 3 11 2 6" xfId="4864" xr:uid="{84985FBF-E7B6-4D12-AB04-D099F7D382CD}"/>
    <cellStyle name="Normal 3 11 2 6 2" xfId="6166" xr:uid="{ECCEB1A0-1548-490A-A9B9-5591B26D6B97}"/>
    <cellStyle name="Normal 3 11 2 6 3" xfId="7469" xr:uid="{0A717918-FCDA-469A-A377-0CA6F3D0E373}"/>
    <cellStyle name="Normal 3 11 2 7" xfId="3842" xr:uid="{F0D432D0-8529-4C9C-AB0E-16C497643628}"/>
    <cellStyle name="Normal 3 11 2 8" xfId="5147" xr:uid="{05CC60BD-8D73-4E4C-8F5F-BC1A5BAE16C0}"/>
    <cellStyle name="Normal 3 11 2 9" xfId="6449" xr:uid="{F2AF7EA4-0879-4E37-A49A-AD71719E4F40}"/>
    <cellStyle name="Normal 3 11 3" xfId="3460" xr:uid="{473FAF2A-6114-441A-921E-EE0D3A1E7E02}"/>
    <cellStyle name="Normal 3 11 3 2" xfId="3725" xr:uid="{FC14E282-5371-431C-A046-680CF234803C}"/>
    <cellStyle name="Normal 3 11 3 2 2" xfId="4196" xr:uid="{9E43FA98-E980-4423-AAC7-A9EDA8588158}"/>
    <cellStyle name="Normal 3 11 3 2 3" xfId="5501" xr:uid="{C3D67A53-93FE-4725-A79D-92DAF7E1791C}"/>
    <cellStyle name="Normal 3 11 3 2 4" xfId="6803" xr:uid="{D56A2333-2F0D-46E6-9035-1D86B50CF02B}"/>
    <cellStyle name="Normal 3 11 3 2 5" xfId="8106" xr:uid="{553FC776-050B-4AD4-9163-4DAA9207FF86}"/>
    <cellStyle name="Normal 3 11 3 3" xfId="4432" xr:uid="{764922E6-553D-433B-96F3-CAAE2A42A6C1}"/>
    <cellStyle name="Normal 3 11 3 3 2" xfId="5737" xr:uid="{846722E4-98EA-4F9C-B8A9-F318B0BF1788}"/>
    <cellStyle name="Normal 3 11 3 3 3" xfId="7039" xr:uid="{5B93453F-654D-454A-ABCC-144A4927966A}"/>
    <cellStyle name="Normal 3 11 3 4" xfId="4712" xr:uid="{CD23C410-1BBE-42EA-938C-6883273B4060}"/>
    <cellStyle name="Normal 3 11 3 4 2" xfId="6014" xr:uid="{9049D5C5-3118-4D2E-8100-9250AD0E4694}"/>
    <cellStyle name="Normal 3 11 3 4 3" xfId="7317" xr:uid="{D2C5A9FE-EC81-46FE-ADAA-D6B1AF3EB7EF}"/>
    <cellStyle name="Normal 3 11 3 5" xfId="4989" xr:uid="{80D42663-4F28-4B70-9B4A-44587DDD63BA}"/>
    <cellStyle name="Normal 3 11 3 5 2" xfId="6291" xr:uid="{81F33C95-3375-4B2F-A265-FDB7FB8450A6}"/>
    <cellStyle name="Normal 3 11 3 5 3" xfId="7594" xr:uid="{671737AB-B0A1-475C-8786-35E6ABE703B1}"/>
    <cellStyle name="Normal 3 11 3 6" xfId="3967" xr:uid="{21C65CF0-D1A8-4D73-9506-AE67A995E1AF}"/>
    <cellStyle name="Normal 3 11 3 7" xfId="5272" xr:uid="{04F634FA-6458-4C49-89DA-89CFD4DC9F51}"/>
    <cellStyle name="Normal 3 11 3 8" xfId="6574" xr:uid="{7957DAD5-1D3F-4974-A697-85908E09CC46}"/>
    <cellStyle name="Normal 3 11 3 9" xfId="7877" xr:uid="{918BC0AF-9CEB-45BE-945B-C1E214BF5E9C}"/>
    <cellStyle name="Normal 3 11 4" xfId="2960" xr:uid="{40DC0902-9D4C-42AA-8E56-D6A3EE61A3CF}"/>
    <cellStyle name="Normal 3 11 4 2" xfId="3629" xr:uid="{4A6DDF94-E641-429C-BE70-151C60D2BE02}"/>
    <cellStyle name="Normal 3 11 4 2 2" xfId="4116" xr:uid="{1951C2E7-2D73-4968-BBEF-4B3446FAA215}"/>
    <cellStyle name="Normal 3 11 4 2 3" xfId="5421" xr:uid="{0C264CDF-532D-4B43-9981-3EA68BAAD1FD}"/>
    <cellStyle name="Normal 3 11 4 2 4" xfId="6723" xr:uid="{653A66A6-25A7-4253-8137-894D97E232D6}"/>
    <cellStyle name="Normal 3 11 4 2 5" xfId="8026" xr:uid="{EC745052-03D7-4A87-B4D7-DE3AED6EC9E3}"/>
    <cellStyle name="Normal 3 11 4 3" xfId="4352" xr:uid="{44934FE7-8062-472D-8B04-885F3F5419D2}"/>
    <cellStyle name="Normal 3 11 4 3 2" xfId="5657" xr:uid="{A16BDDD5-2FD1-4EEB-BEB1-60EAA116F46B}"/>
    <cellStyle name="Normal 3 11 4 3 3" xfId="6959" xr:uid="{46A8F870-A884-4EDB-A539-3D8B976C5127}"/>
    <cellStyle name="Normal 3 11 4 4" xfId="4632" xr:uid="{4A5B58C4-73AC-4FA8-BB95-8C905F270439}"/>
    <cellStyle name="Normal 3 11 4 4 2" xfId="5934" xr:uid="{FADE31E7-BAF9-4811-A6B5-6D28FBE85111}"/>
    <cellStyle name="Normal 3 11 4 4 3" xfId="7237" xr:uid="{9E604098-CC32-431E-A94D-7834291325EF}"/>
    <cellStyle name="Normal 3 11 4 5" xfId="4909" xr:uid="{9CA3662A-EA2F-41DE-A7FF-4FAFC1BD12E4}"/>
    <cellStyle name="Normal 3 11 4 5 2" xfId="6211" xr:uid="{89AF0BE7-3DBB-49FD-AE92-0E37F9619A16}"/>
    <cellStyle name="Normal 3 11 4 5 3" xfId="7514" xr:uid="{232FB327-E31A-4EA7-B784-E74A4DDFD5AA}"/>
    <cellStyle name="Normal 3 11 4 6" xfId="3887" xr:uid="{D6F79BA3-4285-4F61-8E8C-9C5E703EF339}"/>
    <cellStyle name="Normal 3 11 4 7" xfId="5192" xr:uid="{55EC43EA-DACA-45D0-8941-74736212684C}"/>
    <cellStyle name="Normal 3 11 4 8" xfId="6494" xr:uid="{8D1E635C-B73B-4C64-8709-49A9005B0C15}"/>
    <cellStyle name="Normal 3 11 4 9" xfId="7797" xr:uid="{ABBC32AE-51F8-429D-8B2A-DC47F265EA1B}"/>
    <cellStyle name="Normal 3 11 5" xfId="3539" xr:uid="{7623E7D9-61BB-49B8-BFD6-E35F56069002}"/>
    <cellStyle name="Normal 3 11 5 2" xfId="4488" xr:uid="{606FA878-C7EC-44B6-8A19-FDCC0795AD97}"/>
    <cellStyle name="Normal 3 11 5 2 2" xfId="5791" xr:uid="{3A0C09CA-8978-4AE0-B3DD-FA2EE4E26A05}"/>
    <cellStyle name="Normal 3 11 5 2 3" xfId="7094" xr:uid="{C9409A7E-4E4D-48E3-923D-03FCE9ABAF2A}"/>
    <cellStyle name="Normal 3 11 5 3" xfId="4766" xr:uid="{E5ED01BF-D526-4BCF-8E5C-84855925AA23}"/>
    <cellStyle name="Normal 3 11 5 3 2" xfId="6068" xr:uid="{D53B342F-F1DE-4186-8B5C-5295520A2181}"/>
    <cellStyle name="Normal 3 11 5 3 3" xfId="7371" xr:uid="{EB43566F-A14B-4102-AB79-8CE6FCAA91F4}"/>
    <cellStyle name="Normal 3 11 5 4" xfId="5043" xr:uid="{1795580F-AD12-4CEA-8A5A-B544F6701E47}"/>
    <cellStyle name="Normal 3 11 5 4 2" xfId="6345" xr:uid="{76A3B9CA-687D-4A8F-B34E-FC2F6A8A82EF}"/>
    <cellStyle name="Normal 3 11 5 4 3" xfId="7648" xr:uid="{81C0DFE3-94F4-444C-ABC5-A0EE99B4B9F7}"/>
    <cellStyle name="Normal 3 11 5 5" xfId="4026" xr:uid="{6DFDEFE0-2A78-4EC3-B747-77B0FEDBA6D0}"/>
    <cellStyle name="Normal 3 11 5 6" xfId="5331" xr:uid="{726EDF4B-853A-44E7-8008-206FD4AD9233}"/>
    <cellStyle name="Normal 3 11 5 7" xfId="6633" xr:uid="{81AFE398-AEF7-496F-8256-4A129547F9C5}"/>
    <cellStyle name="Normal 3 11 5 8" xfId="7936" xr:uid="{A2298D68-CD6B-4C33-BF96-3B65EA535A23}"/>
    <cellStyle name="Normal 3 11 6" xfId="4262" xr:uid="{2E21C2D7-17C4-4DDC-BB04-D7D5DFDB7D58}"/>
    <cellStyle name="Normal 3 11 6 2" xfId="5567" xr:uid="{CFEA197C-17B9-46DB-B097-E42BB227E288}"/>
    <cellStyle name="Normal 3 11 6 3" xfId="6869" xr:uid="{5F5E6A9A-A8DA-4AD2-AB72-544AA81E9BD1}"/>
    <cellStyle name="Normal 3 11 7" xfId="4542" xr:uid="{8CA25A36-4E7A-4C16-90EB-C58693E20C1B}"/>
    <cellStyle name="Normal 3 11 7 2" xfId="5844" xr:uid="{791140D9-F870-4586-AAEC-6D2277CDDD56}"/>
    <cellStyle name="Normal 3 11 7 3" xfId="7147" xr:uid="{DA78F252-821F-4457-AF69-4B8443336705}"/>
    <cellStyle name="Normal 3 11 8" xfId="4819" xr:uid="{502850C9-94DC-4187-B3BF-6B1C2918EDE5}"/>
    <cellStyle name="Normal 3 11 8 2" xfId="6121" xr:uid="{97C0C230-31AF-4260-929A-53F92745CEC8}"/>
    <cellStyle name="Normal 3 11 8 3" xfId="7424" xr:uid="{3E27EA4F-D134-43A9-A020-833EE75ADDE6}"/>
    <cellStyle name="Normal 3 11 9" xfId="3797" xr:uid="{2138C5DA-6C84-4870-A02D-41C39AC9E62E}"/>
    <cellStyle name="Normal 3 12" xfId="30" xr:uid="{CE7437FF-0DB7-410E-9D29-AFC41BAB1D47}"/>
    <cellStyle name="Normal 3 12 10" xfId="6365" xr:uid="{A438C10F-51ED-4DBB-9FB4-CA00E36404F4}"/>
    <cellStyle name="Normal 3 12 11" xfId="7668" xr:uid="{114D53ED-D571-4E55-9ABD-CBA176535C8C}"/>
    <cellStyle name="Normal 3 12 2" xfId="2876" xr:uid="{89019A92-E6D6-4AF1-A636-0C9530E78615}"/>
    <cellStyle name="Normal 3 12 2 2" xfId="3545" xr:uid="{2C114EFA-BAE4-4E13-8DEA-0CB8A46AFCC2}"/>
    <cellStyle name="Normal 3 12 2 2 2" xfId="4032" xr:uid="{8303F80A-7799-4865-A818-2E64F753F296}"/>
    <cellStyle name="Normal 3 12 2 2 3" xfId="5337" xr:uid="{89B2D759-8544-4368-8DBE-0D5F93DDB1FD}"/>
    <cellStyle name="Normal 3 12 2 2 4" xfId="6639" xr:uid="{3D489ABE-350D-448C-BAFF-A7B893ECD427}"/>
    <cellStyle name="Normal 3 12 2 2 5" xfId="7942" xr:uid="{1E1D8571-46AD-4033-A785-7F40DFA00E86}"/>
    <cellStyle name="Normal 3 12 2 3" xfId="4268" xr:uid="{F4DE2154-8EED-427C-A519-4AD3CAB2E36F}"/>
    <cellStyle name="Normal 3 12 2 3 2" xfId="5573" xr:uid="{16D66BC9-CE7C-45E4-BD01-87CAF6CCC538}"/>
    <cellStyle name="Normal 3 12 2 3 3" xfId="6875" xr:uid="{2AB28789-D59E-4E30-98B7-82ED691F3747}"/>
    <cellStyle name="Normal 3 12 2 4" xfId="4548" xr:uid="{1E5C2167-B767-4906-88A1-7B210760FBF0}"/>
    <cellStyle name="Normal 3 12 2 4 2" xfId="5850" xr:uid="{DD1F911F-CC9F-406F-82C2-AE78C2E85DFF}"/>
    <cellStyle name="Normal 3 12 2 4 3" xfId="7153" xr:uid="{AAD34D77-ED14-46CB-AB3E-DFCAE7B6B3F1}"/>
    <cellStyle name="Normal 3 12 2 5" xfId="4825" xr:uid="{06AF7DC2-DDDD-4A8A-81D6-FD23A041CDBB}"/>
    <cellStyle name="Normal 3 12 2 5 2" xfId="6127" xr:uid="{89B808CD-7FF8-4A7C-AE82-D0C87278CF7C}"/>
    <cellStyle name="Normal 3 12 2 5 3" xfId="7430" xr:uid="{49809041-60D7-4730-BEEA-C93E583CD95D}"/>
    <cellStyle name="Normal 3 12 2 6" xfId="3803" xr:uid="{0FC3DC06-18A2-42C5-8709-1DF5D8EAD2C1}"/>
    <cellStyle name="Normal 3 12 2 7" xfId="5108" xr:uid="{33471A85-4B10-4236-84CC-28AE659B8D90}"/>
    <cellStyle name="Normal 3 12 2 8" xfId="6410" xr:uid="{F31C1514-E693-4BCD-88FE-8386722DDA4D}"/>
    <cellStyle name="Normal 3 12 2 9" xfId="7713" xr:uid="{1CF3D04D-FED4-4B25-90A7-A0B837AB952E}"/>
    <cellStyle name="Normal 3 12 3" xfId="2921" xr:uid="{72794F26-51F0-4D55-886D-1D1D5505C926}"/>
    <cellStyle name="Normal 3 12 3 2" xfId="3590" xr:uid="{2DFDE289-0A01-4BD9-B890-08D3D58BB688}"/>
    <cellStyle name="Normal 3 12 3 2 2" xfId="4077" xr:uid="{B189A14E-61D9-4C83-8E42-42A22E0354F7}"/>
    <cellStyle name="Normal 3 12 3 2 3" xfId="5382" xr:uid="{BBBB9588-21B1-477C-BA33-6F065DCC1098}"/>
    <cellStyle name="Normal 3 12 3 2 4" xfId="6684" xr:uid="{9837E8E4-9B9A-4538-86B4-93072A2D4B58}"/>
    <cellStyle name="Normal 3 12 3 2 5" xfId="7987" xr:uid="{22D029F9-4865-423A-AB9A-8936A4E57981}"/>
    <cellStyle name="Normal 3 12 3 3" xfId="4313" xr:uid="{A265F354-892E-4DD7-80C0-6F8C6D6DFFC6}"/>
    <cellStyle name="Normal 3 12 3 3 2" xfId="5618" xr:uid="{E1413B6F-B8E2-46E3-AA97-9743E89E7764}"/>
    <cellStyle name="Normal 3 12 3 3 3" xfId="6920" xr:uid="{CDDE64D7-D665-458C-8CD7-81F09FB4FDA6}"/>
    <cellStyle name="Normal 3 12 3 4" xfId="4593" xr:uid="{366A44AD-FC16-4DA8-89D7-FD61FC69CBBC}"/>
    <cellStyle name="Normal 3 12 3 4 2" xfId="5895" xr:uid="{0A038B8A-3423-4185-8639-DE8716C91886}"/>
    <cellStyle name="Normal 3 12 3 4 3" xfId="7198" xr:uid="{6A22AB57-2A43-4D01-BC5F-39F3EFBFCC3A}"/>
    <cellStyle name="Normal 3 12 3 5" xfId="4870" xr:uid="{CF00F6DC-0FCA-448C-842E-C2C59B547DFF}"/>
    <cellStyle name="Normal 3 12 3 5 2" xfId="6172" xr:uid="{6E70BBF6-B3C9-4D31-8C59-5237EB5B1436}"/>
    <cellStyle name="Normal 3 12 3 5 3" xfId="7475" xr:uid="{DA47B672-5458-4FCF-8501-6802C716C687}"/>
    <cellStyle name="Normal 3 12 3 6" xfId="3848" xr:uid="{78279B7D-6072-47A2-B5F0-B6AD441A125A}"/>
    <cellStyle name="Normal 3 12 3 7" xfId="5153" xr:uid="{FCD157C5-4069-43B5-B037-1A8DE70BA2F1}"/>
    <cellStyle name="Normal 3 12 3 8" xfId="6455" xr:uid="{A4337780-4924-46FD-9D2D-DFDE2901E9DE}"/>
    <cellStyle name="Normal 3 12 3 9" xfId="7758" xr:uid="{C98F6D9F-A1CC-4032-9DCF-79D05BAE12B5}"/>
    <cellStyle name="Normal 3 12 4" xfId="3500" xr:uid="{C5A3EFFA-2CF0-491B-BC77-0561BEB79347}"/>
    <cellStyle name="Normal 3 12 4 2" xfId="4449" xr:uid="{39C1EBD1-CB8F-4D74-842E-8E1186B0B02E}"/>
    <cellStyle name="Normal 3 12 4 2 2" xfId="5752" xr:uid="{4742E6D7-01AD-46F5-B5E5-276104FED131}"/>
    <cellStyle name="Normal 3 12 4 2 3" xfId="7055" xr:uid="{E33DDAC2-70D7-4DFA-AC36-C96FD9797D1D}"/>
    <cellStyle name="Normal 3 12 4 3" xfId="4727" xr:uid="{33B43525-DAF3-4097-9E26-C098B6A0DE61}"/>
    <cellStyle name="Normal 3 12 4 3 2" xfId="6029" xr:uid="{D1E9B8C0-047A-45AE-83CB-DDCBD6C4D3AE}"/>
    <cellStyle name="Normal 3 12 4 3 3" xfId="7332" xr:uid="{1394B1F8-6E02-40F7-B9FC-8A2ACA9FB939}"/>
    <cellStyle name="Normal 3 12 4 4" xfId="5004" xr:uid="{6E7071D4-C482-417E-8D54-6DFC9D5AE87D}"/>
    <cellStyle name="Normal 3 12 4 4 2" xfId="6306" xr:uid="{D866B177-DF6F-4413-B324-C6C1228A8DF0}"/>
    <cellStyle name="Normal 3 12 4 4 3" xfId="7609" xr:uid="{DD371DA4-050B-425B-B170-8430D4558C98}"/>
    <cellStyle name="Normal 3 12 4 5" xfId="3987" xr:uid="{685B8D12-B028-4544-89D1-D8B83B675DFF}"/>
    <cellStyle name="Normal 3 12 4 6" xfId="5292" xr:uid="{B2852384-ADFD-4712-8378-406ADBB3527B}"/>
    <cellStyle name="Normal 3 12 4 7" xfId="6594" xr:uid="{F7432428-88A3-499D-ABDC-A41EFCEF2028}"/>
    <cellStyle name="Normal 3 12 4 8" xfId="7897" xr:uid="{084955B0-3D2F-409C-A448-FBB02DFA1455}"/>
    <cellStyle name="Normal 3 12 5" xfId="4223" xr:uid="{44A4F36D-CE98-415C-B3B8-E08ABE0AA6C7}"/>
    <cellStyle name="Normal 3 12 5 2" xfId="5528" xr:uid="{12B2D49F-C336-42CD-9BD7-4C3076921C85}"/>
    <cellStyle name="Normal 3 12 5 3" xfId="6830" xr:uid="{2BAEB03B-E072-43BB-95E0-DC39699122D0}"/>
    <cellStyle name="Normal 3 12 6" xfId="4502" xr:uid="{17E1948F-3BC2-4592-92ED-2F298061ADD6}"/>
    <cellStyle name="Normal 3 12 6 2" xfId="5805" xr:uid="{4308E84B-74CF-4A0F-AF81-1BF0FD66B85D}"/>
    <cellStyle name="Normal 3 12 6 3" xfId="7108" xr:uid="{5CEAB13A-F5B1-4803-B6EA-CD1C3DFCFCDF}"/>
    <cellStyle name="Normal 3 12 7" xfId="4780" xr:uid="{CA0B66D4-9C41-47DE-ACA9-54A3AC466BBD}"/>
    <cellStyle name="Normal 3 12 7 2" xfId="6082" xr:uid="{D61D1ECC-2526-4DAC-8413-6B01F95B39F9}"/>
    <cellStyle name="Normal 3 12 7 3" xfId="7385" xr:uid="{126CC479-E309-41E7-AB4D-488AD54A6897}"/>
    <cellStyle name="Normal 3 12 8" xfId="3758" xr:uid="{50B48DFA-C033-4BC0-BA20-BA3BF01708B9}"/>
    <cellStyle name="Normal 3 12 9" xfId="5063" xr:uid="{75EAB7C9-ED06-402F-BF27-A215C3709A0E}"/>
    <cellStyle name="Normal 3 13" xfId="25" xr:uid="{5222AD7C-95CC-4035-B9B7-EAF5571229F0}"/>
    <cellStyle name="Normal 3 13 10" xfId="7663" xr:uid="{BD14EB69-4E42-4FDE-AA17-FDF7B8913AFE}"/>
    <cellStyle name="Normal 3 13 2" xfId="2961" xr:uid="{E4AE2F3C-F6EF-467F-BE76-66448912965B}"/>
    <cellStyle name="Normal 3 13 2 2" xfId="3630" xr:uid="{0C4C316D-B335-4DE8-B4BA-6BCF12C3253F}"/>
    <cellStyle name="Normal 3 13 2 2 2" xfId="4117" xr:uid="{592392AE-207A-467D-A007-741948AE1230}"/>
    <cellStyle name="Normal 3 13 2 2 3" xfId="5422" xr:uid="{D8D82367-6D22-48BE-9804-7F9460E33E6B}"/>
    <cellStyle name="Normal 3 13 2 2 4" xfId="6724" xr:uid="{5DEDA6E8-ADCA-4606-8D01-395CE325AC18}"/>
    <cellStyle name="Normal 3 13 2 2 5" xfId="8027" xr:uid="{D4DA5B6A-9825-452D-A788-4CABF6BFDB87}"/>
    <cellStyle name="Normal 3 13 2 3" xfId="4353" xr:uid="{0FD370CE-7796-4262-8652-95A49BCB469A}"/>
    <cellStyle name="Normal 3 13 2 3 2" xfId="5658" xr:uid="{D951CB0F-346B-4FEE-B4F9-2E2114B17D95}"/>
    <cellStyle name="Normal 3 13 2 3 3" xfId="6960" xr:uid="{6F038FE1-B733-4EBB-A834-27DC37B7D08B}"/>
    <cellStyle name="Normal 3 13 2 4" xfId="4633" xr:uid="{FE154387-5C93-459A-90D2-96E9840B9CDB}"/>
    <cellStyle name="Normal 3 13 2 4 2" xfId="5935" xr:uid="{54212BAC-5220-4825-B00C-90F91FD9F8E5}"/>
    <cellStyle name="Normal 3 13 2 4 3" xfId="7238" xr:uid="{114A0BB8-5A05-4069-BFBC-E13D67DFEE9F}"/>
    <cellStyle name="Normal 3 13 2 5" xfId="4910" xr:uid="{F3684E57-5BE6-4EAB-B2A8-D97332E2FD69}"/>
    <cellStyle name="Normal 3 13 2 5 2" xfId="6212" xr:uid="{67908A61-BAAF-486D-B820-1C207CA2DBEA}"/>
    <cellStyle name="Normal 3 13 2 5 3" xfId="7515" xr:uid="{14469B22-4CC1-4CBB-94FB-44792B0D8280}"/>
    <cellStyle name="Normal 3 13 2 6" xfId="3888" xr:uid="{CD9BCACF-66A6-4B31-82C8-A91A2BD8163B}"/>
    <cellStyle name="Normal 3 13 2 7" xfId="5193" xr:uid="{78A141D5-4C6A-49E0-8DE4-9DB023B84987}"/>
    <cellStyle name="Normal 3 13 2 8" xfId="6495" xr:uid="{51C57A3F-72A9-4DC4-8F35-BE4D713F4DC8}"/>
    <cellStyle name="Normal 3 13 2 9" xfId="7798" xr:uid="{6E6FABA3-9973-4912-B7E5-AF1255BF7127}"/>
    <cellStyle name="Normal 3 13 3" xfId="3495" xr:uid="{5C90E67B-BE9E-4A09-BE46-8EA2C0777640}"/>
    <cellStyle name="Normal 3 13 3 2" xfId="3982" xr:uid="{32C71900-45DD-4D0B-9EF1-DAB8849F1100}"/>
    <cellStyle name="Normal 3 13 3 3" xfId="5287" xr:uid="{76DF7732-E8CE-4B6C-8EAA-09FFE8E28EF1}"/>
    <cellStyle name="Normal 3 13 3 4" xfId="6589" xr:uid="{B36569C6-7C80-43A0-804F-CD7085354FAF}"/>
    <cellStyle name="Normal 3 13 3 5" xfId="7892" xr:uid="{65817206-19BE-4F73-98DE-EC934E775E5E}"/>
    <cellStyle name="Normal 3 13 4" xfId="4218" xr:uid="{C29B531B-9469-4B18-9CA5-1A15A9488F66}"/>
    <cellStyle name="Normal 3 13 4 2" xfId="5523" xr:uid="{44EAFC37-F2CD-4D55-8259-28733B177D14}"/>
    <cellStyle name="Normal 3 13 4 3" xfId="6825" xr:uid="{0D83C846-E185-4CBE-9BB1-8D9E797574C4}"/>
    <cellStyle name="Normal 3 13 5" xfId="4497" xr:uid="{09B4394A-16B6-4458-A5A1-38633CEC5AD4}"/>
    <cellStyle name="Normal 3 13 5 2" xfId="5800" xr:uid="{4BE62342-2735-43A9-9514-A9FF08E72776}"/>
    <cellStyle name="Normal 3 13 5 3" xfId="7103" xr:uid="{5F10363C-C159-42CE-B017-60AB2D5BAF94}"/>
    <cellStyle name="Normal 3 13 6" xfId="4775" xr:uid="{4F321565-C5D3-456E-96DE-233431A6A2C9}"/>
    <cellStyle name="Normal 3 13 6 2" xfId="6077" xr:uid="{93E8A0C1-905A-42AE-BAF2-6A7B89108C42}"/>
    <cellStyle name="Normal 3 13 6 3" xfId="7380" xr:uid="{5774746E-E64E-4B87-8506-73F5BE499251}"/>
    <cellStyle name="Normal 3 13 7" xfId="3753" xr:uid="{D972D472-5927-4AA1-BA7F-085D9EB0F39E}"/>
    <cellStyle name="Normal 3 13 8" xfId="5058" xr:uid="{FDB912C8-4BF9-4620-8034-BC58B06E1D3C}"/>
    <cellStyle name="Normal 3 13 9" xfId="6360" xr:uid="{5B704E22-3A3C-45F6-B8E3-C433C17AAFCC}"/>
    <cellStyle name="Normal 3 14" xfId="2871" xr:uid="{9BC96785-724F-4771-B0E8-0873FA9C0C9E}"/>
    <cellStyle name="Normal 3 14 10" xfId="7708" xr:uid="{06DB1B06-7C5E-491B-B842-0BFB301C91AD}"/>
    <cellStyle name="Normal 3 14 2" xfId="3017" xr:uid="{7B9A33BF-D1B1-4F8F-B587-EDE13C531914}"/>
    <cellStyle name="Normal 3 14 2 2" xfId="3686" xr:uid="{3055CFB1-19FD-4A7B-8F7F-ED8BEEB24848}"/>
    <cellStyle name="Normal 3 14 2 2 2" xfId="4157" xr:uid="{BB52168D-A87A-4C33-8109-3008B34CE163}"/>
    <cellStyle name="Normal 3 14 2 2 3" xfId="5462" xr:uid="{75536F7A-C72F-4EB7-B79B-1E1E4E48CED8}"/>
    <cellStyle name="Normal 3 14 2 2 4" xfId="6764" xr:uid="{22E3A3DE-2D96-4D5D-A1C7-621B7441DA0D}"/>
    <cellStyle name="Normal 3 14 2 2 5" xfId="8067" xr:uid="{10FEC27B-7425-419E-A557-E03E7552B4DC}"/>
    <cellStyle name="Normal 3 14 2 3" xfId="4393" xr:uid="{42D21C3B-DF0F-49FE-8347-984948CA1ED3}"/>
    <cellStyle name="Normal 3 14 2 3 2" xfId="5698" xr:uid="{2DAD224B-ADBB-4033-8401-E9F73FD71E60}"/>
    <cellStyle name="Normal 3 14 2 3 3" xfId="7000" xr:uid="{ED31748A-67E7-4856-BE21-24AF5804230F}"/>
    <cellStyle name="Normal 3 14 2 4" xfId="4673" xr:uid="{4E17D0C9-BFEB-42D1-9880-187E40D31A6B}"/>
    <cellStyle name="Normal 3 14 2 4 2" xfId="5975" xr:uid="{31EEE42C-A7A5-4374-9BAF-E1DE2E00EA28}"/>
    <cellStyle name="Normal 3 14 2 4 3" xfId="7278" xr:uid="{527ED556-0266-4F42-8DD1-8B34A9C2D5DB}"/>
    <cellStyle name="Normal 3 14 2 5" xfId="4950" xr:uid="{6B7264AA-57E5-4131-A7C2-9E4168C35739}"/>
    <cellStyle name="Normal 3 14 2 5 2" xfId="6252" xr:uid="{2584975E-E4DB-4AEA-AE09-8B27AF3CB6EB}"/>
    <cellStyle name="Normal 3 14 2 5 3" xfId="7555" xr:uid="{D6EF3D9B-CB72-4A6C-A43B-F11BC9D7EB64}"/>
    <cellStyle name="Normal 3 14 2 6" xfId="3928" xr:uid="{551AECE1-CAF9-41A3-BE9F-921A283DFEC9}"/>
    <cellStyle name="Normal 3 14 2 7" xfId="5233" xr:uid="{5AF12C28-FDA1-4327-87C8-13F920E076B0}"/>
    <cellStyle name="Normal 3 14 2 8" xfId="6535" xr:uid="{3CF0F570-428A-459F-9FA4-545A8B461693}"/>
    <cellStyle name="Normal 3 14 2 9" xfId="7838" xr:uid="{2ACB901E-ED38-44DE-9B61-6A757E0408B5}"/>
    <cellStyle name="Normal 3 14 3" xfId="3540" xr:uid="{1FEF3577-6A9F-44CE-B975-AD63EEAC2406}"/>
    <cellStyle name="Normal 3 14 3 2" xfId="4027" xr:uid="{95ECD11D-B80A-4B6E-819D-79CA4EA18124}"/>
    <cellStyle name="Normal 3 14 3 3" xfId="5332" xr:uid="{3DB40EDD-678B-4542-B9D0-71EDF547451D}"/>
    <cellStyle name="Normal 3 14 3 4" xfId="6634" xr:uid="{534A3E18-910F-4FC1-A440-CC0E708DBBCE}"/>
    <cellStyle name="Normal 3 14 3 5" xfId="7937" xr:uid="{FFDD811E-D2A9-40CD-B519-6E54A3CDDFBC}"/>
    <cellStyle name="Normal 3 14 4" xfId="4263" xr:uid="{C7B2BD1A-8656-48E7-A1A7-4C668C326DE7}"/>
    <cellStyle name="Normal 3 14 4 2" xfId="5568" xr:uid="{F9B1C6C2-4FDD-45CA-979E-BAA24D80D9F4}"/>
    <cellStyle name="Normal 3 14 4 3" xfId="6870" xr:uid="{DE55735C-112C-4316-AC0B-0AF214D218C1}"/>
    <cellStyle name="Normal 3 14 5" xfId="4543" xr:uid="{DDCBC6E9-5A82-4F2E-8D77-92971ABC3762}"/>
    <cellStyle name="Normal 3 14 5 2" xfId="5845" xr:uid="{022F01CC-46D4-4CA3-A711-584672E69E6C}"/>
    <cellStyle name="Normal 3 14 5 3" xfId="7148" xr:uid="{27E248F5-8B36-47A0-A5FE-D37B9A79397C}"/>
    <cellStyle name="Normal 3 14 6" xfId="4820" xr:uid="{0B508159-D94F-4D7E-B342-2B7978C85800}"/>
    <cellStyle name="Normal 3 14 6 2" xfId="6122" xr:uid="{BC6F6F2B-AAA3-4DA7-A77B-B9E6A4ED0965}"/>
    <cellStyle name="Normal 3 14 6 3" xfId="7425" xr:uid="{0FD17123-E75E-44EA-A1BA-C38F04FEFCCF}"/>
    <cellStyle name="Normal 3 14 7" xfId="3798" xr:uid="{3AD976EB-AE46-435B-B962-80FC90B7F7F8}"/>
    <cellStyle name="Normal 3 14 8" xfId="5103" xr:uid="{BDAE8D7A-E810-434E-AE4E-4C93B568B8CC}"/>
    <cellStyle name="Normal 3 14 9" xfId="6405" xr:uid="{AECE4F35-B16A-4863-88B3-850D84E0DCAD}"/>
    <cellStyle name="Normal 3 15" xfId="3481" xr:uid="{93AD2539-2E2D-421F-AF08-E422C8555185}"/>
    <cellStyle name="Normal 3 15 2" xfId="3728" xr:uid="{9FBEFE11-E946-4BC0-8C71-4846E3B94257}"/>
    <cellStyle name="Normal 3 15 2 2" xfId="4199" xr:uid="{7C9F17DF-58CA-496A-9ECD-08B1F20D6DE3}"/>
    <cellStyle name="Normal 3 15 2 3" xfId="5504" xr:uid="{627E8A4D-7A19-4C1A-830E-F78688C62672}"/>
    <cellStyle name="Normal 3 15 2 4" xfId="6806" xr:uid="{7B3DF464-8E23-4705-B551-6D97EA1C9180}"/>
    <cellStyle name="Normal 3 15 2 5" xfId="8109" xr:uid="{7B582E29-4B23-4D37-BB10-E4DD7903B941}"/>
    <cellStyle name="Normal 3 15 3" xfId="4435" xr:uid="{5450DD80-D0ED-42AE-9F21-A3D496A06BE7}"/>
    <cellStyle name="Normal 3 15 3 2" xfId="5740" xr:uid="{14F6F4FD-9388-4208-AB63-581AF6C023BD}"/>
    <cellStyle name="Normal 3 15 3 3" xfId="7042" xr:uid="{8577D73B-88D7-4543-B64F-7936747DC420}"/>
    <cellStyle name="Normal 3 15 4" xfId="4715" xr:uid="{1779C57F-D774-4498-BEE4-0B9C42CD55CB}"/>
    <cellStyle name="Normal 3 15 4 2" xfId="6017" xr:uid="{2A8D9BF7-DBFA-48A6-A0DA-C900BA7E55BC}"/>
    <cellStyle name="Normal 3 15 4 3" xfId="7320" xr:uid="{2EFB3090-FD71-4E8D-BEEE-EFAA1F7E98A0}"/>
    <cellStyle name="Normal 3 15 5" xfId="4992" xr:uid="{8BBD29C7-C01E-4E33-B24B-5F9C1030742F}"/>
    <cellStyle name="Normal 3 15 5 2" xfId="6294" xr:uid="{08569B24-6963-4C67-A623-A55DB45F201A}"/>
    <cellStyle name="Normal 3 15 5 3" xfId="7597" xr:uid="{7835A59A-D2C5-4B0E-A7C1-2CDBD16F5CB4}"/>
    <cellStyle name="Normal 3 15 6" xfId="3970" xr:uid="{69A03168-9B86-4835-8C82-51D641E31C81}"/>
    <cellStyle name="Normal 3 15 7" xfId="5275" xr:uid="{5FBAF5E2-AD51-4B6A-BC9C-6EE574DB21BE}"/>
    <cellStyle name="Normal 3 15 8" xfId="6577" xr:uid="{96E6B9CA-B29F-4044-BA59-6DAAF4EDE929}"/>
    <cellStyle name="Normal 3 15 9" xfId="7880" xr:uid="{F2C54F7E-C2FE-4035-A5E2-E5C5165F66C1}"/>
    <cellStyle name="Normal 3 16" xfId="3482" xr:uid="{DA5E3B33-0D5D-4015-BC69-CAD4D66474EE}"/>
    <cellStyle name="Normal 3 16 2" xfId="3729" xr:uid="{A14504B8-2B59-45DC-A5B5-3F8CB6B56A7A}"/>
    <cellStyle name="Normal 3 16 2 2" xfId="4200" xr:uid="{BE0871EB-6C83-49F6-957D-85768FD65B48}"/>
    <cellStyle name="Normal 3 16 2 3" xfId="5505" xr:uid="{639DBF37-0170-460A-BCCF-20FC54F7E499}"/>
    <cellStyle name="Normal 3 16 2 4" xfId="6807" xr:uid="{ABA414C3-C4BD-44E7-B302-E4CE11AA97C2}"/>
    <cellStyle name="Normal 3 16 2 5" xfId="8110" xr:uid="{B372C889-EA49-4EF1-8F5A-163A63377F7B}"/>
    <cellStyle name="Normal 3 16 3" xfId="4436" xr:uid="{E7F4B747-3DD9-4B90-93BB-55BF925936ED}"/>
    <cellStyle name="Normal 3 16 3 2" xfId="5741" xr:uid="{F74BEC72-735A-4326-B7D9-27F8448215C8}"/>
    <cellStyle name="Normal 3 16 3 3" xfId="7043" xr:uid="{6D0C985C-CF99-4747-8A0D-54D3ED725CB4}"/>
    <cellStyle name="Normal 3 16 4" xfId="4716" xr:uid="{ACE62B0E-2BAA-4FC5-963B-8095C969A982}"/>
    <cellStyle name="Normal 3 16 4 2" xfId="6018" xr:uid="{1FF47B3F-8C18-4F8D-B407-AE2E3080FE35}"/>
    <cellStyle name="Normal 3 16 4 3" xfId="7321" xr:uid="{B631D2C0-D70E-40A3-BE4D-90990EB60372}"/>
    <cellStyle name="Normal 3 16 5" xfId="4993" xr:uid="{B105B370-FADE-400A-8137-762840A645C3}"/>
    <cellStyle name="Normal 3 16 5 2" xfId="6295" xr:uid="{C814D443-CE84-44F5-B0D3-538A631FB30B}"/>
    <cellStyle name="Normal 3 16 5 3" xfId="7598" xr:uid="{C30B47BA-CBE7-450E-868F-06C13C751E0E}"/>
    <cellStyle name="Normal 3 16 6" xfId="3971" xr:uid="{5C26B90D-470E-4625-93AA-29F71F1DED3D}"/>
    <cellStyle name="Normal 3 16 7" xfId="5276" xr:uid="{239EEE35-A714-4F92-95F8-391FA5AD2F86}"/>
    <cellStyle name="Normal 3 16 8" xfId="6578" xr:uid="{D13DB7CC-DDF1-48D7-89E1-3EA2A16EEFB2}"/>
    <cellStyle name="Normal 3 16 9" xfId="7881" xr:uid="{89A318EA-0E73-4F30-B7C3-7379CC75A8DD}"/>
    <cellStyle name="Normal 3 17" xfId="2916" xr:uid="{E1470D30-0968-4AB4-86AA-CE8CC35963C2}"/>
    <cellStyle name="Normal 3 17 2" xfId="3585" xr:uid="{254563E4-644F-4A09-AC36-FBE4DD950CA6}"/>
    <cellStyle name="Normal 3 17 2 2" xfId="4072" xr:uid="{87705EE8-737C-4189-B744-28A9CB884887}"/>
    <cellStyle name="Normal 3 17 2 3" xfId="5377" xr:uid="{D1AA62D0-24D0-4273-8760-481B04CA4994}"/>
    <cellStyle name="Normal 3 17 2 4" xfId="6679" xr:uid="{C700F8D0-E2EC-4B3D-8413-B35B52B7EB2E}"/>
    <cellStyle name="Normal 3 17 2 5" xfId="7982" xr:uid="{62CA3540-67A0-4E0B-BB68-20DA573B94C5}"/>
    <cellStyle name="Normal 3 17 3" xfId="4308" xr:uid="{8E9AC626-50AB-4103-9FB4-D77D18EAC373}"/>
    <cellStyle name="Normal 3 17 3 2" xfId="5613" xr:uid="{A138A31B-0C8C-406D-A223-AE7E786E0860}"/>
    <cellStyle name="Normal 3 17 3 3" xfId="6915" xr:uid="{6F93AACD-B1C4-435A-9F68-5FEF80984501}"/>
    <cellStyle name="Normal 3 17 4" xfId="4588" xr:uid="{1A708326-88E9-48FD-8F2E-D1B8905F37C4}"/>
    <cellStyle name="Normal 3 17 4 2" xfId="5890" xr:uid="{5963C3EC-F8D1-4A94-8930-4258B53EA3A1}"/>
    <cellStyle name="Normal 3 17 4 3" xfId="7193" xr:uid="{09B7348F-3D28-4698-9BB0-AACFCBC5E7C4}"/>
    <cellStyle name="Normal 3 17 5" xfId="4865" xr:uid="{2E992DF7-5DA2-4AD4-AB30-53A2E26721AA}"/>
    <cellStyle name="Normal 3 17 5 2" xfId="6167" xr:uid="{DB1E31FB-9C7E-4350-99F5-C8C05DF6CDAE}"/>
    <cellStyle name="Normal 3 17 5 3" xfId="7470" xr:uid="{629D2D9A-3DBF-40AF-8A41-A1F634691E5D}"/>
    <cellStyle name="Normal 3 17 6" xfId="3843" xr:uid="{B635BFE6-0E98-4B45-B321-1B7B3D85E61D}"/>
    <cellStyle name="Normal 3 17 7" xfId="5148" xr:uid="{BDBF1B47-BCB7-4953-8B68-E2952446809F}"/>
    <cellStyle name="Normal 3 17 8" xfId="6450" xr:uid="{857C76F9-29B5-4C6B-8E1D-C170C411C961}"/>
    <cellStyle name="Normal 3 17 9" xfId="7753" xr:uid="{4858C53C-32DB-4B5C-8329-9C34C5AAD9A1}"/>
    <cellStyle name="Normal 3 18" xfId="3490" xr:uid="{5BF230E3-1F3B-4052-A93C-A945A2CA2145}"/>
    <cellStyle name="Normal 3 18 2" xfId="4444" xr:uid="{DCB420AD-856C-48B1-BC91-51056278323E}"/>
    <cellStyle name="Normal 3 18 2 2" xfId="5747" xr:uid="{2C6C9D45-DFBD-4B82-B028-39E3CE4FE7DB}"/>
    <cellStyle name="Normal 3 18 2 3" xfId="7050" xr:uid="{E4D78A5E-01D7-4CA5-9BE4-CF2DA9C04725}"/>
    <cellStyle name="Normal 3 18 3" xfId="4722" xr:uid="{94F6C66A-F4C1-40B3-AEE5-21B24D0B0514}"/>
    <cellStyle name="Normal 3 18 3 2" xfId="6024" xr:uid="{45D756C6-B8CB-48ED-B174-0F48FD8B3EB7}"/>
    <cellStyle name="Normal 3 18 3 3" xfId="7327" xr:uid="{0EBBD4C8-425A-4761-9C8B-D0699450F833}"/>
    <cellStyle name="Normal 3 18 4" xfId="4999" xr:uid="{40568F88-3773-486C-B8DB-6B695259B63F}"/>
    <cellStyle name="Normal 3 18 4 2" xfId="6301" xr:uid="{6B26729D-9F40-4069-A643-B5A998F5CAAA}"/>
    <cellStyle name="Normal 3 18 4 3" xfId="7604" xr:uid="{01D1508C-69AD-48A3-92C3-6C732A553D7F}"/>
    <cellStyle name="Normal 3 18 5" xfId="3977" xr:uid="{5CB5421D-4696-4B0B-99C2-3A8214A7D3EA}"/>
    <cellStyle name="Normal 3 18 6" xfId="5282" xr:uid="{B38FA452-54E4-465D-A7E7-FB46DCB92580}"/>
    <cellStyle name="Normal 3 18 7" xfId="6584" xr:uid="{0C168109-FFD0-4329-8EF9-155563584983}"/>
    <cellStyle name="Normal 3 18 8" xfId="7887" xr:uid="{228B5F42-7803-4257-B076-AEFD8DDBED65}"/>
    <cellStyle name="Normal 3 19" xfId="20" xr:uid="{01FAD78A-0759-4848-9D6B-26241B42F2ED}"/>
    <cellStyle name="Normal 3 19 2" xfId="3748" xr:uid="{4E260C4E-DE76-41DE-8D1B-17AA41B570CF}"/>
    <cellStyle name="Normal 3 19 3" xfId="5053" xr:uid="{BDBB41A0-DBA7-4169-A516-83E9E42C40A3}"/>
    <cellStyle name="Normal 3 19 4" xfId="6355" xr:uid="{03921A14-7064-48C1-B333-3EA25DCDA171}"/>
    <cellStyle name="Normal 3 19 5" xfId="7658" xr:uid="{48D9DE71-0574-4285-9F24-5B1FA754FA2D}"/>
    <cellStyle name="Normal 3 2" xfId="14" xr:uid="{00000000-0005-0000-0000-000006000000}"/>
    <cellStyle name="Normal 3 2 10" xfId="3483" xr:uid="{204754A9-C5C4-49E8-B53E-3445CB1B94B3}"/>
    <cellStyle name="Normal 3 2 10 2" xfId="3730" xr:uid="{10FB8932-2484-4AEC-B949-990BE1A824BE}"/>
    <cellStyle name="Normal 3 2 10 2 2" xfId="4201" xr:uid="{6BA11773-EE81-42AD-B5FE-E11F9070E542}"/>
    <cellStyle name="Normal 3 2 10 2 3" xfId="5506" xr:uid="{769320DC-BA6D-46E9-8D07-9E5238F8D83D}"/>
    <cellStyle name="Normal 3 2 10 2 4" xfId="6808" xr:uid="{DB51C5EE-BC59-41C5-B1BB-AE1C93A72D06}"/>
    <cellStyle name="Normal 3 2 10 2 5" xfId="8111" xr:uid="{40233F20-DA0C-41DB-B2A3-82806541ABAE}"/>
    <cellStyle name="Normal 3 2 10 3" xfId="4437" xr:uid="{3817ABBA-68E6-48EB-A18B-42DF7F4817C3}"/>
    <cellStyle name="Normal 3 2 10 3 2" xfId="5742" xr:uid="{3BEE7D59-3180-422F-B3BB-A77230D8FE43}"/>
    <cellStyle name="Normal 3 2 10 3 3" xfId="7044" xr:uid="{B9CC2517-FEDC-4F34-A448-31DA20E9722D}"/>
    <cellStyle name="Normal 3 2 10 4" xfId="4717" xr:uid="{678D4103-193F-4D9D-8E69-B9784A0F25F3}"/>
    <cellStyle name="Normal 3 2 10 4 2" xfId="6019" xr:uid="{2F6E99A3-512E-477C-9E01-14B19CE92703}"/>
    <cellStyle name="Normal 3 2 10 4 3" xfId="7322" xr:uid="{3B6F0FBD-B41F-488C-956E-23CF65D80138}"/>
    <cellStyle name="Normal 3 2 10 5" xfId="4994" xr:uid="{AB2285DB-805B-4DC4-B902-9812543987D5}"/>
    <cellStyle name="Normal 3 2 10 5 2" xfId="6296" xr:uid="{5B5FF0EF-D56A-4559-88B0-3C438FC2878D}"/>
    <cellStyle name="Normal 3 2 10 5 3" xfId="7599" xr:uid="{04E0617E-5F7C-461F-A6DD-30A6D64EB57B}"/>
    <cellStyle name="Normal 3 2 10 6" xfId="3972" xr:uid="{29580BBF-A3DB-4A14-AD27-F27E67839206}"/>
    <cellStyle name="Normal 3 2 10 7" xfId="5277" xr:uid="{140B74DA-CAD6-4009-A044-30299C0B2F58}"/>
    <cellStyle name="Normal 3 2 10 8" xfId="6579" xr:uid="{455BB8F5-A84F-4A12-AD3A-6E035E589BF8}"/>
    <cellStyle name="Normal 3 2 10 9" xfId="7882" xr:uid="{58D0F5F4-B6B0-46A9-AFA8-716052CA1038}"/>
    <cellStyle name="Normal 3 2 11" xfId="2917" xr:uid="{E35462F0-8F70-4525-96D0-17696167AD10}"/>
    <cellStyle name="Normal 3 2 11 2" xfId="3586" xr:uid="{4932E65F-F071-4A37-B3CE-70FD45154E58}"/>
    <cellStyle name="Normal 3 2 11 2 2" xfId="4073" xr:uid="{2D0F81BC-3B60-4454-ABF4-5DC4C546A393}"/>
    <cellStyle name="Normal 3 2 11 2 3" xfId="5378" xr:uid="{B849047B-9500-46CC-892E-C4CCFF10EDA8}"/>
    <cellStyle name="Normal 3 2 11 2 4" xfId="6680" xr:uid="{1F6D97FD-1262-499E-A584-998CC371A424}"/>
    <cellStyle name="Normal 3 2 11 2 5" xfId="7983" xr:uid="{1EA18FCB-C2A4-44CF-8ED4-7CA057DD8378}"/>
    <cellStyle name="Normal 3 2 11 3" xfId="4309" xr:uid="{216F0323-BFED-41BE-8E73-68998BEB4208}"/>
    <cellStyle name="Normal 3 2 11 3 2" xfId="5614" xr:uid="{3BA7D8B0-C97C-46C9-86FF-2D44796D0467}"/>
    <cellStyle name="Normal 3 2 11 3 3" xfId="6916" xr:uid="{568CB7D4-0BFB-4490-A8A3-E38B6C8DB148}"/>
    <cellStyle name="Normal 3 2 11 4" xfId="4589" xr:uid="{4B41546D-BB4C-476E-97AD-7694BA10A788}"/>
    <cellStyle name="Normal 3 2 11 4 2" xfId="5891" xr:uid="{AD80B944-AF9A-4303-A3EE-0F4A027F289E}"/>
    <cellStyle name="Normal 3 2 11 4 3" xfId="7194" xr:uid="{D9546DBA-5DA4-4E89-AA9F-4D1E4DD96F63}"/>
    <cellStyle name="Normal 3 2 11 5" xfId="4866" xr:uid="{BCAAD819-3D18-488B-AAD1-44F56FFFBD5B}"/>
    <cellStyle name="Normal 3 2 11 5 2" xfId="6168" xr:uid="{B069B87A-8BEC-4A2F-80DE-097EB6C01AED}"/>
    <cellStyle name="Normal 3 2 11 5 3" xfId="7471" xr:uid="{E36D787A-33DF-418F-86B3-EDC373902DD4}"/>
    <cellStyle name="Normal 3 2 11 6" xfId="3844" xr:uid="{BC057BE1-43DE-4F47-8655-7139BA452FC9}"/>
    <cellStyle name="Normal 3 2 11 7" xfId="5149" xr:uid="{12754DCE-AC25-4A29-9029-359EF3DA1C44}"/>
    <cellStyle name="Normal 3 2 11 8" xfId="6451" xr:uid="{8FE0F7FB-BAB8-4229-9222-7D00928050E1}"/>
    <cellStyle name="Normal 3 2 11 9" xfId="7754" xr:uid="{017D55B9-933E-49E7-AF5C-B20FB9FFE51A}"/>
    <cellStyle name="Normal 3 2 12" xfId="3491" xr:uid="{E6FA6BF8-52AA-49A2-95E3-BF658A677DAB}"/>
    <cellStyle name="Normal 3 2 12 2" xfId="4445" xr:uid="{3E557378-A729-48CD-9C83-2ED3670EADF1}"/>
    <cellStyle name="Normal 3 2 12 2 2" xfId="5748" xr:uid="{1C717B02-BE7D-479D-95FA-CFBE378C5888}"/>
    <cellStyle name="Normal 3 2 12 2 3" xfId="7051" xr:uid="{74899486-B30E-46F6-B60B-4F1632C7BDAF}"/>
    <cellStyle name="Normal 3 2 12 3" xfId="4723" xr:uid="{3C4C53C1-08BE-4FDA-9759-F80E2DDFFA11}"/>
    <cellStyle name="Normal 3 2 12 3 2" xfId="6025" xr:uid="{0AB37475-3478-4EE4-9BAD-F64A277E19E1}"/>
    <cellStyle name="Normal 3 2 12 3 3" xfId="7328" xr:uid="{F0B5D0B6-D3D1-4B79-A918-CE3F93811675}"/>
    <cellStyle name="Normal 3 2 12 4" xfId="5000" xr:uid="{AB5F6F64-FB73-416E-A60B-96D1FEFE0027}"/>
    <cellStyle name="Normal 3 2 12 4 2" xfId="6302" xr:uid="{C06F9830-AE1F-4E06-9FC6-B1030B38E9A3}"/>
    <cellStyle name="Normal 3 2 12 4 3" xfId="7605" xr:uid="{44F5537F-CD25-49E4-AE9F-3971F3BF1BBD}"/>
    <cellStyle name="Normal 3 2 12 5" xfId="3978" xr:uid="{FB4D7DB2-09B7-4B12-ADF3-DDEDBA91F167}"/>
    <cellStyle name="Normal 3 2 12 6" xfId="5283" xr:uid="{6537896D-60C0-4EF3-8C1D-2944067765C1}"/>
    <cellStyle name="Normal 3 2 12 7" xfId="6585" xr:uid="{91A331C7-2005-4D86-AD5D-6A198474CEBE}"/>
    <cellStyle name="Normal 3 2 12 8" xfId="7888" xr:uid="{F57D0F67-CA5F-422A-A5D8-38A1642655CA}"/>
    <cellStyle name="Normal 3 2 13" xfId="21" xr:uid="{25DBC5BC-7E32-4E3B-A20B-D4888C99BA99}"/>
    <cellStyle name="Normal 3 2 13 2" xfId="3749" xr:uid="{22703910-EF33-4539-86B6-AFF7FA9993C5}"/>
    <cellStyle name="Normal 3 2 13 3" xfId="5054" xr:uid="{9A8BD7B1-655A-4126-9728-DBFC238D4F12}"/>
    <cellStyle name="Normal 3 2 13 4" xfId="6356" xr:uid="{A1B35D37-4A3D-4D26-B9B0-200D4383DED7}"/>
    <cellStyle name="Normal 3 2 13 5" xfId="7659" xr:uid="{BD81069D-2B70-4E78-854B-7DAA96EDA3AB}"/>
    <cellStyle name="Normal 3 2 14" xfId="4214" xr:uid="{8482FC9A-CF61-4086-88AA-572876EF21BA}"/>
    <cellStyle name="Normal 3 2 14 2" xfId="5519" xr:uid="{F35EFC5C-F853-4800-9335-5BD594E29ACF}"/>
    <cellStyle name="Normal 3 2 14 3" xfId="6821" xr:uid="{00C9F0B2-71A1-4A4B-AE8B-C38E7D860783}"/>
    <cellStyle name="Normal 3 2 15" xfId="4493" xr:uid="{323CB96E-1DD0-49C2-97FF-CCF8E8D3EF43}"/>
    <cellStyle name="Normal 3 2 15 2" xfId="5796" xr:uid="{F6C9519D-ED5B-4678-B079-F5B89BE522F6}"/>
    <cellStyle name="Normal 3 2 15 3" xfId="7099" xr:uid="{517AF5DB-1C2A-413B-8CBF-04624B87CCE0}"/>
    <cellStyle name="Normal 3 2 16" xfId="4771" xr:uid="{57A2A1AC-9BA5-4621-B7B0-4839EDD8FB2F}"/>
    <cellStyle name="Normal 3 2 16 2" xfId="6073" xr:uid="{FADC377A-E291-48B6-95C9-F189E3A5C186}"/>
    <cellStyle name="Normal 3 2 16 3" xfId="7376" xr:uid="{30B4FF84-2EC4-4705-8343-8641BDB5CBAC}"/>
    <cellStyle name="Normal 3 2 17" xfId="3743" xr:uid="{2935111E-609C-4C7B-BE19-03C1FB8C66FB}"/>
    <cellStyle name="Normal 3 2 18" xfId="5048" xr:uid="{9059B2C8-18D7-4995-85C8-F2E4A8994905}"/>
    <cellStyle name="Normal 3 2 19" xfId="6350" xr:uid="{B84B9FBA-FB1E-4E0F-8192-D8CB552A8E83}"/>
    <cellStyle name="Normal 3 2 2" xfId="18" xr:uid="{00000000-0005-0000-0000-000007000000}"/>
    <cellStyle name="Normal 3 2 2 10" xfId="4496" xr:uid="{EAC0C1A7-CEB5-4A2D-81A9-D61967C4C0A9}"/>
    <cellStyle name="Normal 3 2 2 10 2" xfId="5799" xr:uid="{978D7256-F1DF-415E-92B3-69884CABA4C1}"/>
    <cellStyle name="Normal 3 2 2 10 3" xfId="7102" xr:uid="{9E371827-2724-4E12-AB4D-156041DB5EEC}"/>
    <cellStyle name="Normal 3 2 2 11" xfId="4774" xr:uid="{A2B38824-F8EC-4A17-A954-9E788C2CC589}"/>
    <cellStyle name="Normal 3 2 2 11 2" xfId="6076" xr:uid="{EB581803-0C2C-4B08-8207-CE3D8D30F14F}"/>
    <cellStyle name="Normal 3 2 2 11 3" xfId="7379" xr:uid="{A360B4F6-A0B1-4FDE-878F-B8A78E7E0E2F}"/>
    <cellStyle name="Normal 3 2 2 12" xfId="3746" xr:uid="{BB4B0288-53CB-4386-A6C4-208C4964CE4B}"/>
    <cellStyle name="Normal 3 2 2 13" xfId="5051" xr:uid="{451A6D10-6FAE-4382-AC92-A4C84A9E7279}"/>
    <cellStyle name="Normal 3 2 2 14" xfId="6353" xr:uid="{1AB9B49C-6952-47E8-97A2-F93C5D1F32EC}"/>
    <cellStyle name="Normal 3 2 2 15" xfId="7656" xr:uid="{5BF7F507-1A89-4E13-8607-B74D96086456}"/>
    <cellStyle name="Normal 3 2 2 2" xfId="222" xr:uid="{D2058556-C3A3-4CDD-B49C-36CE3D0F692C}"/>
    <cellStyle name="Normal 3 2 2 3" xfId="29" xr:uid="{5A18D7DE-E5A8-4C21-B221-7B85B478610A}"/>
    <cellStyle name="Normal 3 2 2 3 10" xfId="7667" xr:uid="{27F4C35E-8DB9-4092-BD2C-7A08304AEED2}"/>
    <cellStyle name="Normal 3 2 2 3 2" xfId="3486" xr:uid="{C8ADB3DD-3A8E-46E6-8357-AD1DDB9070C5}"/>
    <cellStyle name="Normal 3 2 2 3 2 2" xfId="3733" xr:uid="{E9BB5592-8C0F-4418-AAFF-E8C985747BC1}"/>
    <cellStyle name="Normal 3 2 2 3 2 2 2" xfId="4204" xr:uid="{962FB645-BFB6-4DBB-B77A-FCD19E063B6B}"/>
    <cellStyle name="Normal 3 2 2 3 2 2 3" xfId="5509" xr:uid="{512B5AC9-75E3-4F6B-BCE5-0A108B147D14}"/>
    <cellStyle name="Normal 3 2 2 3 2 2 4" xfId="6811" xr:uid="{EA66C473-09D3-46A1-8628-3A2A0C874151}"/>
    <cellStyle name="Normal 3 2 2 3 2 2 5" xfId="8114" xr:uid="{18C549C7-94C7-4D7E-B87C-D7D842053935}"/>
    <cellStyle name="Normal 3 2 2 3 2 3" xfId="4440" xr:uid="{06DACA1F-66AD-447F-89CF-02DA221B91B6}"/>
    <cellStyle name="Normal 3 2 2 3 2 3 2" xfId="5745" xr:uid="{5AA3B7BA-D57F-4988-88B9-EB5FA1CAEEC4}"/>
    <cellStyle name="Normal 3 2 2 3 2 3 3" xfId="7047" xr:uid="{2DC4A627-8488-4955-BA4D-3E2C33DD6C0C}"/>
    <cellStyle name="Normal 3 2 2 3 2 4" xfId="4720" xr:uid="{922BCAC2-4225-459B-A8A2-56FCBFD8967B}"/>
    <cellStyle name="Normal 3 2 2 3 2 4 2" xfId="6022" xr:uid="{B7B20CEE-375D-486F-97CD-AED2A9EC5A7C}"/>
    <cellStyle name="Normal 3 2 2 3 2 4 3" xfId="7325" xr:uid="{0CFE3BC4-CBF6-4A8E-84CC-D21974180608}"/>
    <cellStyle name="Normal 3 2 2 3 2 5" xfId="4997" xr:uid="{3A3475AD-E072-4E44-A196-069EF4238DE5}"/>
    <cellStyle name="Normal 3 2 2 3 2 5 2" xfId="6299" xr:uid="{44B7F492-BDB8-4765-9F08-17400AC3A24E}"/>
    <cellStyle name="Normal 3 2 2 3 2 5 3" xfId="7602" xr:uid="{E8B627F3-06AF-434D-8555-8987FEB58E4D}"/>
    <cellStyle name="Normal 3 2 2 3 2 6" xfId="3975" xr:uid="{8ACFEE1C-431F-48CA-BD68-C6196CA8EEF4}"/>
    <cellStyle name="Normal 3 2 2 3 2 7" xfId="5280" xr:uid="{9CDC96CD-0C3B-43DA-9DA6-1DF03EDFD0D4}"/>
    <cellStyle name="Normal 3 2 2 3 2 8" xfId="6582" xr:uid="{AAFDC1A4-039D-496B-BCC6-07D0F03FE64C}"/>
    <cellStyle name="Normal 3 2 2 3 2 9" xfId="7885" xr:uid="{AB07079A-4930-491D-B8C7-2DF4D8E45C4E}"/>
    <cellStyle name="Normal 3 2 2 3 3" xfId="3499" xr:uid="{D87B35BA-D399-4133-B262-4A0EED1F1321}"/>
    <cellStyle name="Normal 3 2 2 3 3 2" xfId="3986" xr:uid="{5D6A1348-EB65-403B-8345-582E9D384BFF}"/>
    <cellStyle name="Normal 3 2 2 3 3 3" xfId="5291" xr:uid="{786B8F9F-FB7E-4E17-803F-6B28064CFCB8}"/>
    <cellStyle name="Normal 3 2 2 3 3 4" xfId="6593" xr:uid="{17CA0EBD-1631-43E7-93E7-6B5A9FB52D38}"/>
    <cellStyle name="Normal 3 2 2 3 3 5" xfId="7896" xr:uid="{CD41F4A3-1C84-48A8-ADD0-B9794CCE0DDB}"/>
    <cellStyle name="Normal 3 2 2 3 4" xfId="4222" xr:uid="{F731E621-D2AA-44EA-8A24-7E63892733D7}"/>
    <cellStyle name="Normal 3 2 2 3 4 2" xfId="5527" xr:uid="{A4612654-2E40-4ED9-A522-7E46CCD589D1}"/>
    <cellStyle name="Normal 3 2 2 3 4 3" xfId="6829" xr:uid="{5B1E34CE-2F01-4075-9CD1-0266B61DEC39}"/>
    <cellStyle name="Normal 3 2 2 3 5" xfId="4501" xr:uid="{E0D7C545-AD63-48D2-9C26-C0C0E9AAF456}"/>
    <cellStyle name="Normal 3 2 2 3 5 2" xfId="5804" xr:uid="{6A29305E-54F8-41BA-8A2B-8E922D9712FE}"/>
    <cellStyle name="Normal 3 2 2 3 5 3" xfId="7107" xr:uid="{E31F81E2-7FD5-42EC-9FE3-FBE653435940}"/>
    <cellStyle name="Normal 3 2 2 3 6" xfId="4779" xr:uid="{E585876E-0864-42DE-9144-E123F6687C06}"/>
    <cellStyle name="Normal 3 2 2 3 6 2" xfId="6081" xr:uid="{66B4DB6B-941D-4824-9C2C-6C47E5388277}"/>
    <cellStyle name="Normal 3 2 2 3 6 3" xfId="7384" xr:uid="{3F189DF3-4F49-4671-847D-0FDD99F4BF9B}"/>
    <cellStyle name="Normal 3 2 2 3 7" xfId="3757" xr:uid="{288D1546-C2B7-4865-9823-E395201DC9D9}"/>
    <cellStyle name="Normal 3 2 2 3 8" xfId="5062" xr:uid="{FC821A18-21C5-41F9-956F-31C6BBBF6726}"/>
    <cellStyle name="Normal 3 2 2 3 9" xfId="6364" xr:uid="{7C79598B-63A0-44B5-821F-24E5096917AB}"/>
    <cellStyle name="Normal 3 2 2 4" xfId="2875" xr:uid="{602BD524-FA18-41D2-A125-18B8D1D6943E}"/>
    <cellStyle name="Normal 3 2 2 4 2" xfId="3544" xr:uid="{98E9EC8A-0583-4C6D-A165-2B499227DFF9}"/>
    <cellStyle name="Normal 3 2 2 4 2 2" xfId="4031" xr:uid="{7147D5B5-96C7-4A81-B441-72626152593B}"/>
    <cellStyle name="Normal 3 2 2 4 2 3" xfId="5336" xr:uid="{D7D7AF38-E2D6-4827-ADB4-F857438BD597}"/>
    <cellStyle name="Normal 3 2 2 4 2 4" xfId="6638" xr:uid="{1D2BE206-3B36-4498-A318-67BC52EC521B}"/>
    <cellStyle name="Normal 3 2 2 4 2 5" xfId="7941" xr:uid="{EE484437-6D30-4FD0-B1BB-DD981ABA9F79}"/>
    <cellStyle name="Normal 3 2 2 4 3" xfId="4267" xr:uid="{B39076DF-226E-415F-B848-8D239EA5DCAD}"/>
    <cellStyle name="Normal 3 2 2 4 3 2" xfId="5572" xr:uid="{D3904A3C-428F-45C4-8116-AB6AB8D2E5BD}"/>
    <cellStyle name="Normal 3 2 2 4 3 3" xfId="6874" xr:uid="{1FF4C656-56CB-42B1-AB2E-416194253163}"/>
    <cellStyle name="Normal 3 2 2 4 4" xfId="4547" xr:uid="{B9B10876-85ED-4429-B876-2664382A59FA}"/>
    <cellStyle name="Normal 3 2 2 4 4 2" xfId="5849" xr:uid="{7FBC9A4D-DCFE-41C0-8AE9-9F93B6139365}"/>
    <cellStyle name="Normal 3 2 2 4 4 3" xfId="7152" xr:uid="{E60A5B57-E03A-44DF-B68E-3018BB721F52}"/>
    <cellStyle name="Normal 3 2 2 4 5" xfId="4824" xr:uid="{3FFE2021-ACC4-45E9-8A5C-DDA97FC2BDB6}"/>
    <cellStyle name="Normal 3 2 2 4 5 2" xfId="6126" xr:uid="{71A93A61-C9E4-4A0A-B923-D6427ED0C478}"/>
    <cellStyle name="Normal 3 2 2 4 5 3" xfId="7429" xr:uid="{9B423195-B687-4268-A594-444F78F05AA8}"/>
    <cellStyle name="Normal 3 2 2 4 6" xfId="3802" xr:uid="{452EECF0-AEC6-46C8-BDAD-E8E8D421F6E0}"/>
    <cellStyle name="Normal 3 2 2 4 7" xfId="5107" xr:uid="{6171C4A1-1A8B-43DE-BA6A-079AE9795331}"/>
    <cellStyle name="Normal 3 2 2 4 8" xfId="6409" xr:uid="{2F490AC9-501E-43C7-91E2-D68FA4B8D1FA}"/>
    <cellStyle name="Normal 3 2 2 4 9" xfId="7712" xr:uid="{182232C0-CBF5-412C-8734-D77F3FF6DA37}"/>
    <cellStyle name="Normal 3 2 2 5" xfId="2920" xr:uid="{DF30F75E-C3A9-47A4-A54D-4259E8EB977F}"/>
    <cellStyle name="Normal 3 2 2 5 2" xfId="3589" xr:uid="{0E657184-C9AE-427D-B917-7A0928B66E88}"/>
    <cellStyle name="Normal 3 2 2 5 2 2" xfId="4076" xr:uid="{9270C298-83DE-4CEB-83CB-AD0EE02B5B95}"/>
    <cellStyle name="Normal 3 2 2 5 2 3" xfId="5381" xr:uid="{82587F3F-4FBF-4069-8BD3-1888965F4DD8}"/>
    <cellStyle name="Normal 3 2 2 5 2 4" xfId="6683" xr:uid="{EDE42273-6857-443D-AE01-674C5BF17629}"/>
    <cellStyle name="Normal 3 2 2 5 2 5" xfId="7986" xr:uid="{2A7E4A08-393A-4055-B6DA-31609F59C65B}"/>
    <cellStyle name="Normal 3 2 2 5 3" xfId="4312" xr:uid="{F229E1ED-4BB3-486A-A9C6-7DB43FF8018F}"/>
    <cellStyle name="Normal 3 2 2 5 3 2" xfId="5617" xr:uid="{C8D9EF03-6E18-479F-9160-0C30CAE22448}"/>
    <cellStyle name="Normal 3 2 2 5 3 3" xfId="6919" xr:uid="{2A33708F-7B41-47B1-9F67-E0D958A6FE10}"/>
    <cellStyle name="Normal 3 2 2 5 4" xfId="4592" xr:uid="{205083F1-F107-467B-BD48-5D4F7BC188DB}"/>
    <cellStyle name="Normal 3 2 2 5 4 2" xfId="5894" xr:uid="{D15D85F6-9C0F-44A4-8A7F-102D383CFCEE}"/>
    <cellStyle name="Normal 3 2 2 5 4 3" xfId="7197" xr:uid="{6C2F3F70-E667-48F3-AC6F-FBBE009E3EB3}"/>
    <cellStyle name="Normal 3 2 2 5 5" xfId="4869" xr:uid="{6AC18E6F-41C2-44D8-B8E4-198958E378DC}"/>
    <cellStyle name="Normal 3 2 2 5 5 2" xfId="6171" xr:uid="{CBF9BFA5-0909-4767-8849-ACE4A1A59ED3}"/>
    <cellStyle name="Normal 3 2 2 5 5 3" xfId="7474" xr:uid="{9CBF38F1-0A86-4AB0-9805-99B18E99F85E}"/>
    <cellStyle name="Normal 3 2 2 5 6" xfId="3847" xr:uid="{6D63DC2E-F9CB-45D7-B3CF-D19CDAB1C89B}"/>
    <cellStyle name="Normal 3 2 2 5 7" xfId="5152" xr:uid="{8B4D1222-C373-471B-A260-6284A44476C7}"/>
    <cellStyle name="Normal 3 2 2 5 8" xfId="6454" xr:uid="{EEA7BA91-1B3C-483D-88B5-41E001089DFD}"/>
    <cellStyle name="Normal 3 2 2 5 9" xfId="7757" xr:uid="{E1C737D9-6892-4D90-AF00-327268FB7456}"/>
    <cellStyle name="Normal 3 2 2 6" xfId="3494" xr:uid="{62B6D280-2B34-43A6-A094-7F89EDC62849}"/>
    <cellStyle name="Normal 3 2 2 6 2" xfId="4448" xr:uid="{C9A55594-8BF4-40E6-8831-7DA205183A1F}"/>
    <cellStyle name="Normal 3 2 2 6 2 2" xfId="5751" xr:uid="{A996AE4B-5B9D-4A63-A346-F7C27B4C3FE8}"/>
    <cellStyle name="Normal 3 2 2 6 2 3" xfId="7054" xr:uid="{A0432B0F-6456-47D9-A8AF-9DBE9B627CAD}"/>
    <cellStyle name="Normal 3 2 2 6 3" xfId="4726" xr:uid="{E40BF45C-5E7B-418E-9006-121300D0032D}"/>
    <cellStyle name="Normal 3 2 2 6 3 2" xfId="6028" xr:uid="{3BB9F2C5-BFF9-4B44-9A7C-B51B26769447}"/>
    <cellStyle name="Normal 3 2 2 6 3 3" xfId="7331" xr:uid="{7A9AE958-9B40-444B-9C53-EE640C1A5C77}"/>
    <cellStyle name="Normal 3 2 2 6 4" xfId="5003" xr:uid="{8ABD11BA-AAC4-4F75-B9C9-4350BCA9D992}"/>
    <cellStyle name="Normal 3 2 2 6 4 2" xfId="6305" xr:uid="{7B082FB7-F244-401D-B3AD-89DDDA870D39}"/>
    <cellStyle name="Normal 3 2 2 6 4 3" xfId="7608" xr:uid="{F4B063D7-B27C-4FDE-9ECD-B36BE887AF79}"/>
    <cellStyle name="Normal 3 2 2 6 5" xfId="3981" xr:uid="{AF528C4D-1522-4E7D-8331-E081C8E2D236}"/>
    <cellStyle name="Normal 3 2 2 6 6" xfId="5286" xr:uid="{B3C7429C-EE6F-4DBB-9E70-655376DD87C2}"/>
    <cellStyle name="Normal 3 2 2 6 7" xfId="6588" xr:uid="{8B75FF25-97F0-41B4-8A79-498BCC7FBD68}"/>
    <cellStyle name="Normal 3 2 2 6 8" xfId="7891" xr:uid="{28ADB602-6004-45CD-A1AE-E4781FD74C82}"/>
    <cellStyle name="Normal 3 2 2 7" xfId="3734" xr:uid="{279AF43C-9DF2-4779-988B-7998645A2B19}"/>
    <cellStyle name="Normal 3 2 2 7 2" xfId="4489" xr:uid="{BBB82E95-BA55-43F7-B136-E743E41239A1}"/>
    <cellStyle name="Normal 3 2 2 7 2 2" xfId="5792" xr:uid="{26D47006-C416-4F61-9BF1-B087C34158D4}"/>
    <cellStyle name="Normal 3 2 2 7 2 3" xfId="7095" xr:uid="{AECD0B70-DB9A-4072-B112-6849A5340D2B}"/>
    <cellStyle name="Normal 3 2 2 7 3" xfId="4767" xr:uid="{73C46937-60C8-4432-BFAD-59FE1A60C1DB}"/>
    <cellStyle name="Normal 3 2 2 7 3 2" xfId="6069" xr:uid="{AEFAE2F6-383E-4D27-BE31-DB795B3605C1}"/>
    <cellStyle name="Normal 3 2 2 7 3 3" xfId="7372" xr:uid="{133B20AF-173F-445E-903E-948624DA0052}"/>
    <cellStyle name="Normal 3 2 2 7 4" xfId="5044" xr:uid="{7126B2F6-EEB0-4116-8E4F-8884CD743184}"/>
    <cellStyle name="Normal 3 2 2 7 4 2" xfId="6346" xr:uid="{735C1FD2-2339-4494-B027-97B68BA0056D}"/>
    <cellStyle name="Normal 3 2 2 7 4 3" xfId="7649" xr:uid="{8FA0EC48-3BEC-41D7-B2CD-BE874A7D89F7}"/>
    <cellStyle name="Normal 3 2 2 7 5" xfId="4205" xr:uid="{17D52740-A619-42CB-9561-E216438D877D}"/>
    <cellStyle name="Normal 3 2 2 7 6" xfId="5510" xr:uid="{669EE62B-A8E6-42EE-9B43-24BA113ADEFD}"/>
    <cellStyle name="Normal 3 2 2 7 7" xfId="6812" xr:uid="{F6EBEE20-7744-48A1-A67C-238451195FF8}"/>
    <cellStyle name="Normal 3 2 2 7 8" xfId="8115" xr:uid="{E1DC9EEC-B4B8-4792-AAFE-9635515AA252}"/>
    <cellStyle name="Normal 3 2 2 8" xfId="24" xr:uid="{2C4572D3-A4B4-4D01-8834-280B8EF696AF}"/>
    <cellStyle name="Normal 3 2 2 8 2" xfId="3752" xr:uid="{EFF765F2-70A3-4701-B4D3-BBBA74574C49}"/>
    <cellStyle name="Normal 3 2 2 8 3" xfId="5057" xr:uid="{6C000360-1E64-4244-A974-3344B11B3276}"/>
    <cellStyle name="Normal 3 2 2 8 4" xfId="6359" xr:uid="{1898E215-7F3C-4E1E-AB20-FF2D5895AB59}"/>
    <cellStyle name="Normal 3 2 2 8 5" xfId="7662" xr:uid="{75048958-C3BE-42DA-AE91-F50818A847D8}"/>
    <cellStyle name="Normal 3 2 2 9" xfId="4217" xr:uid="{F87ACDE5-E1B1-4535-B846-920552042AC8}"/>
    <cellStyle name="Normal 3 2 2 9 2" xfId="5522" xr:uid="{17DE4310-E1AA-4AE7-B53A-1CF25E7D32D1}"/>
    <cellStyle name="Normal 3 2 2 9 3" xfId="6824" xr:uid="{F655F062-5BBF-49E8-ADF5-D0EE0B4A2976}"/>
    <cellStyle name="Normal 3 2 20" xfId="7653" xr:uid="{3937EC95-BAD1-4164-9B9F-FD32B1E2A46A}"/>
    <cellStyle name="Normal 3 2 3" xfId="2535" xr:uid="{95187325-093D-47CE-907E-5AA18B8A0FA8}"/>
    <cellStyle name="Normal 3 2 3 10" xfId="3771" xr:uid="{8C2968D2-FFB5-4916-A746-852ADAFE3E0A}"/>
    <cellStyle name="Normal 3 2 3 11" xfId="5076" xr:uid="{E5872A0C-5BAD-43EE-8134-BE21D10F7B84}"/>
    <cellStyle name="Normal 3 2 3 12" xfId="6378" xr:uid="{84BB74EB-4F80-4227-BFF2-34AFA2E1E68C}"/>
    <cellStyle name="Normal 3 2 3 13" xfId="7681" xr:uid="{6BE31228-96B1-4C6F-AB1F-81EC701A57BF}"/>
    <cellStyle name="Normal 3 2 3 2" xfId="2859" xr:uid="{91CCD7DB-86A4-4283-9892-B2FF5E481914}"/>
    <cellStyle name="Normal 3 2 3 2 10" xfId="5093" xr:uid="{30102D16-C3E1-44F6-A872-21B564DA235E}"/>
    <cellStyle name="Normal 3 2 3 2 11" xfId="6395" xr:uid="{D3D51310-5DB7-4D3A-83BF-6F977F3ADAD1}"/>
    <cellStyle name="Normal 3 2 3 2 12" xfId="7698" xr:uid="{C49D7B4C-91D6-4B29-A7A8-133317BBA69A}"/>
    <cellStyle name="Normal 3 2 3 2 2" xfId="2906" xr:uid="{565495D2-B477-4E7D-A886-3661E6D0A84F}"/>
    <cellStyle name="Normal 3 2 3 2 2 10" xfId="7743" xr:uid="{D5A3D249-75AD-4F51-BB69-FD0D91FCCFE4}"/>
    <cellStyle name="Normal 3 2 3 2 2 2" xfId="3007" xr:uid="{3AE7BDD9-D367-4443-A060-4BFBBE04AAFC}"/>
    <cellStyle name="Normal 3 2 3 2 2 2 2" xfId="3676" xr:uid="{4D336622-9576-4F99-9A0D-8A9BCDFE09C9}"/>
    <cellStyle name="Normal 3 2 3 2 2 2 2 2" xfId="4147" xr:uid="{3F2D6E17-9B65-4624-8C06-F4296FECF886}"/>
    <cellStyle name="Normal 3 2 3 2 2 2 2 3" xfId="5452" xr:uid="{121E2D2A-5AAC-46DE-A717-4F7FACCF4098}"/>
    <cellStyle name="Normal 3 2 3 2 2 2 2 4" xfId="6754" xr:uid="{531E3604-12CB-4683-8CBC-25BDBA221938}"/>
    <cellStyle name="Normal 3 2 3 2 2 2 2 5" xfId="8057" xr:uid="{4A12963C-A51C-4C1F-8AB1-AC73766B8A57}"/>
    <cellStyle name="Normal 3 2 3 2 2 2 3" xfId="4383" xr:uid="{2B951D68-0128-41C9-9FBA-3C40BB4FCC4D}"/>
    <cellStyle name="Normal 3 2 3 2 2 2 3 2" xfId="5688" xr:uid="{8E0D6BC6-8008-4D75-81FB-A15373FCEC70}"/>
    <cellStyle name="Normal 3 2 3 2 2 2 3 3" xfId="6990" xr:uid="{DF537314-DED7-4763-A279-ABBE61BB97FA}"/>
    <cellStyle name="Normal 3 2 3 2 2 2 4" xfId="4663" xr:uid="{B2BCAB1C-AE9B-4014-8C1C-3BCA40EFDEDA}"/>
    <cellStyle name="Normal 3 2 3 2 2 2 4 2" xfId="5965" xr:uid="{862E4FAE-0833-4264-A5F7-01A068CBCBA9}"/>
    <cellStyle name="Normal 3 2 3 2 2 2 4 3" xfId="7268" xr:uid="{C408BC20-D2A4-473C-BC1F-7560FB494DB0}"/>
    <cellStyle name="Normal 3 2 3 2 2 2 5" xfId="4940" xr:uid="{CBBE8AC2-59C9-4936-8DB1-2B13CE0CF739}"/>
    <cellStyle name="Normal 3 2 3 2 2 2 5 2" xfId="6242" xr:uid="{4A5CD8A2-471D-41FB-9CFA-268B49F9C43D}"/>
    <cellStyle name="Normal 3 2 3 2 2 2 5 3" xfId="7545" xr:uid="{F1D446C3-58E9-4C59-B1A4-E255D693C535}"/>
    <cellStyle name="Normal 3 2 3 2 2 2 6" xfId="3918" xr:uid="{995CF314-B8DF-4EB6-A28B-ED35288C5643}"/>
    <cellStyle name="Normal 3 2 3 2 2 2 7" xfId="5223" xr:uid="{E5A49FD7-94E7-46AF-9585-26BB9E30FD18}"/>
    <cellStyle name="Normal 3 2 3 2 2 2 8" xfId="6525" xr:uid="{1C1EB019-D101-499C-9E96-0E9C6175D5BC}"/>
    <cellStyle name="Normal 3 2 3 2 2 2 9" xfId="7828" xr:uid="{96E54EB4-C866-45D7-8DFD-94E11885A66E}"/>
    <cellStyle name="Normal 3 2 3 2 2 3" xfId="3575" xr:uid="{1985A5BE-3165-4989-B82A-74CBFD2444C0}"/>
    <cellStyle name="Normal 3 2 3 2 2 3 2" xfId="4062" xr:uid="{D3922DDE-D57B-45A6-A050-D7FF0E74478B}"/>
    <cellStyle name="Normal 3 2 3 2 2 3 3" xfId="5367" xr:uid="{C94B7836-8FD4-4A7D-8584-874946867F94}"/>
    <cellStyle name="Normal 3 2 3 2 2 3 4" xfId="6669" xr:uid="{7A1A44A5-685C-4A03-834A-A0FD804644E9}"/>
    <cellStyle name="Normal 3 2 3 2 2 3 5" xfId="7972" xr:uid="{0A82CE67-82A5-403E-A685-D166CB22AF3D}"/>
    <cellStyle name="Normal 3 2 3 2 2 4" xfId="4298" xr:uid="{D63F8ACA-FD2F-4EA0-B4F0-9FD316AB1C56}"/>
    <cellStyle name="Normal 3 2 3 2 2 4 2" xfId="5603" xr:uid="{6B71463D-7CF2-43E5-82FA-96A2D2D9FB45}"/>
    <cellStyle name="Normal 3 2 3 2 2 4 3" xfId="6905" xr:uid="{31F2A574-CDA6-40FE-8CB0-27CE0A17A078}"/>
    <cellStyle name="Normal 3 2 3 2 2 5" xfId="4578" xr:uid="{26180C26-1F94-42D8-8037-CCC8313CD52E}"/>
    <cellStyle name="Normal 3 2 3 2 2 5 2" xfId="5880" xr:uid="{46F1A78D-1EBF-49FA-849C-076574728376}"/>
    <cellStyle name="Normal 3 2 3 2 2 5 3" xfId="7183" xr:uid="{22348668-4BA0-431D-ADFF-E583AB27D329}"/>
    <cellStyle name="Normal 3 2 3 2 2 6" xfId="4855" xr:uid="{A895A064-4172-4D25-A470-DF15FA24650C}"/>
    <cellStyle name="Normal 3 2 3 2 2 6 2" xfId="6157" xr:uid="{59521B59-47E6-45A4-8AA3-5B416F8D5294}"/>
    <cellStyle name="Normal 3 2 3 2 2 6 3" xfId="7460" xr:uid="{E26C283B-C63F-4FAC-95B0-119B6A2164F4}"/>
    <cellStyle name="Normal 3 2 3 2 2 7" xfId="3833" xr:uid="{081A3240-34B4-4181-9C58-E797A6EC515A}"/>
    <cellStyle name="Normal 3 2 3 2 2 8" xfId="5138" xr:uid="{D1B840BE-185E-4A46-AC87-7D5A0DCBF3AB}"/>
    <cellStyle name="Normal 3 2 3 2 2 9" xfId="6440" xr:uid="{79D261AB-814E-43F4-970B-9B7A865BF5C7}"/>
    <cellStyle name="Normal 3 2 3 2 3" xfId="3451" xr:uid="{4F1E9D89-0262-4E12-AE4A-DBFB2899C668}"/>
    <cellStyle name="Normal 3 2 3 2 3 2" xfId="3716" xr:uid="{28CF2699-DE0A-43AB-A7EE-64EFA4C5DCE4}"/>
    <cellStyle name="Normal 3 2 3 2 3 2 2" xfId="4187" xr:uid="{E6ADB5B1-BF24-495F-80C1-C06187ADC2EC}"/>
    <cellStyle name="Normal 3 2 3 2 3 2 3" xfId="5492" xr:uid="{2FB52FDF-ECC4-48C6-80A4-3032D5A556FB}"/>
    <cellStyle name="Normal 3 2 3 2 3 2 4" xfId="6794" xr:uid="{C45437FA-2300-4BB7-974D-01A01B0FAE65}"/>
    <cellStyle name="Normal 3 2 3 2 3 2 5" xfId="8097" xr:uid="{B0727BD2-D8BD-4D9B-AA14-014925D6E654}"/>
    <cellStyle name="Normal 3 2 3 2 3 3" xfId="4423" xr:uid="{37F4AAC7-BB21-4096-AE3E-CCF51464395F}"/>
    <cellStyle name="Normal 3 2 3 2 3 3 2" xfId="5728" xr:uid="{D69CA95A-9E63-4666-B3F4-C2FBA479A8ED}"/>
    <cellStyle name="Normal 3 2 3 2 3 3 3" xfId="7030" xr:uid="{51ABA081-0839-44A0-8101-A823CCF1B695}"/>
    <cellStyle name="Normal 3 2 3 2 3 4" xfId="4703" xr:uid="{F8CBF49E-25B2-4082-8811-BC81174ACF5E}"/>
    <cellStyle name="Normal 3 2 3 2 3 4 2" xfId="6005" xr:uid="{C4ACFA45-1710-4970-AEBD-15702648DFC8}"/>
    <cellStyle name="Normal 3 2 3 2 3 4 3" xfId="7308" xr:uid="{A7DBC77D-642F-4BB8-9359-7C92DDEEF17E}"/>
    <cellStyle name="Normal 3 2 3 2 3 5" xfId="4980" xr:uid="{5F7C7F78-6745-46E8-B09F-5317477CF8B3}"/>
    <cellStyle name="Normal 3 2 3 2 3 5 2" xfId="6282" xr:uid="{B4BCB3F2-BE54-49B5-9F42-4D0A2598269E}"/>
    <cellStyle name="Normal 3 2 3 2 3 5 3" xfId="7585" xr:uid="{70C8C216-0D09-49EA-983A-D791B0D50263}"/>
    <cellStyle name="Normal 3 2 3 2 3 6" xfId="3958" xr:uid="{C51286A1-A7FA-4666-855F-6BA0B980A65E}"/>
    <cellStyle name="Normal 3 2 3 2 3 7" xfId="5263" xr:uid="{5DF9E524-3851-4247-ADAB-4AAA32970C5F}"/>
    <cellStyle name="Normal 3 2 3 2 3 8" xfId="6565" xr:uid="{FBB4DD59-FFA3-4C3A-8AAD-5095F71DADE1}"/>
    <cellStyle name="Normal 3 2 3 2 3 9" xfId="7868" xr:uid="{2B50432F-382C-45FB-AA79-639C04E1F2BC}"/>
    <cellStyle name="Normal 3 2 3 2 4" xfId="2951" xr:uid="{96B1A600-5B80-4469-ACC6-3C100661DD30}"/>
    <cellStyle name="Normal 3 2 3 2 4 2" xfId="3620" xr:uid="{38BA8692-4DAF-4099-A8FA-E58975284D66}"/>
    <cellStyle name="Normal 3 2 3 2 4 2 2" xfId="4107" xr:uid="{6F0A6C0C-1339-47BD-A8ED-4015CE6E32E2}"/>
    <cellStyle name="Normal 3 2 3 2 4 2 3" xfId="5412" xr:uid="{773355AB-A5BF-4C8B-99FD-25300383F5AC}"/>
    <cellStyle name="Normal 3 2 3 2 4 2 4" xfId="6714" xr:uid="{6B1D4983-53E8-427A-999B-581561166177}"/>
    <cellStyle name="Normal 3 2 3 2 4 2 5" xfId="8017" xr:uid="{55CA049C-0632-41A9-A612-6F3DF203C69E}"/>
    <cellStyle name="Normal 3 2 3 2 4 3" xfId="4343" xr:uid="{50892229-5D6E-4695-88CB-D9F9A0D36E26}"/>
    <cellStyle name="Normal 3 2 3 2 4 3 2" xfId="5648" xr:uid="{BD956ECB-8195-48C0-B0EC-E02DF7C29000}"/>
    <cellStyle name="Normal 3 2 3 2 4 3 3" xfId="6950" xr:uid="{E1B13EDA-EB46-4EE6-A77D-263359B41E04}"/>
    <cellStyle name="Normal 3 2 3 2 4 4" xfId="4623" xr:uid="{B839CC0B-C0A6-461B-814C-4B141F5D494A}"/>
    <cellStyle name="Normal 3 2 3 2 4 4 2" xfId="5925" xr:uid="{8794E568-1DB4-4D72-8557-01574F0581A6}"/>
    <cellStyle name="Normal 3 2 3 2 4 4 3" xfId="7228" xr:uid="{F9158907-C774-4CAC-A131-C7D154C29A0A}"/>
    <cellStyle name="Normal 3 2 3 2 4 5" xfId="4900" xr:uid="{B13E448F-6DF4-4F97-9C3F-344DD6B12463}"/>
    <cellStyle name="Normal 3 2 3 2 4 5 2" xfId="6202" xr:uid="{FF15FB02-C391-4857-BC92-5E600EC10C2C}"/>
    <cellStyle name="Normal 3 2 3 2 4 5 3" xfId="7505" xr:uid="{DCC4B5C9-23DA-4A48-981D-4B5DCE6776A8}"/>
    <cellStyle name="Normal 3 2 3 2 4 6" xfId="3878" xr:uid="{C4F91EB4-8117-466C-9B6F-3C882330AC4C}"/>
    <cellStyle name="Normal 3 2 3 2 4 7" xfId="5183" xr:uid="{E7B9EAB4-BBAF-48D8-A5FB-17B364013B18}"/>
    <cellStyle name="Normal 3 2 3 2 4 8" xfId="6485" xr:uid="{A94B6F1B-7ECD-4047-986E-F8E0279BC9FB}"/>
    <cellStyle name="Normal 3 2 3 2 4 9" xfId="7788" xr:uid="{8B04AD4B-614E-4338-844C-FACEE9663120}"/>
    <cellStyle name="Normal 3 2 3 2 5" xfId="3530" xr:uid="{D14F1F0B-62E8-4685-B659-9922CB85EC7B}"/>
    <cellStyle name="Normal 3 2 3 2 5 2" xfId="4479" xr:uid="{0E01DC59-1018-4E4E-9B8A-FC19D1EC73A4}"/>
    <cellStyle name="Normal 3 2 3 2 5 2 2" xfId="5782" xr:uid="{712147C4-E740-43CA-BF6E-54545C7C19E1}"/>
    <cellStyle name="Normal 3 2 3 2 5 2 3" xfId="7085" xr:uid="{05DDAC5C-ECAF-4C8E-89F6-AE427E17813D}"/>
    <cellStyle name="Normal 3 2 3 2 5 3" xfId="4757" xr:uid="{6A345AE8-0D15-467A-B784-8F1C88100127}"/>
    <cellStyle name="Normal 3 2 3 2 5 3 2" xfId="6059" xr:uid="{CE1163DC-9BDE-4AC4-9BB1-A3CEDE26EFA1}"/>
    <cellStyle name="Normal 3 2 3 2 5 3 3" xfId="7362" xr:uid="{B2DA163C-47E2-446D-9EFF-7D7C27D20174}"/>
    <cellStyle name="Normal 3 2 3 2 5 4" xfId="5034" xr:uid="{02B43730-95C3-4298-AFF2-D6808F75981F}"/>
    <cellStyle name="Normal 3 2 3 2 5 4 2" xfId="6336" xr:uid="{FC063707-364C-4B93-A6C5-C5B733665D13}"/>
    <cellStyle name="Normal 3 2 3 2 5 4 3" xfId="7639" xr:uid="{AACA21EC-C970-4845-9248-0F46F8357619}"/>
    <cellStyle name="Normal 3 2 3 2 5 5" xfId="4017" xr:uid="{FF6AEDA5-1EB9-4E4E-92B4-4AB5E836E87A}"/>
    <cellStyle name="Normal 3 2 3 2 5 6" xfId="5322" xr:uid="{0BA422E5-731D-4EEE-9AEB-FF8D87D7853A}"/>
    <cellStyle name="Normal 3 2 3 2 5 7" xfId="6624" xr:uid="{E769CA5B-C7D5-473A-AEA1-5708CA90C979}"/>
    <cellStyle name="Normal 3 2 3 2 5 8" xfId="7927" xr:uid="{C3310062-C53E-46B4-AEEB-74E0DD8B8179}"/>
    <cellStyle name="Normal 3 2 3 2 6" xfId="4253" xr:uid="{057F6802-A15F-4CFA-A0BE-8C29804A51C5}"/>
    <cellStyle name="Normal 3 2 3 2 6 2" xfId="5558" xr:uid="{5F98A3BC-61A6-455C-843D-5D601BF7E160}"/>
    <cellStyle name="Normal 3 2 3 2 6 3" xfId="6860" xr:uid="{B7EA2C22-98B2-4680-84BB-3083C9981A15}"/>
    <cellStyle name="Normal 3 2 3 2 7" xfId="4533" xr:uid="{840F5558-F2F0-47C0-A3E1-4A827E220A55}"/>
    <cellStyle name="Normal 3 2 3 2 7 2" xfId="5835" xr:uid="{7250151F-A1D7-428F-A20F-854DEFB2A371}"/>
    <cellStyle name="Normal 3 2 3 2 7 3" xfId="7138" xr:uid="{C18529CA-69D9-4F5D-B11F-14DD627CF104}"/>
    <cellStyle name="Normal 3 2 3 2 8" xfId="4810" xr:uid="{5A4E25C7-D1C1-4435-AEF5-22C30389C193}"/>
    <cellStyle name="Normal 3 2 3 2 8 2" xfId="6112" xr:uid="{A10C5DFB-1E4C-47D9-A8A1-31F7736C9C01}"/>
    <cellStyle name="Normal 3 2 3 2 8 3" xfId="7415" xr:uid="{814402D5-3100-439C-B594-573F1969794F}"/>
    <cellStyle name="Normal 3 2 3 2 9" xfId="3788" xr:uid="{CBD45587-F39E-4BE0-820A-D7AE9A295747}"/>
    <cellStyle name="Normal 3 2 3 3" xfId="2889" xr:uid="{4F6148E4-AF14-434E-8B11-1532018A0CE5}"/>
    <cellStyle name="Normal 3 2 3 3 10" xfId="7726" xr:uid="{02D3E0C4-DFB7-4AEA-BEA9-D6BF09D203F5}"/>
    <cellStyle name="Normal 3 2 3 3 2" xfId="2990" xr:uid="{81BA056D-8D84-4131-B030-7009F8A713E3}"/>
    <cellStyle name="Normal 3 2 3 3 2 2" xfId="3659" xr:uid="{930BD4F0-C881-4A49-9220-B9792DBB7318}"/>
    <cellStyle name="Normal 3 2 3 3 2 2 2" xfId="4130" xr:uid="{A03363A8-1A16-4E22-8756-CE837F5872B2}"/>
    <cellStyle name="Normal 3 2 3 3 2 2 3" xfId="5435" xr:uid="{3D769D8C-5B7F-4FB5-9228-6EBE6EF8E51D}"/>
    <cellStyle name="Normal 3 2 3 3 2 2 4" xfId="6737" xr:uid="{11BD8C99-57EE-4571-A4FD-3C03E649C689}"/>
    <cellStyle name="Normal 3 2 3 3 2 2 5" xfId="8040" xr:uid="{EEBA2616-7C37-473D-B898-496A23253ED9}"/>
    <cellStyle name="Normal 3 2 3 3 2 3" xfId="4366" xr:uid="{A2063E1D-E9B0-41FB-84C2-C94310E04846}"/>
    <cellStyle name="Normal 3 2 3 3 2 3 2" xfId="5671" xr:uid="{BD9F7A52-2A5A-446C-A62A-0434AD4B650F}"/>
    <cellStyle name="Normal 3 2 3 3 2 3 3" xfId="6973" xr:uid="{17450B13-D5B4-4AE0-BB86-922AC702FB8E}"/>
    <cellStyle name="Normal 3 2 3 3 2 4" xfId="4646" xr:uid="{6BF16E87-9416-4E86-9AB7-ACA8FEB6A0D1}"/>
    <cellStyle name="Normal 3 2 3 3 2 4 2" xfId="5948" xr:uid="{E83F9017-AED5-4A75-AFDA-079A4AADB241}"/>
    <cellStyle name="Normal 3 2 3 3 2 4 3" xfId="7251" xr:uid="{F05E31FC-F9A3-44AA-8242-A7888AFA50AD}"/>
    <cellStyle name="Normal 3 2 3 3 2 5" xfId="4923" xr:uid="{F2CFC717-8B34-4A78-9E95-902AF0D5CB02}"/>
    <cellStyle name="Normal 3 2 3 3 2 5 2" xfId="6225" xr:uid="{D7FF32C9-5704-4D3A-9F65-B9588E47654E}"/>
    <cellStyle name="Normal 3 2 3 3 2 5 3" xfId="7528" xr:uid="{ADED24A6-6819-453B-84B6-F76B9D0D5241}"/>
    <cellStyle name="Normal 3 2 3 3 2 6" xfId="3901" xr:uid="{8BA52126-A294-4F04-AF97-EB7284E14D69}"/>
    <cellStyle name="Normal 3 2 3 3 2 7" xfId="5206" xr:uid="{104B504D-C200-49F5-8ACA-50243120D5F4}"/>
    <cellStyle name="Normal 3 2 3 3 2 8" xfId="6508" xr:uid="{CC5B5F20-52A1-4877-8A88-60D6CD7868CA}"/>
    <cellStyle name="Normal 3 2 3 3 2 9" xfId="7811" xr:uid="{642B4194-99D8-40E9-A134-28E6F9C700EA}"/>
    <cellStyle name="Normal 3 2 3 3 3" xfId="3558" xr:uid="{3BE8AF4C-F0B1-406D-A3AC-34892377E476}"/>
    <cellStyle name="Normal 3 2 3 3 3 2" xfId="4045" xr:uid="{0C7BA189-83B6-4DF4-92F6-8276CF473B7F}"/>
    <cellStyle name="Normal 3 2 3 3 3 3" xfId="5350" xr:uid="{95503E02-D722-4CC1-8D5D-6FCF7D26EAB3}"/>
    <cellStyle name="Normal 3 2 3 3 3 4" xfId="6652" xr:uid="{BC74B975-C859-4922-9EC6-C3AA998C2AED}"/>
    <cellStyle name="Normal 3 2 3 3 3 5" xfId="7955" xr:uid="{D7F2C5B3-76D6-4CDC-A9A9-AFEC3A55A9A4}"/>
    <cellStyle name="Normal 3 2 3 3 4" xfId="4281" xr:uid="{039859D9-A8A1-43AA-80F3-6D16253CEEE7}"/>
    <cellStyle name="Normal 3 2 3 3 4 2" xfId="5586" xr:uid="{AF7793FD-61D2-4423-9730-D71EB34D1AB7}"/>
    <cellStyle name="Normal 3 2 3 3 4 3" xfId="6888" xr:uid="{5174720F-6E2E-4B0B-A644-74CBE1A3EE07}"/>
    <cellStyle name="Normal 3 2 3 3 5" xfId="4561" xr:uid="{67D988CA-501D-4C06-99CA-054EED3AF492}"/>
    <cellStyle name="Normal 3 2 3 3 5 2" xfId="5863" xr:uid="{42530F85-7B61-4562-8DC4-85F2A334303C}"/>
    <cellStyle name="Normal 3 2 3 3 5 3" xfId="7166" xr:uid="{4EB01AEA-4516-4FFE-BF9B-DB8763C5A3CE}"/>
    <cellStyle name="Normal 3 2 3 3 6" xfId="4838" xr:uid="{D6EF199A-8B1D-4D1D-A9C6-C9ABD0DA75BC}"/>
    <cellStyle name="Normal 3 2 3 3 6 2" xfId="6140" xr:uid="{32256FFF-DF7B-42BF-8FE9-19ACFAD7AC62}"/>
    <cellStyle name="Normal 3 2 3 3 6 3" xfId="7443" xr:uid="{A49BD20D-1A35-44AC-8833-3F06094C7297}"/>
    <cellStyle name="Normal 3 2 3 3 7" xfId="3816" xr:uid="{DF0B297F-71E2-43CD-83D8-0E7B2D026E56}"/>
    <cellStyle name="Normal 3 2 3 3 8" xfId="5121" xr:uid="{10FE9BE0-45EB-4866-9E74-33909AF9A8CE}"/>
    <cellStyle name="Normal 3 2 3 3 9" xfId="6423" xr:uid="{0A53DA32-954F-4309-B80E-7FC8D8CDE7A5}"/>
    <cellStyle name="Normal 3 2 3 4" xfId="3433" xr:uid="{3574DC78-43D8-4F4C-B987-9DF72AD96737}"/>
    <cellStyle name="Normal 3 2 3 4 2" xfId="3699" xr:uid="{75F26E6B-3602-403D-A829-0FB94AA11660}"/>
    <cellStyle name="Normal 3 2 3 4 2 2" xfId="4170" xr:uid="{D4119EF3-DF39-4789-9B32-B27D9E4C8BE1}"/>
    <cellStyle name="Normal 3 2 3 4 2 3" xfId="5475" xr:uid="{FF68F920-AC9E-451F-9976-8F3EB729C35B}"/>
    <cellStyle name="Normal 3 2 3 4 2 4" xfId="6777" xr:uid="{F82CE559-736C-479B-A93B-2B6254B18E2A}"/>
    <cellStyle name="Normal 3 2 3 4 2 5" xfId="8080" xr:uid="{EA6F1F16-8D7F-4B4F-BDF4-1A33B5370D23}"/>
    <cellStyle name="Normal 3 2 3 4 3" xfId="4406" xr:uid="{07CC27C6-14E2-4DB6-9971-5872DB6916D7}"/>
    <cellStyle name="Normal 3 2 3 4 3 2" xfId="5711" xr:uid="{7F198593-B10E-476F-B5CA-BDFFCD13E7A9}"/>
    <cellStyle name="Normal 3 2 3 4 3 3" xfId="7013" xr:uid="{4C3CA19D-5C1A-4E28-BB01-A3D3C5CC2CB1}"/>
    <cellStyle name="Normal 3 2 3 4 4" xfId="4686" xr:uid="{5EC5D0D0-4B5D-41FA-8387-C00B5A85B526}"/>
    <cellStyle name="Normal 3 2 3 4 4 2" xfId="5988" xr:uid="{1FD71ED7-55B6-4F9A-9273-94AB699E1AB1}"/>
    <cellStyle name="Normal 3 2 3 4 4 3" xfId="7291" xr:uid="{B1931909-1418-4258-B6EA-FCEBA9E83246}"/>
    <cellStyle name="Normal 3 2 3 4 5" xfId="4963" xr:uid="{229838B6-CCEB-4BC4-9686-5E0BE42CEB15}"/>
    <cellStyle name="Normal 3 2 3 4 5 2" xfId="6265" xr:uid="{6A3F8F72-8F38-49B9-8581-980007D13B5E}"/>
    <cellStyle name="Normal 3 2 3 4 5 3" xfId="7568" xr:uid="{E1B03874-F45A-4F37-A0EB-97ECE55ECDCE}"/>
    <cellStyle name="Normal 3 2 3 4 6" xfId="3941" xr:uid="{1F5CC839-4E61-4BE6-8972-0CE36BA0DB54}"/>
    <cellStyle name="Normal 3 2 3 4 7" xfId="5246" xr:uid="{0359BC4E-D913-4486-BB79-8575BBC55688}"/>
    <cellStyle name="Normal 3 2 3 4 8" xfId="6548" xr:uid="{1825F277-F700-4C58-8026-574976B169C1}"/>
    <cellStyle name="Normal 3 2 3 4 9" xfId="7851" xr:uid="{8BE17180-978C-4080-9644-99AD4C2FA55C}"/>
    <cellStyle name="Normal 3 2 3 5" xfId="2934" xr:uid="{BB4426AC-2E73-406E-B9D3-F75990E4C9B8}"/>
    <cellStyle name="Normal 3 2 3 5 2" xfId="3603" xr:uid="{0C0905AB-CCFE-4156-99F4-D614F937B5BF}"/>
    <cellStyle name="Normal 3 2 3 5 2 2" xfId="4090" xr:uid="{511CC0C1-E122-4DAB-BA92-E9A5B7616B3A}"/>
    <cellStyle name="Normal 3 2 3 5 2 3" xfId="5395" xr:uid="{B1F0064E-4C69-48FB-AF90-0693F3BA5AB8}"/>
    <cellStyle name="Normal 3 2 3 5 2 4" xfId="6697" xr:uid="{A1FFEF59-DD8F-44C1-AF6B-A5E24A52C45A}"/>
    <cellStyle name="Normal 3 2 3 5 2 5" xfId="8000" xr:uid="{7FBE4997-D92D-456A-82AF-6BDF9A035A2C}"/>
    <cellStyle name="Normal 3 2 3 5 3" xfId="4326" xr:uid="{B10623C0-930B-44E2-9E14-179E713FA26A}"/>
    <cellStyle name="Normal 3 2 3 5 3 2" xfId="5631" xr:uid="{68F00C9C-DC3B-4562-B026-7D762B126D6A}"/>
    <cellStyle name="Normal 3 2 3 5 3 3" xfId="6933" xr:uid="{42DAC1AA-10C9-40D3-93E0-6A24973D9870}"/>
    <cellStyle name="Normal 3 2 3 5 4" xfId="4606" xr:uid="{7894FF8C-C357-4F22-B328-2ED760290134}"/>
    <cellStyle name="Normal 3 2 3 5 4 2" xfId="5908" xr:uid="{FC5BB5C6-376E-4C80-B236-11573A02D840}"/>
    <cellStyle name="Normal 3 2 3 5 4 3" xfId="7211" xr:uid="{712AB091-548F-421F-903D-D70BD0A052FF}"/>
    <cellStyle name="Normal 3 2 3 5 5" xfId="4883" xr:uid="{BC61EB13-400B-4A10-BEF0-A6DC08236DD0}"/>
    <cellStyle name="Normal 3 2 3 5 5 2" xfId="6185" xr:uid="{09B25EBF-45FA-4C2F-AF6A-FA7D0CD9645B}"/>
    <cellStyle name="Normal 3 2 3 5 5 3" xfId="7488" xr:uid="{316967E5-C4D5-444C-ABDD-C2508F8BCDB5}"/>
    <cellStyle name="Normal 3 2 3 5 6" xfId="3861" xr:uid="{A6B55DA7-FA2E-41EB-AFF2-743F8A57714C}"/>
    <cellStyle name="Normal 3 2 3 5 7" xfId="5166" xr:uid="{CD2CEC76-CBEC-4D8A-875B-BDEF6DA2AB77}"/>
    <cellStyle name="Normal 3 2 3 5 8" xfId="6468" xr:uid="{42B39CDB-2E18-41EA-8C27-47D778E23DC6}"/>
    <cellStyle name="Normal 3 2 3 5 9" xfId="7771" xr:uid="{56557862-532B-4AEB-8242-16AB51676D7A}"/>
    <cellStyle name="Normal 3 2 3 6" xfId="3513" xr:uid="{0FA0B881-11DB-45DF-9804-648C3EFF6988}"/>
    <cellStyle name="Normal 3 2 3 6 2" xfId="4462" xr:uid="{6C104C1C-9324-4DFA-BDAD-AF38E9165340}"/>
    <cellStyle name="Normal 3 2 3 6 2 2" xfId="5765" xr:uid="{B36F9231-791F-43BA-B64F-A31FB350BB51}"/>
    <cellStyle name="Normal 3 2 3 6 2 3" xfId="7068" xr:uid="{F5564ADF-C72C-4384-BF7B-B17AB7D4B5A1}"/>
    <cellStyle name="Normal 3 2 3 6 3" xfId="4740" xr:uid="{EDC4FCF2-6157-473F-9E51-580D58F450EE}"/>
    <cellStyle name="Normal 3 2 3 6 3 2" xfId="6042" xr:uid="{20EC26E3-1436-400F-8CAC-0F910EB07853}"/>
    <cellStyle name="Normal 3 2 3 6 3 3" xfId="7345" xr:uid="{D89253C7-F136-4B7D-ABC2-13B471D5B84E}"/>
    <cellStyle name="Normal 3 2 3 6 4" xfId="5017" xr:uid="{D4C57C5A-03FE-409A-9BF7-8B22D828C98D}"/>
    <cellStyle name="Normal 3 2 3 6 4 2" xfId="6319" xr:uid="{EB083B52-0D8B-4CB7-ABE7-3DC806DF2D87}"/>
    <cellStyle name="Normal 3 2 3 6 4 3" xfId="7622" xr:uid="{98161D96-7CB7-4BC1-8425-A1E67FCEB899}"/>
    <cellStyle name="Normal 3 2 3 6 5" xfId="4000" xr:uid="{F59444D8-13DF-47E2-8586-5EE341B53E1F}"/>
    <cellStyle name="Normal 3 2 3 6 6" xfId="5305" xr:uid="{93D7FCBD-CEC8-4700-8EA8-8BDA50486BC9}"/>
    <cellStyle name="Normal 3 2 3 6 7" xfId="6607" xr:uid="{D93C6CD2-24B9-42DC-AEB6-F74FFC8C3339}"/>
    <cellStyle name="Normal 3 2 3 6 8" xfId="7910" xr:uid="{970BA665-FD5E-4584-ABB2-AD192E881D01}"/>
    <cellStyle name="Normal 3 2 3 7" xfId="4236" xr:uid="{610C5724-8EA4-4E8B-8C4A-EA3CCA8A5315}"/>
    <cellStyle name="Normal 3 2 3 7 2" xfId="5541" xr:uid="{2B8EFF44-CC1D-4FCE-B42B-9379E544BF78}"/>
    <cellStyle name="Normal 3 2 3 7 3" xfId="6843" xr:uid="{85C09E42-EE9C-4F84-A36F-684BF2EC93D5}"/>
    <cellStyle name="Normal 3 2 3 8" xfId="4516" xr:uid="{111BFF0D-CBB7-4B9E-96E4-B649B9ED84BD}"/>
    <cellStyle name="Normal 3 2 3 8 2" xfId="5818" xr:uid="{8BF65320-B339-4978-926B-1B86FA42ADEC}"/>
    <cellStyle name="Normal 3 2 3 8 3" xfId="7121" xr:uid="{F6F5D2F9-8B80-40B1-9160-7AF5B836907D}"/>
    <cellStyle name="Normal 3 2 3 9" xfId="4793" xr:uid="{039A74FC-04D0-440A-9B9C-205351A38D1E}"/>
    <cellStyle name="Normal 3 2 3 9 2" xfId="6095" xr:uid="{22C67387-E157-4A50-BA65-1A6F890315F1}"/>
    <cellStyle name="Normal 3 2 3 9 3" xfId="7398" xr:uid="{23C5DD7E-D07E-4A46-B6AA-977EAD812922}"/>
    <cellStyle name="Normal 3 2 4" xfId="41" xr:uid="{B0F1650B-CAE7-48BA-A01B-C716A114CB49}"/>
    <cellStyle name="Normal 3 2 4 10" xfId="3765" xr:uid="{E7938B49-72C6-4619-AD13-D6AB7B6FCF46}"/>
    <cellStyle name="Normal 3 2 4 11" xfId="5070" xr:uid="{EECD7E01-B540-4837-9C71-0A1ABD72E092}"/>
    <cellStyle name="Normal 3 2 4 12" xfId="6372" xr:uid="{841A311B-44F2-44A3-98A7-EA0E166FC892}"/>
    <cellStyle name="Normal 3 2 4 13" xfId="7675" xr:uid="{003D079F-B8BA-4760-B101-1AF522737394}"/>
    <cellStyle name="Normal 3 2 4 2" xfId="2853" xr:uid="{EEA67E37-8E72-4C6C-BC4A-1537DBDCAFF9}"/>
    <cellStyle name="Normal 3 2 4 2 10" xfId="5087" xr:uid="{701D8DFD-54A2-4577-BA9E-9B18C112B4B9}"/>
    <cellStyle name="Normal 3 2 4 2 11" xfId="6389" xr:uid="{77A6E075-8706-41BC-B9AC-9B23D46944FF}"/>
    <cellStyle name="Normal 3 2 4 2 12" xfId="7692" xr:uid="{2462E875-29A6-4844-9FCB-A1A3900A1797}"/>
    <cellStyle name="Normal 3 2 4 2 2" xfId="2900" xr:uid="{45339F28-577E-4D2B-9525-D9547FE3AD7B}"/>
    <cellStyle name="Normal 3 2 4 2 2 10" xfId="7737" xr:uid="{A0E1209D-E3E1-4DAC-A473-CE7F6D8B9E97}"/>
    <cellStyle name="Normal 3 2 4 2 2 2" xfId="3001" xr:uid="{C5090FF9-92C8-4ADE-A32C-D7507A138C74}"/>
    <cellStyle name="Normal 3 2 4 2 2 2 2" xfId="3670" xr:uid="{5D4CFE49-A77E-4DFE-9058-A80711C2F8E3}"/>
    <cellStyle name="Normal 3 2 4 2 2 2 2 2" xfId="4141" xr:uid="{C897C227-3D23-496E-8BED-952D100D514B}"/>
    <cellStyle name="Normal 3 2 4 2 2 2 2 3" xfId="5446" xr:uid="{BE5D5260-0D36-48F0-86B9-4D78D4286F01}"/>
    <cellStyle name="Normal 3 2 4 2 2 2 2 4" xfId="6748" xr:uid="{A827101B-56E0-4D9F-8D66-79AE510C1539}"/>
    <cellStyle name="Normal 3 2 4 2 2 2 2 5" xfId="8051" xr:uid="{FC75FE5C-07BC-4C4B-92F1-4B1E0B87FA99}"/>
    <cellStyle name="Normal 3 2 4 2 2 2 3" xfId="4377" xr:uid="{CE91DD15-90F1-40E6-9B70-A651E8DB5C01}"/>
    <cellStyle name="Normal 3 2 4 2 2 2 3 2" xfId="5682" xr:uid="{CD523766-1BD9-407D-99A2-88CAB7A845D9}"/>
    <cellStyle name="Normal 3 2 4 2 2 2 3 3" xfId="6984" xr:uid="{3A1F7CAF-2714-415E-83F5-11864C2A6380}"/>
    <cellStyle name="Normal 3 2 4 2 2 2 4" xfId="4657" xr:uid="{63CC7124-FC7D-4E8D-9BF1-6934AA98EE8A}"/>
    <cellStyle name="Normal 3 2 4 2 2 2 4 2" xfId="5959" xr:uid="{43F24476-99F4-4369-BAE2-BEA8037F64CA}"/>
    <cellStyle name="Normal 3 2 4 2 2 2 4 3" xfId="7262" xr:uid="{813AAF88-F0EE-4A86-9E15-E66C9036BB16}"/>
    <cellStyle name="Normal 3 2 4 2 2 2 5" xfId="4934" xr:uid="{5A58FB48-D70D-4F35-BBE1-0B3BE7725450}"/>
    <cellStyle name="Normal 3 2 4 2 2 2 5 2" xfId="6236" xr:uid="{F2BFE26A-2A4B-4AD1-B26E-AF4AF0059B91}"/>
    <cellStyle name="Normal 3 2 4 2 2 2 5 3" xfId="7539" xr:uid="{60007924-84C0-4E04-96D6-137192566638}"/>
    <cellStyle name="Normal 3 2 4 2 2 2 6" xfId="3912" xr:uid="{17CE2ADE-AA40-4925-815B-D98B9F72FDE9}"/>
    <cellStyle name="Normal 3 2 4 2 2 2 7" xfId="5217" xr:uid="{D8310021-AB1C-4A4F-8394-E7402043C6F9}"/>
    <cellStyle name="Normal 3 2 4 2 2 2 8" xfId="6519" xr:uid="{C9D3FE5C-61EC-4138-B04A-92F900BE0C61}"/>
    <cellStyle name="Normal 3 2 4 2 2 2 9" xfId="7822" xr:uid="{3BCAD30B-07A6-4D15-A182-A68D94784191}"/>
    <cellStyle name="Normal 3 2 4 2 2 3" xfId="3569" xr:uid="{8BBD2548-1249-420D-BEA5-8369882A6348}"/>
    <cellStyle name="Normal 3 2 4 2 2 3 2" xfId="4056" xr:uid="{D4FF2585-6188-4473-8861-ED66558560CF}"/>
    <cellStyle name="Normal 3 2 4 2 2 3 3" xfId="5361" xr:uid="{C8B36E4A-BBFC-4B6A-90A2-FA737E4C5F8A}"/>
    <cellStyle name="Normal 3 2 4 2 2 3 4" xfId="6663" xr:uid="{5FA57944-E7A7-4F10-B1AF-793E6385D2A2}"/>
    <cellStyle name="Normal 3 2 4 2 2 3 5" xfId="7966" xr:uid="{13D78D6F-EFA4-42AE-8EA2-54C497018F65}"/>
    <cellStyle name="Normal 3 2 4 2 2 4" xfId="4292" xr:uid="{D155174E-B921-43CA-A895-6CE90DB65599}"/>
    <cellStyle name="Normal 3 2 4 2 2 4 2" xfId="5597" xr:uid="{5AB6B561-A333-4209-80EA-D8E47A17251B}"/>
    <cellStyle name="Normal 3 2 4 2 2 4 3" xfId="6899" xr:uid="{1D5DC49C-BF0F-4867-9BAE-D2C0131CF26F}"/>
    <cellStyle name="Normal 3 2 4 2 2 5" xfId="4572" xr:uid="{A34598B2-8731-4114-90C7-D5726F1C056A}"/>
    <cellStyle name="Normal 3 2 4 2 2 5 2" xfId="5874" xr:uid="{8B808353-A4E9-4436-A577-E1F849F771C5}"/>
    <cellStyle name="Normal 3 2 4 2 2 5 3" xfId="7177" xr:uid="{FAC6ABAA-1E2D-486D-B3F6-918C1F31B9E8}"/>
    <cellStyle name="Normal 3 2 4 2 2 6" xfId="4849" xr:uid="{539C7C0D-E474-4618-864C-864AA87FB32F}"/>
    <cellStyle name="Normal 3 2 4 2 2 6 2" xfId="6151" xr:uid="{EEF0E9BF-2052-4708-A762-05384A2F072A}"/>
    <cellStyle name="Normal 3 2 4 2 2 6 3" xfId="7454" xr:uid="{83BBAFFA-29B3-4321-AF06-8D4BF9B372BE}"/>
    <cellStyle name="Normal 3 2 4 2 2 7" xfId="3827" xr:uid="{58761887-4C10-4837-87F1-E2E3F58181BA}"/>
    <cellStyle name="Normal 3 2 4 2 2 8" xfId="5132" xr:uid="{DA8B28DF-348D-4E49-A0FF-74AB2BA7E73E}"/>
    <cellStyle name="Normal 3 2 4 2 2 9" xfId="6434" xr:uid="{43327A23-4956-4B7B-A2C8-C1DB55A9346B}"/>
    <cellStyle name="Normal 3 2 4 2 3" xfId="3445" xr:uid="{544EA63F-37BF-4A41-BD5A-CB44364A216D}"/>
    <cellStyle name="Normal 3 2 4 2 3 2" xfId="3710" xr:uid="{C137A5B7-D39E-444F-97E0-26F86D67BFFE}"/>
    <cellStyle name="Normal 3 2 4 2 3 2 2" xfId="4181" xr:uid="{09A6FB1D-AC70-432D-9584-BA3C3063DB1C}"/>
    <cellStyle name="Normal 3 2 4 2 3 2 3" xfId="5486" xr:uid="{6FBB66E1-AB08-46A2-B6C5-E1F908A5A46D}"/>
    <cellStyle name="Normal 3 2 4 2 3 2 4" xfId="6788" xr:uid="{76310A9E-7AB9-4E00-93C5-371A4F702CB4}"/>
    <cellStyle name="Normal 3 2 4 2 3 2 5" xfId="8091" xr:uid="{FBB3DDBA-5192-4DDF-B207-70FAE01311B2}"/>
    <cellStyle name="Normal 3 2 4 2 3 3" xfId="4417" xr:uid="{BC7B2D7E-7318-4875-9E95-703D3768923D}"/>
    <cellStyle name="Normal 3 2 4 2 3 3 2" xfId="5722" xr:uid="{1EB60B10-48A3-425F-8841-AD1D5CCD41D8}"/>
    <cellStyle name="Normal 3 2 4 2 3 3 3" xfId="7024" xr:uid="{239D69CE-F7B6-4F18-BBA4-80BCFF69F5B6}"/>
    <cellStyle name="Normal 3 2 4 2 3 4" xfId="4697" xr:uid="{1C80F916-A7C4-4CA5-853F-49BD4317D47E}"/>
    <cellStyle name="Normal 3 2 4 2 3 4 2" xfId="5999" xr:uid="{885A604F-7928-424F-B47B-FEEF02C57D9A}"/>
    <cellStyle name="Normal 3 2 4 2 3 4 3" xfId="7302" xr:uid="{A1EB7B5E-62E1-437A-A497-87A8872D9549}"/>
    <cellStyle name="Normal 3 2 4 2 3 5" xfId="4974" xr:uid="{40F479BA-A154-4D57-B3E9-0E258792CBBE}"/>
    <cellStyle name="Normal 3 2 4 2 3 5 2" xfId="6276" xr:uid="{11F2F136-A0C3-481C-AA55-B8FF7880D5AF}"/>
    <cellStyle name="Normal 3 2 4 2 3 5 3" xfId="7579" xr:uid="{E4418842-4D42-4DC2-85F1-6F06EF4C0239}"/>
    <cellStyle name="Normal 3 2 4 2 3 6" xfId="3952" xr:uid="{E775CD99-A28D-43BD-BEF8-1E307887D887}"/>
    <cellStyle name="Normal 3 2 4 2 3 7" xfId="5257" xr:uid="{3743968C-F6B0-403F-ACF3-5C2AF13D8E32}"/>
    <cellStyle name="Normal 3 2 4 2 3 8" xfId="6559" xr:uid="{6381B92B-C23C-41E9-B025-43B05A2556AA}"/>
    <cellStyle name="Normal 3 2 4 2 3 9" xfId="7862" xr:uid="{F0102AB8-9633-4A85-8753-530771B4E4BA}"/>
    <cellStyle name="Normal 3 2 4 2 4" xfId="2945" xr:uid="{AC6DAD2F-D880-477C-8BA0-CD49D5412566}"/>
    <cellStyle name="Normal 3 2 4 2 4 2" xfId="3614" xr:uid="{992F29CC-FBCE-4791-A790-AC0DA26DF4BE}"/>
    <cellStyle name="Normal 3 2 4 2 4 2 2" xfId="4101" xr:uid="{AF32D2E8-D3EA-4E26-AF79-89770D2E8FC2}"/>
    <cellStyle name="Normal 3 2 4 2 4 2 3" xfId="5406" xr:uid="{53D85894-2E62-4457-873D-FAC60FE4D9BF}"/>
    <cellStyle name="Normal 3 2 4 2 4 2 4" xfId="6708" xr:uid="{5DC11CE5-6394-44E1-82B4-CF69E0C26888}"/>
    <cellStyle name="Normal 3 2 4 2 4 2 5" xfId="8011" xr:uid="{56CA4314-FC66-4469-93C4-FDAFF50C8C23}"/>
    <cellStyle name="Normal 3 2 4 2 4 3" xfId="4337" xr:uid="{05B8EC2C-08C7-462C-AA8C-4D448228D63E}"/>
    <cellStyle name="Normal 3 2 4 2 4 3 2" xfId="5642" xr:uid="{10D42F7D-BE26-4C91-BD49-2A7D205FC453}"/>
    <cellStyle name="Normal 3 2 4 2 4 3 3" xfId="6944" xr:uid="{2E632055-5AD8-42FC-B9DA-72543A20FFD5}"/>
    <cellStyle name="Normal 3 2 4 2 4 4" xfId="4617" xr:uid="{249FCDDB-6166-4E21-8480-D47BEE3E2BF5}"/>
    <cellStyle name="Normal 3 2 4 2 4 4 2" xfId="5919" xr:uid="{BB59A861-7474-432B-A823-C4F91FC6BB34}"/>
    <cellStyle name="Normal 3 2 4 2 4 4 3" xfId="7222" xr:uid="{25958B83-612B-450E-9940-B8399AF41ACA}"/>
    <cellStyle name="Normal 3 2 4 2 4 5" xfId="4894" xr:uid="{F0E994E4-9F72-4FD2-BD4C-1DCCA32E5891}"/>
    <cellStyle name="Normal 3 2 4 2 4 5 2" xfId="6196" xr:uid="{7BA44EEE-5757-4A91-B437-2BE4B9EE6CC9}"/>
    <cellStyle name="Normal 3 2 4 2 4 5 3" xfId="7499" xr:uid="{71959209-B1DA-4A3E-AE5E-4DAE0852312A}"/>
    <cellStyle name="Normal 3 2 4 2 4 6" xfId="3872" xr:uid="{727426A3-A720-4639-8AFE-61762ADAC264}"/>
    <cellStyle name="Normal 3 2 4 2 4 7" xfId="5177" xr:uid="{927551BF-4619-4339-A11A-5DAA2BC1334D}"/>
    <cellStyle name="Normal 3 2 4 2 4 8" xfId="6479" xr:uid="{5098A4E7-9E4C-4D35-8F20-87350D2460FB}"/>
    <cellStyle name="Normal 3 2 4 2 4 9" xfId="7782" xr:uid="{7014B0F2-FB38-4F53-AFB3-BA1038D36622}"/>
    <cellStyle name="Normal 3 2 4 2 5" xfId="3524" xr:uid="{1E239A57-4609-4E42-A12C-46BC178D6D1E}"/>
    <cellStyle name="Normal 3 2 4 2 5 2" xfId="4473" xr:uid="{AEC1BE14-B216-43B9-B251-0D9B4E6C359F}"/>
    <cellStyle name="Normal 3 2 4 2 5 2 2" xfId="5776" xr:uid="{1522025D-35AC-4030-BB67-616667734134}"/>
    <cellStyle name="Normal 3 2 4 2 5 2 3" xfId="7079" xr:uid="{7974ED35-F452-42CB-8B3B-17C80305A4CD}"/>
    <cellStyle name="Normal 3 2 4 2 5 3" xfId="4751" xr:uid="{BBCA31C7-E5F1-4057-AF75-0A388F47E8B2}"/>
    <cellStyle name="Normal 3 2 4 2 5 3 2" xfId="6053" xr:uid="{4D97D86A-6E5B-4358-AECE-3061A8CE082B}"/>
    <cellStyle name="Normal 3 2 4 2 5 3 3" xfId="7356" xr:uid="{A60F2BB7-0F5B-43A8-A94A-BED862D108D5}"/>
    <cellStyle name="Normal 3 2 4 2 5 4" xfId="5028" xr:uid="{DBE72150-D243-43FD-B34A-8CF90E1B339A}"/>
    <cellStyle name="Normal 3 2 4 2 5 4 2" xfId="6330" xr:uid="{F473A982-6AC8-4C94-98EB-8AFF4F1CF657}"/>
    <cellStyle name="Normal 3 2 4 2 5 4 3" xfId="7633" xr:uid="{0509882A-C2EA-4F13-9E78-92938D0D5B0B}"/>
    <cellStyle name="Normal 3 2 4 2 5 5" xfId="4011" xr:uid="{5C13CAF4-7E13-49B5-8F00-745E4F297048}"/>
    <cellStyle name="Normal 3 2 4 2 5 6" xfId="5316" xr:uid="{156371DA-6765-4A79-93B1-DE403EDD6D18}"/>
    <cellStyle name="Normal 3 2 4 2 5 7" xfId="6618" xr:uid="{29CD6E6B-9E3B-4D3B-A7AE-7A9FD49FBB6E}"/>
    <cellStyle name="Normal 3 2 4 2 5 8" xfId="7921" xr:uid="{65305429-678E-457C-BC7D-23C35537FAA2}"/>
    <cellStyle name="Normal 3 2 4 2 6" xfId="4247" xr:uid="{83023C85-66D3-4277-BCE1-4553418D08E3}"/>
    <cellStyle name="Normal 3 2 4 2 6 2" xfId="5552" xr:uid="{D9739FA4-E7C3-4EAE-9A78-D9FE40FB032C}"/>
    <cellStyle name="Normal 3 2 4 2 6 3" xfId="6854" xr:uid="{F8843795-28AD-4F78-917C-5659CD1A2CC3}"/>
    <cellStyle name="Normal 3 2 4 2 7" xfId="4527" xr:uid="{14C5D42E-B3C0-444F-B1FD-114A8711997D}"/>
    <cellStyle name="Normal 3 2 4 2 7 2" xfId="5829" xr:uid="{93D5234E-5EA1-4C1D-98F7-1A91DB98D91A}"/>
    <cellStyle name="Normal 3 2 4 2 7 3" xfId="7132" xr:uid="{171AD97C-3430-4CBA-B720-16AB754CAC14}"/>
    <cellStyle name="Normal 3 2 4 2 8" xfId="4804" xr:uid="{8B18549B-A5D3-4A57-B019-555ADB4E52DB}"/>
    <cellStyle name="Normal 3 2 4 2 8 2" xfId="6106" xr:uid="{BAA234FF-94CE-4A30-81D3-A1A2271D23CD}"/>
    <cellStyle name="Normal 3 2 4 2 8 3" xfId="7409" xr:uid="{B061771E-DF52-479E-A619-BF35B5BFB584}"/>
    <cellStyle name="Normal 3 2 4 2 9" xfId="3782" xr:uid="{D33D209C-D9D1-4F81-8A6F-1F2E09379EE7}"/>
    <cellStyle name="Normal 3 2 4 3" xfId="2883" xr:uid="{C3613C5B-D786-427C-B914-F90D2E6A82ED}"/>
    <cellStyle name="Normal 3 2 4 3 10" xfId="7720" xr:uid="{07F6DF25-C75E-4F66-9468-B3CBDFA96075}"/>
    <cellStyle name="Normal 3 2 4 3 2" xfId="2968" xr:uid="{9325A9A2-D9ED-49F9-AB5F-54D40E2FE84E}"/>
    <cellStyle name="Normal 3 2 4 3 2 2" xfId="3637" xr:uid="{E3B4ACCA-1A2F-4F58-A34C-2A8CF90E4D03}"/>
    <cellStyle name="Normal 3 2 4 3 2 2 2" xfId="4124" xr:uid="{36DA6E24-469C-469D-9C12-EACE19B0AC71}"/>
    <cellStyle name="Normal 3 2 4 3 2 2 3" xfId="5429" xr:uid="{309A3CAA-B8A1-4B72-B8F7-02DBE4DB7F5C}"/>
    <cellStyle name="Normal 3 2 4 3 2 2 4" xfId="6731" xr:uid="{DE367805-1929-4312-9D40-AF93E49ADEF9}"/>
    <cellStyle name="Normal 3 2 4 3 2 2 5" xfId="8034" xr:uid="{52C7232D-8B8A-46EA-9D01-34FA42A636B9}"/>
    <cellStyle name="Normal 3 2 4 3 2 3" xfId="4360" xr:uid="{5A7EE939-9E67-4CB6-9FA2-49FA012D336B}"/>
    <cellStyle name="Normal 3 2 4 3 2 3 2" xfId="5665" xr:uid="{8E808C3B-250C-4F4B-BA28-5C1BAA1D42D3}"/>
    <cellStyle name="Normal 3 2 4 3 2 3 3" xfId="6967" xr:uid="{B2817EF9-7411-4394-B5B9-51678241C82A}"/>
    <cellStyle name="Normal 3 2 4 3 2 4" xfId="4640" xr:uid="{8EB1A006-647B-4DBB-8953-A7CEFA65DCC9}"/>
    <cellStyle name="Normal 3 2 4 3 2 4 2" xfId="5942" xr:uid="{02EB1BD0-AC50-40F7-92DC-A3775183B7D6}"/>
    <cellStyle name="Normal 3 2 4 3 2 4 3" xfId="7245" xr:uid="{C95F789C-92E2-4F83-8143-AAD3C2758E3E}"/>
    <cellStyle name="Normal 3 2 4 3 2 5" xfId="4917" xr:uid="{99712E1F-796F-482B-9E64-B6AEA1ABC9A0}"/>
    <cellStyle name="Normal 3 2 4 3 2 5 2" xfId="6219" xr:uid="{118039D5-F6CF-48C1-9755-B5CE77DB8078}"/>
    <cellStyle name="Normal 3 2 4 3 2 5 3" xfId="7522" xr:uid="{EBF028FB-94CF-466F-AAEB-44C105ECE1A9}"/>
    <cellStyle name="Normal 3 2 4 3 2 6" xfId="3895" xr:uid="{B583C9F8-D755-454E-9DA7-05B5DF635182}"/>
    <cellStyle name="Normal 3 2 4 3 2 7" xfId="5200" xr:uid="{CFF2CAFE-6534-41AE-8775-D645B782FEA4}"/>
    <cellStyle name="Normal 3 2 4 3 2 8" xfId="6502" xr:uid="{78128D90-A645-4FF4-9AB6-37476D51B8E3}"/>
    <cellStyle name="Normal 3 2 4 3 2 9" xfId="7805" xr:uid="{63925F09-0567-4ACE-8B22-4922A2F0A518}"/>
    <cellStyle name="Normal 3 2 4 3 3" xfId="3552" xr:uid="{4518D5D8-80B0-4F9A-8BB6-A00B900DF044}"/>
    <cellStyle name="Normal 3 2 4 3 3 2" xfId="4039" xr:uid="{0C93CA0F-3BB2-4931-BE0B-A43D6D91DA1B}"/>
    <cellStyle name="Normal 3 2 4 3 3 3" xfId="5344" xr:uid="{9429753E-636E-45B5-B18A-92DBEE425DE0}"/>
    <cellStyle name="Normal 3 2 4 3 3 4" xfId="6646" xr:uid="{2B69AABB-0CD9-4741-AF34-C37B57BDD165}"/>
    <cellStyle name="Normal 3 2 4 3 3 5" xfId="7949" xr:uid="{EC27B02A-C9E7-4F24-B7F9-3E4019DD42AD}"/>
    <cellStyle name="Normal 3 2 4 3 4" xfId="4275" xr:uid="{6A2CF0F4-927C-4D27-9A50-9BDB044C79F3}"/>
    <cellStyle name="Normal 3 2 4 3 4 2" xfId="5580" xr:uid="{A6CB93C6-D94E-4C61-87C5-CBA5E8D905CD}"/>
    <cellStyle name="Normal 3 2 4 3 4 3" xfId="6882" xr:uid="{71F0AC61-F953-4582-9849-E669D380049A}"/>
    <cellStyle name="Normal 3 2 4 3 5" xfId="4555" xr:uid="{97033350-75B4-4B20-AA26-D21B813C3C13}"/>
    <cellStyle name="Normal 3 2 4 3 5 2" xfId="5857" xr:uid="{26426DB7-8477-47BF-98AD-1B9BAE203112}"/>
    <cellStyle name="Normal 3 2 4 3 5 3" xfId="7160" xr:uid="{648F1376-55AF-4AD0-B7AA-A5AE7D09AC27}"/>
    <cellStyle name="Normal 3 2 4 3 6" xfId="4832" xr:uid="{FDF10AE7-F055-40BB-802E-2F91EA2AA373}"/>
    <cellStyle name="Normal 3 2 4 3 6 2" xfId="6134" xr:uid="{B2E30CB6-3494-480E-B7BD-88330625DE98}"/>
    <cellStyle name="Normal 3 2 4 3 6 3" xfId="7437" xr:uid="{4C64D206-37A0-4A01-94E3-9D990AF120E9}"/>
    <cellStyle name="Normal 3 2 4 3 7" xfId="3810" xr:uid="{873B6B91-791F-4130-A871-69E64F08F256}"/>
    <cellStyle name="Normal 3 2 4 3 8" xfId="5115" xr:uid="{34100288-86CB-4702-A5B7-20A315D3FF06}"/>
    <cellStyle name="Normal 3 2 4 3 9" xfId="6417" xr:uid="{89E82789-BAA3-4D7A-B430-CD06078C8B36}"/>
    <cellStyle name="Normal 3 2 4 4" xfId="3028" xr:uid="{BB396068-A15A-46B8-9041-615276FC4E2B}"/>
    <cellStyle name="Normal 3 2 4 4 2" xfId="3693" xr:uid="{EABE2F68-111C-44CF-AABD-6E97882C83D8}"/>
    <cellStyle name="Normal 3 2 4 4 2 2" xfId="4164" xr:uid="{DD721C33-CF07-4F2A-B082-2C546BD11B8F}"/>
    <cellStyle name="Normal 3 2 4 4 2 3" xfId="5469" xr:uid="{2BAAC9CC-630F-44E9-A0C9-3C3D1284ACE6}"/>
    <cellStyle name="Normal 3 2 4 4 2 4" xfId="6771" xr:uid="{896612CF-FB7A-40B3-A482-0191B74C1FA2}"/>
    <cellStyle name="Normal 3 2 4 4 2 5" xfId="8074" xr:uid="{F6007E87-8651-4C5A-8A62-65E1D708F823}"/>
    <cellStyle name="Normal 3 2 4 4 3" xfId="4400" xr:uid="{A147E680-2297-40EA-BDB8-56318267F76A}"/>
    <cellStyle name="Normal 3 2 4 4 3 2" xfId="5705" xr:uid="{FA2E1B2D-0A5E-4BBD-AE72-86F68DBE88DC}"/>
    <cellStyle name="Normal 3 2 4 4 3 3" xfId="7007" xr:uid="{38F9CB7D-501E-4842-BEB1-989F7C63D961}"/>
    <cellStyle name="Normal 3 2 4 4 4" xfId="4680" xr:uid="{D055CEDB-9CD0-48E2-93BF-462787F8AE5C}"/>
    <cellStyle name="Normal 3 2 4 4 4 2" xfId="5982" xr:uid="{D1FC2F69-E845-4B1B-90D9-6C167A444EF6}"/>
    <cellStyle name="Normal 3 2 4 4 4 3" xfId="7285" xr:uid="{2F33B666-ECB3-4220-96BB-1B2FC7D800C5}"/>
    <cellStyle name="Normal 3 2 4 4 5" xfId="4957" xr:uid="{8026AA8D-3995-4A29-8BA6-CC614182BA35}"/>
    <cellStyle name="Normal 3 2 4 4 5 2" xfId="6259" xr:uid="{3CCACEE1-963C-44B5-BF69-2AE1F7F2F8FD}"/>
    <cellStyle name="Normal 3 2 4 4 5 3" xfId="7562" xr:uid="{44CA6341-BE31-4E18-B3B2-FC8A524634F7}"/>
    <cellStyle name="Normal 3 2 4 4 6" xfId="3935" xr:uid="{6F247C56-51B1-4800-903D-568ABBE6225D}"/>
    <cellStyle name="Normal 3 2 4 4 7" xfId="5240" xr:uid="{55A3D7C5-9A66-4D75-9238-7D06561F015D}"/>
    <cellStyle name="Normal 3 2 4 4 8" xfId="6542" xr:uid="{22209746-0C95-4CF4-880B-0128848D91C5}"/>
    <cellStyle name="Normal 3 2 4 4 9" xfId="7845" xr:uid="{0502D1ED-7F5F-408E-9505-EC6C9A6B9AB6}"/>
    <cellStyle name="Normal 3 2 4 5" xfId="2928" xr:uid="{61A635B5-39A7-49EC-A691-372097ABBB87}"/>
    <cellStyle name="Normal 3 2 4 5 2" xfId="3597" xr:uid="{8ADC7C4D-7E2F-4CA6-ABF0-48FE1C21C8CE}"/>
    <cellStyle name="Normal 3 2 4 5 2 2" xfId="4084" xr:uid="{7D24BBA1-7882-408F-939A-8544724EEBEB}"/>
    <cellStyle name="Normal 3 2 4 5 2 3" xfId="5389" xr:uid="{59F7749C-7A0A-49D4-ACC3-D20D8877D6CC}"/>
    <cellStyle name="Normal 3 2 4 5 2 4" xfId="6691" xr:uid="{1EED3D92-C32E-44E5-BF87-6264CA9D7D03}"/>
    <cellStyle name="Normal 3 2 4 5 2 5" xfId="7994" xr:uid="{EF12E57B-690A-47A0-BB8D-F526A1EC3669}"/>
    <cellStyle name="Normal 3 2 4 5 3" xfId="4320" xr:uid="{F5249391-C596-4F7A-9E0D-9D1F2989B42F}"/>
    <cellStyle name="Normal 3 2 4 5 3 2" xfId="5625" xr:uid="{6833F099-5802-49D2-9800-56D30D1AF159}"/>
    <cellStyle name="Normal 3 2 4 5 3 3" xfId="6927" xr:uid="{70D43FE8-C276-4514-BB12-CE330FD0E22F}"/>
    <cellStyle name="Normal 3 2 4 5 4" xfId="4600" xr:uid="{CC8A432F-DB8D-4A90-9161-EAA50BA8EEC4}"/>
    <cellStyle name="Normal 3 2 4 5 4 2" xfId="5902" xr:uid="{DD01E5D6-5815-46D3-8270-94B4549A5538}"/>
    <cellStyle name="Normal 3 2 4 5 4 3" xfId="7205" xr:uid="{E561E624-2BDC-46F9-8529-E289BD71A8BA}"/>
    <cellStyle name="Normal 3 2 4 5 5" xfId="4877" xr:uid="{496E73EC-0B82-4852-9AAA-3C581FA46F10}"/>
    <cellStyle name="Normal 3 2 4 5 5 2" xfId="6179" xr:uid="{274AE6C7-CBCA-44C6-8EB3-5B24B6FFBC33}"/>
    <cellStyle name="Normal 3 2 4 5 5 3" xfId="7482" xr:uid="{0C5283DD-919E-4195-9449-12952A96B85A}"/>
    <cellStyle name="Normal 3 2 4 5 6" xfId="3855" xr:uid="{B54EF869-6D77-4D4B-8395-0DB060DA1C89}"/>
    <cellStyle name="Normal 3 2 4 5 7" xfId="5160" xr:uid="{81C15EFB-6980-4CEA-A51F-470DC197CA86}"/>
    <cellStyle name="Normal 3 2 4 5 8" xfId="6462" xr:uid="{2C40AA99-8D30-4061-A388-9C3817CC9ED3}"/>
    <cellStyle name="Normal 3 2 4 5 9" xfId="7765" xr:uid="{BC5909FB-D040-4D89-912C-04DBAB8335C5}"/>
    <cellStyle name="Normal 3 2 4 6" xfId="3507" xr:uid="{798DE8B5-E61C-4A5B-AA2F-6E84E30D6CCA}"/>
    <cellStyle name="Normal 3 2 4 6 2" xfId="4456" xr:uid="{98121882-20BC-466F-9687-9BD9DBBAB179}"/>
    <cellStyle name="Normal 3 2 4 6 2 2" xfId="5759" xr:uid="{C2DA86DF-3029-46CB-AB69-552E254D3E48}"/>
    <cellStyle name="Normal 3 2 4 6 2 3" xfId="7062" xr:uid="{619C2085-5D4F-454A-8BB6-63F362A06F26}"/>
    <cellStyle name="Normal 3 2 4 6 3" xfId="4734" xr:uid="{F1328E0B-8451-4B18-9899-6396EBDA4E77}"/>
    <cellStyle name="Normal 3 2 4 6 3 2" xfId="6036" xr:uid="{EEDD3326-7DE7-481C-B6C5-9913C95760DB}"/>
    <cellStyle name="Normal 3 2 4 6 3 3" xfId="7339" xr:uid="{0EB201AA-D7A7-43DD-9916-FD04B2AE683F}"/>
    <cellStyle name="Normal 3 2 4 6 4" xfId="5011" xr:uid="{5DE76AA4-20CE-489B-8F62-19A04F6E2255}"/>
    <cellStyle name="Normal 3 2 4 6 4 2" xfId="6313" xr:uid="{4B652B43-8947-492E-B0D4-1FB2A8FF1BBB}"/>
    <cellStyle name="Normal 3 2 4 6 4 3" xfId="7616" xr:uid="{DB40B5CA-83D6-4F3F-AA2B-9825A8A4CDA1}"/>
    <cellStyle name="Normal 3 2 4 6 5" xfId="3994" xr:uid="{DCDCA8F5-C9C9-44E5-BB73-9D1DBDBAE635}"/>
    <cellStyle name="Normal 3 2 4 6 6" xfId="5299" xr:uid="{864252D1-BBAD-452D-BE1A-FB40335FEA0A}"/>
    <cellStyle name="Normal 3 2 4 6 7" xfId="6601" xr:uid="{5B5198EA-B0D9-4305-A907-30DC565A8E71}"/>
    <cellStyle name="Normal 3 2 4 6 8" xfId="7904" xr:uid="{5A562EDF-21D2-4073-8827-3DFDDA9BFD59}"/>
    <cellStyle name="Normal 3 2 4 7" xfId="4230" xr:uid="{4005E097-4E47-4A24-B645-51167A6E7B6A}"/>
    <cellStyle name="Normal 3 2 4 7 2" xfId="5535" xr:uid="{4920142F-E3DE-40FC-BEC5-2958DEC85844}"/>
    <cellStyle name="Normal 3 2 4 7 3" xfId="6837" xr:uid="{BD0D3FA4-2832-44EA-B586-D08BA24355DE}"/>
    <cellStyle name="Normal 3 2 4 8" xfId="4509" xr:uid="{9BB7332E-18DA-4049-AC0C-45036C577C38}"/>
    <cellStyle name="Normal 3 2 4 8 2" xfId="5812" xr:uid="{0D186D0D-A0A7-433E-8D0C-6A746E3C2F2D}"/>
    <cellStyle name="Normal 3 2 4 8 3" xfId="7115" xr:uid="{42C8B9E8-D32B-4795-B607-89145C6F51FA}"/>
    <cellStyle name="Normal 3 2 4 9" xfId="4787" xr:uid="{2BB30A43-BA79-470C-9DCF-DF7C563F06E4}"/>
    <cellStyle name="Normal 3 2 4 9 2" xfId="6089" xr:uid="{BD7DB6BC-8B94-4403-AEFB-1A87D2461B83}"/>
    <cellStyle name="Normal 3 2 4 9 3" xfId="7392" xr:uid="{E0DCBDB6-13E6-4CC9-9604-16B2BA59BB11}"/>
    <cellStyle name="Normal 3 2 5" xfId="34" xr:uid="{2EFE8530-0684-4F55-A23A-7A1965E5A3BC}"/>
    <cellStyle name="Normal 3 2 5 10" xfId="5067" xr:uid="{37FF4474-BEF6-44DB-AA39-C9FC317C3B0D}"/>
    <cellStyle name="Normal 3 2 5 11" xfId="6369" xr:uid="{B16F98A3-DA8F-4786-86C2-A07A02805CD5}"/>
    <cellStyle name="Normal 3 2 5 12" xfId="7672" xr:uid="{E1AC5300-831F-4814-9873-59C5FFEE620E}"/>
    <cellStyle name="Normal 3 2 5 2" xfId="2880" xr:uid="{8773FBDF-61AF-4521-A89B-6C48D72FC398}"/>
    <cellStyle name="Normal 3 2 5 2 10" xfId="7717" xr:uid="{306C1D3F-47BF-455F-903F-92B89031CE6C}"/>
    <cellStyle name="Normal 3 2 5 2 2" xfId="2965" xr:uid="{2DD60245-4F59-4919-87A3-F24643CAA8F9}"/>
    <cellStyle name="Normal 3 2 5 2 2 2" xfId="3634" xr:uid="{676A9878-3D33-406B-8812-43498DB16DD4}"/>
    <cellStyle name="Normal 3 2 5 2 2 2 2" xfId="4121" xr:uid="{1DD7D91C-64F1-4EB7-8998-81BB8AF4B5A8}"/>
    <cellStyle name="Normal 3 2 5 2 2 2 3" xfId="5426" xr:uid="{44275059-4D6F-4367-B531-599B06AC4824}"/>
    <cellStyle name="Normal 3 2 5 2 2 2 4" xfId="6728" xr:uid="{FDF12C03-B8C3-4690-9583-43F989CFB348}"/>
    <cellStyle name="Normal 3 2 5 2 2 2 5" xfId="8031" xr:uid="{00C9F66E-4577-4B9C-9F8C-0BAF033E6485}"/>
    <cellStyle name="Normal 3 2 5 2 2 3" xfId="4357" xr:uid="{7DB8B4D6-A276-4C6F-92AF-B914B70CB0AE}"/>
    <cellStyle name="Normal 3 2 5 2 2 3 2" xfId="5662" xr:uid="{E5627C73-55C9-4A9B-8CC8-A49821635320}"/>
    <cellStyle name="Normal 3 2 5 2 2 3 3" xfId="6964" xr:uid="{204237CD-B61E-4AA5-9A36-0AA91F835E64}"/>
    <cellStyle name="Normal 3 2 5 2 2 4" xfId="4637" xr:uid="{47A8FBD1-2BD9-42D9-A7A6-08A613B5AD95}"/>
    <cellStyle name="Normal 3 2 5 2 2 4 2" xfId="5939" xr:uid="{C8442436-564E-412B-9E78-5B83FD200EC9}"/>
    <cellStyle name="Normal 3 2 5 2 2 4 3" xfId="7242" xr:uid="{4277BF38-6182-4C40-93C0-9886E60130B9}"/>
    <cellStyle name="Normal 3 2 5 2 2 5" xfId="4914" xr:uid="{305F8FB2-ECC4-49C2-8C03-C870221BFB9E}"/>
    <cellStyle name="Normal 3 2 5 2 2 5 2" xfId="6216" xr:uid="{F7F95F92-7754-4D32-B770-D257B6CAB82B}"/>
    <cellStyle name="Normal 3 2 5 2 2 5 3" xfId="7519" xr:uid="{4740C45A-9E30-45DA-9C8A-CB4C1B550632}"/>
    <cellStyle name="Normal 3 2 5 2 2 6" xfId="3892" xr:uid="{AC817B51-EB04-4872-B33E-F3CEB31BEC0A}"/>
    <cellStyle name="Normal 3 2 5 2 2 7" xfId="5197" xr:uid="{DB34F51A-6DAC-41D0-A228-B6ED4E8D46B8}"/>
    <cellStyle name="Normal 3 2 5 2 2 8" xfId="6499" xr:uid="{9704D1F7-8245-434F-95F4-E832603C1182}"/>
    <cellStyle name="Normal 3 2 5 2 2 9" xfId="7802" xr:uid="{AA62CD8A-8246-47E8-AEE3-B41AB56BC1F9}"/>
    <cellStyle name="Normal 3 2 5 2 3" xfId="3549" xr:uid="{42DC2D7D-B305-4E78-A543-A5C994A38F57}"/>
    <cellStyle name="Normal 3 2 5 2 3 2" xfId="4036" xr:uid="{C91F4847-D74F-4700-ABF5-7B53B658A373}"/>
    <cellStyle name="Normal 3 2 5 2 3 3" xfId="5341" xr:uid="{63AA1123-0F02-4523-9769-75C98AE23F08}"/>
    <cellStyle name="Normal 3 2 5 2 3 4" xfId="6643" xr:uid="{FCC4848C-CE7D-4F87-B253-D0D0B2F91F03}"/>
    <cellStyle name="Normal 3 2 5 2 3 5" xfId="7946" xr:uid="{4F1C1406-A7DE-4D3C-B7B1-38E509FFEF56}"/>
    <cellStyle name="Normal 3 2 5 2 4" xfId="4272" xr:uid="{A7A8706F-5A86-4E17-B691-76EEC005AFC9}"/>
    <cellStyle name="Normal 3 2 5 2 4 2" xfId="5577" xr:uid="{AE3D7C2F-EB22-4D2B-8610-F190EB4ADBFD}"/>
    <cellStyle name="Normal 3 2 5 2 4 3" xfId="6879" xr:uid="{D3A54EBA-DD60-4B00-8F95-CBCFB34B2C9F}"/>
    <cellStyle name="Normal 3 2 5 2 5" xfId="4552" xr:uid="{692DCCF6-550A-48C5-8C21-E1B757D08C64}"/>
    <cellStyle name="Normal 3 2 5 2 5 2" xfId="5854" xr:uid="{141B1547-B105-4694-8FBC-58A5D5C1D766}"/>
    <cellStyle name="Normal 3 2 5 2 5 3" xfId="7157" xr:uid="{92A95927-55DE-4A08-90C8-AB3D8E6DF109}"/>
    <cellStyle name="Normal 3 2 5 2 6" xfId="4829" xr:uid="{47150FEC-6920-4D34-BBE4-A8E1C453647C}"/>
    <cellStyle name="Normal 3 2 5 2 6 2" xfId="6131" xr:uid="{ABD38BB1-E1F8-42FF-9116-4BED3A890134}"/>
    <cellStyle name="Normal 3 2 5 2 6 3" xfId="7434" xr:uid="{8C019647-3F4A-4FD1-AAB7-16E99B5CF95E}"/>
    <cellStyle name="Normal 3 2 5 2 7" xfId="3807" xr:uid="{989CF174-41A4-4FB8-A29E-461B59AF192E}"/>
    <cellStyle name="Normal 3 2 5 2 8" xfId="5112" xr:uid="{20FA486F-A741-47CB-A1E2-64C8103398C2}"/>
    <cellStyle name="Normal 3 2 5 2 9" xfId="6414" xr:uid="{DFAF1534-6DD6-46D1-BEBE-DF1120AC1B7C}"/>
    <cellStyle name="Normal 3 2 5 3" xfId="3021" xr:uid="{4E740726-28E9-4A37-98D8-69BCC8BAD6F7}"/>
    <cellStyle name="Normal 3 2 5 3 2" xfId="3690" xr:uid="{580DAE05-49F5-49A9-801D-D403F7CAE478}"/>
    <cellStyle name="Normal 3 2 5 3 2 2" xfId="4161" xr:uid="{7BEB3091-1E46-4CF9-B4C5-99E4D9FC1CBB}"/>
    <cellStyle name="Normal 3 2 5 3 2 3" xfId="5466" xr:uid="{217178FB-2F82-4065-9548-9768F610F91F}"/>
    <cellStyle name="Normal 3 2 5 3 2 4" xfId="6768" xr:uid="{0C07A331-29CA-47C9-A5D3-2552156FBFBF}"/>
    <cellStyle name="Normal 3 2 5 3 2 5" xfId="8071" xr:uid="{333DE527-6D0C-455E-819D-5A84A0C5E231}"/>
    <cellStyle name="Normal 3 2 5 3 3" xfId="4397" xr:uid="{1389539F-A575-4357-8251-82EA26C1B539}"/>
    <cellStyle name="Normal 3 2 5 3 3 2" xfId="5702" xr:uid="{F1475124-8E6F-443E-B06D-266C8F9DE9A7}"/>
    <cellStyle name="Normal 3 2 5 3 3 3" xfId="7004" xr:uid="{9F5120C8-CBA2-441A-9A9E-799CEF2B6043}"/>
    <cellStyle name="Normal 3 2 5 3 4" xfId="4677" xr:uid="{B556DAD7-1226-4789-AA86-A2E9EFAA9AC2}"/>
    <cellStyle name="Normal 3 2 5 3 4 2" xfId="5979" xr:uid="{9CC58E0B-916A-4041-A35C-31C9B1C1A269}"/>
    <cellStyle name="Normal 3 2 5 3 4 3" xfId="7282" xr:uid="{7273265F-EBAF-4388-8B0D-320E301B2913}"/>
    <cellStyle name="Normal 3 2 5 3 5" xfId="4954" xr:uid="{206E1E53-E5C3-47EC-A994-B305674800D3}"/>
    <cellStyle name="Normal 3 2 5 3 5 2" xfId="6256" xr:uid="{0CE3E7F3-CE8C-4F0A-9206-E86326A13B37}"/>
    <cellStyle name="Normal 3 2 5 3 5 3" xfId="7559" xr:uid="{C27B1E64-F4D0-4051-8345-750BB61FD0E6}"/>
    <cellStyle name="Normal 3 2 5 3 6" xfId="3932" xr:uid="{4A53627E-C8B6-44BE-B5C4-95B2C2DD91B2}"/>
    <cellStyle name="Normal 3 2 5 3 7" xfId="5237" xr:uid="{FAAD3A4A-66FB-4CCA-8680-0F0DECA01D09}"/>
    <cellStyle name="Normal 3 2 5 3 8" xfId="6539" xr:uid="{1808269D-E8A0-494C-AF5D-BE20400B9B4F}"/>
    <cellStyle name="Normal 3 2 5 3 9" xfId="7842" xr:uid="{488E189D-C628-47DF-8168-D6D0F5B6CFCE}"/>
    <cellStyle name="Normal 3 2 5 4" xfId="2925" xr:uid="{B2679330-9511-44A5-A0E7-A2030AC0E9D7}"/>
    <cellStyle name="Normal 3 2 5 4 2" xfId="3594" xr:uid="{4AA1837D-B141-412F-AE5E-DEB5B5562DE0}"/>
    <cellStyle name="Normal 3 2 5 4 2 2" xfId="4081" xr:uid="{EF998799-8300-422B-86E6-51BBA61F9BCC}"/>
    <cellStyle name="Normal 3 2 5 4 2 3" xfId="5386" xr:uid="{FCDB3EFF-6937-4E94-91F5-740993E4729E}"/>
    <cellStyle name="Normal 3 2 5 4 2 4" xfId="6688" xr:uid="{1795786A-3C9D-4259-A5F1-A9432CE355FE}"/>
    <cellStyle name="Normal 3 2 5 4 2 5" xfId="7991" xr:uid="{47DAC3AA-6B03-488A-A96B-D4591B697405}"/>
    <cellStyle name="Normal 3 2 5 4 3" xfId="4317" xr:uid="{E7962C9A-19C7-43DC-AEDE-C5E3636920DD}"/>
    <cellStyle name="Normal 3 2 5 4 3 2" xfId="5622" xr:uid="{2E4E757C-2D43-45D1-9DFF-FE226BAFE359}"/>
    <cellStyle name="Normal 3 2 5 4 3 3" xfId="6924" xr:uid="{4AB8BA70-79F6-4624-AD86-6F66D23671C2}"/>
    <cellStyle name="Normal 3 2 5 4 4" xfId="4597" xr:uid="{D9375E07-B353-4E73-A177-1702EE8D1582}"/>
    <cellStyle name="Normal 3 2 5 4 4 2" xfId="5899" xr:uid="{A3657669-6B8A-43D2-A86D-592CD3BA9F90}"/>
    <cellStyle name="Normal 3 2 5 4 4 3" xfId="7202" xr:uid="{B9ABB6CD-91F3-400B-951B-E4236D85FD8B}"/>
    <cellStyle name="Normal 3 2 5 4 5" xfId="4874" xr:uid="{D5CF75CB-D56E-4165-BFC6-5B092511A12C}"/>
    <cellStyle name="Normal 3 2 5 4 5 2" xfId="6176" xr:uid="{8AD436B9-9908-4296-9879-EF53F8315239}"/>
    <cellStyle name="Normal 3 2 5 4 5 3" xfId="7479" xr:uid="{B6136B1F-DA8C-495C-B129-D83B2D6B1C77}"/>
    <cellStyle name="Normal 3 2 5 4 6" xfId="3852" xr:uid="{F8025865-F25F-4D53-A7FA-0391616C5DC5}"/>
    <cellStyle name="Normal 3 2 5 4 7" xfId="5157" xr:uid="{7B7E2A10-960D-4B6A-B021-A95B00BB9615}"/>
    <cellStyle name="Normal 3 2 5 4 8" xfId="6459" xr:uid="{67B46D1B-A0A9-4D7A-B55E-A0CA01BEB6BE}"/>
    <cellStyle name="Normal 3 2 5 4 9" xfId="7762" xr:uid="{0AF9D8A5-0FF1-427D-AD36-26A5F097B735}"/>
    <cellStyle name="Normal 3 2 5 5" xfId="3504" xr:uid="{40CEF293-530F-4496-B065-205F3F8A499C}"/>
    <cellStyle name="Normal 3 2 5 5 2" xfId="4453" xr:uid="{2FD0BBAA-37C1-4D5D-9CEF-BBDA6D9FF3BA}"/>
    <cellStyle name="Normal 3 2 5 5 2 2" xfId="5756" xr:uid="{0DF2B5E7-85E3-4E1F-A446-FEDA688260B2}"/>
    <cellStyle name="Normal 3 2 5 5 2 3" xfId="7059" xr:uid="{C714FEB6-F460-49F4-BA4C-2BB6E17DD335}"/>
    <cellStyle name="Normal 3 2 5 5 3" xfId="4731" xr:uid="{1B84CA2A-EE56-4951-AD89-C861DD7D05E0}"/>
    <cellStyle name="Normal 3 2 5 5 3 2" xfId="6033" xr:uid="{F44DCA88-3F24-4173-ADDA-243D50C96E4C}"/>
    <cellStyle name="Normal 3 2 5 5 3 3" xfId="7336" xr:uid="{74F7053E-9875-4F55-AD55-ECD338B63418}"/>
    <cellStyle name="Normal 3 2 5 5 4" xfId="5008" xr:uid="{3F1502F6-5E9A-4B93-BE87-0FA6BB531BB2}"/>
    <cellStyle name="Normal 3 2 5 5 4 2" xfId="6310" xr:uid="{39A811EF-80F0-4AA1-A1D8-4D7619C2AD1E}"/>
    <cellStyle name="Normal 3 2 5 5 4 3" xfId="7613" xr:uid="{30D1E868-1976-4FEF-84DB-6EB17AA07306}"/>
    <cellStyle name="Normal 3 2 5 5 5" xfId="3991" xr:uid="{38F32192-D9CE-45BC-A09D-690E38664C9C}"/>
    <cellStyle name="Normal 3 2 5 5 6" xfId="5296" xr:uid="{136FFB36-8828-4443-9497-3535FA29D773}"/>
    <cellStyle name="Normal 3 2 5 5 7" xfId="6598" xr:uid="{3762C657-9694-401E-A1D6-F90D9F513545}"/>
    <cellStyle name="Normal 3 2 5 5 8" xfId="7901" xr:uid="{79776129-A028-4DC1-BAD8-757976B08EEB}"/>
    <cellStyle name="Normal 3 2 5 6" xfId="4227" xr:uid="{1B3DAAE5-F1DD-4B07-AC64-316454CB1E0A}"/>
    <cellStyle name="Normal 3 2 5 6 2" xfId="5532" xr:uid="{E9DC60D4-A759-4F13-81EF-56F067A573D0}"/>
    <cellStyle name="Normal 3 2 5 6 3" xfId="6834" xr:uid="{66196AB0-9B1C-42AA-B81B-63BE8A616F90}"/>
    <cellStyle name="Normal 3 2 5 7" xfId="4506" xr:uid="{A6060821-061C-48F3-8E95-5C9186E0AD49}"/>
    <cellStyle name="Normal 3 2 5 7 2" xfId="5809" xr:uid="{0FC22612-59C8-4AD7-9F1C-365B376935AC}"/>
    <cellStyle name="Normal 3 2 5 7 3" xfId="7112" xr:uid="{88B40B90-CEA8-489F-B452-5C15F759BFC3}"/>
    <cellStyle name="Normal 3 2 5 8" xfId="4784" xr:uid="{04FFC8B9-A35F-4783-99B8-49672CEBE7E2}"/>
    <cellStyle name="Normal 3 2 5 8 2" xfId="6086" xr:uid="{D3B33604-C619-4F87-8936-46B5D4AE6E7C}"/>
    <cellStyle name="Normal 3 2 5 8 3" xfId="7389" xr:uid="{DCBDFDC3-BD8F-419B-BF13-8CEB011346A4}"/>
    <cellStyle name="Normal 3 2 5 9" xfId="3762" xr:uid="{716EF27C-311C-4C5F-9825-6CD3F990B33B}"/>
    <cellStyle name="Normal 3 2 6" xfId="2850" xr:uid="{5C16A6E2-BD8E-404A-9F1D-868C2B1A3AE7}"/>
    <cellStyle name="Normal 3 2 6 10" xfId="5084" xr:uid="{8E48D4D6-7F8D-485A-B4B1-0CCEB79AD54D}"/>
    <cellStyle name="Normal 3 2 6 11" xfId="6386" xr:uid="{324A6E9C-F7AF-4611-B3DA-F0E95CCFEA24}"/>
    <cellStyle name="Normal 3 2 6 12" xfId="7689" xr:uid="{60128DDE-B8A7-42EE-835A-B0CEE76D280E}"/>
    <cellStyle name="Normal 3 2 6 2" xfId="2897" xr:uid="{6664FD74-98CA-4AF1-AE65-91A17D3C4BDF}"/>
    <cellStyle name="Normal 3 2 6 2 10" xfId="7734" xr:uid="{5AE23254-15C9-4710-99E5-E3F41D50D735}"/>
    <cellStyle name="Normal 3 2 6 2 2" xfId="2998" xr:uid="{91012EF5-E3BF-4B87-8261-6DA81963CCEA}"/>
    <cellStyle name="Normal 3 2 6 2 2 2" xfId="3667" xr:uid="{D7E70B13-2058-435C-B0CE-1CF16F482777}"/>
    <cellStyle name="Normal 3 2 6 2 2 2 2" xfId="4138" xr:uid="{7FBE6350-0F7F-4B90-9C76-607D6DB19A66}"/>
    <cellStyle name="Normal 3 2 6 2 2 2 3" xfId="5443" xr:uid="{564DA148-F262-4FEC-9B62-E12BEF32C4F4}"/>
    <cellStyle name="Normal 3 2 6 2 2 2 4" xfId="6745" xr:uid="{F752DCEB-0C1A-455E-9EEF-AE5AF6132010}"/>
    <cellStyle name="Normal 3 2 6 2 2 2 5" xfId="8048" xr:uid="{BE494187-DDE2-4C09-9473-C2004C25624A}"/>
    <cellStyle name="Normal 3 2 6 2 2 3" xfId="4374" xr:uid="{C5FF7DA7-EBAB-4F5C-9800-FCC531408C8F}"/>
    <cellStyle name="Normal 3 2 6 2 2 3 2" xfId="5679" xr:uid="{2F3714A7-7CAD-48F8-88F3-B2F6D3403758}"/>
    <cellStyle name="Normal 3 2 6 2 2 3 3" xfId="6981" xr:uid="{48430891-21C8-4C4B-8AC5-5D3BB5B87CB2}"/>
    <cellStyle name="Normal 3 2 6 2 2 4" xfId="4654" xr:uid="{223D6F43-62CC-42C3-9DCE-FB881F2C402C}"/>
    <cellStyle name="Normal 3 2 6 2 2 4 2" xfId="5956" xr:uid="{C8AC4646-C167-4E69-BA9F-5C141D8CDAF9}"/>
    <cellStyle name="Normal 3 2 6 2 2 4 3" xfId="7259" xr:uid="{08E0150C-586F-4D0B-945E-2A393F7D2DE0}"/>
    <cellStyle name="Normal 3 2 6 2 2 5" xfId="4931" xr:uid="{3BC6B0D9-C41B-4562-846A-3A8AABE4304D}"/>
    <cellStyle name="Normal 3 2 6 2 2 5 2" xfId="6233" xr:uid="{CEE3829F-410A-4AFD-8794-A009BFFF09E5}"/>
    <cellStyle name="Normal 3 2 6 2 2 5 3" xfId="7536" xr:uid="{8D21C082-5F1A-4880-91A1-6C9A21C92DC3}"/>
    <cellStyle name="Normal 3 2 6 2 2 6" xfId="3909" xr:uid="{B476D698-5481-412C-9FE5-B3FD717BCA19}"/>
    <cellStyle name="Normal 3 2 6 2 2 7" xfId="5214" xr:uid="{6904E3E3-D7AF-4F0B-8AC0-637B16B31A3A}"/>
    <cellStyle name="Normal 3 2 6 2 2 8" xfId="6516" xr:uid="{9FDA8C2A-1AE8-4E9C-BE6D-2F13230F5CAD}"/>
    <cellStyle name="Normal 3 2 6 2 2 9" xfId="7819" xr:uid="{BECDD326-F9BB-410E-926B-EE23CB55C0AC}"/>
    <cellStyle name="Normal 3 2 6 2 3" xfId="3566" xr:uid="{E82DD52E-4EDC-48C6-963A-6B94ED1EC3EB}"/>
    <cellStyle name="Normal 3 2 6 2 3 2" xfId="4053" xr:uid="{5C272FC8-8158-41E5-8A30-CC575ADDB07B}"/>
    <cellStyle name="Normal 3 2 6 2 3 3" xfId="5358" xr:uid="{4917BCBB-FE57-4EDE-BBE2-296793A311A8}"/>
    <cellStyle name="Normal 3 2 6 2 3 4" xfId="6660" xr:uid="{442C419B-263C-48C6-BC97-AC1E1E2FDADB}"/>
    <cellStyle name="Normal 3 2 6 2 3 5" xfId="7963" xr:uid="{4A15C178-7B5B-4104-B0B8-B362638445F4}"/>
    <cellStyle name="Normal 3 2 6 2 4" xfId="4289" xr:uid="{064C2C00-5658-48E7-B2E1-45EA3BF6DDA6}"/>
    <cellStyle name="Normal 3 2 6 2 4 2" xfId="5594" xr:uid="{0E4D2DE9-9116-4FF6-982C-8C40E7885D30}"/>
    <cellStyle name="Normal 3 2 6 2 4 3" xfId="6896" xr:uid="{ADFD0075-B4DD-4BA3-9DFD-6CCB68E053D5}"/>
    <cellStyle name="Normal 3 2 6 2 5" xfId="4569" xr:uid="{69D16606-864D-494E-BAD3-FE626474DF1F}"/>
    <cellStyle name="Normal 3 2 6 2 5 2" xfId="5871" xr:uid="{AC29E8AA-0C43-4AC9-BD17-AC3DD22D2D1F}"/>
    <cellStyle name="Normal 3 2 6 2 5 3" xfId="7174" xr:uid="{7C038F67-2399-45F5-BECB-C8D425B69286}"/>
    <cellStyle name="Normal 3 2 6 2 6" xfId="4846" xr:uid="{7E30192F-4F36-459E-B682-951C74985130}"/>
    <cellStyle name="Normal 3 2 6 2 6 2" xfId="6148" xr:uid="{1F4AE7DD-F89C-42BA-AF33-70C987DFF8ED}"/>
    <cellStyle name="Normal 3 2 6 2 6 3" xfId="7451" xr:uid="{70A712FA-8805-43F5-B5C2-2EFBFCF227F7}"/>
    <cellStyle name="Normal 3 2 6 2 7" xfId="3824" xr:uid="{1E729154-AA9D-4773-8484-CFCDA415F681}"/>
    <cellStyle name="Normal 3 2 6 2 8" xfId="5129" xr:uid="{424167DF-F36A-49C2-8C35-21704E7A6347}"/>
    <cellStyle name="Normal 3 2 6 2 9" xfId="6431" xr:uid="{5BA557C2-089C-4E73-A76A-21E383014F66}"/>
    <cellStyle name="Normal 3 2 6 3" xfId="3442" xr:uid="{FFA32A7D-DF21-4608-B320-14F41FDC5635}"/>
    <cellStyle name="Normal 3 2 6 3 2" xfId="3707" xr:uid="{4AA068E7-DEB3-4883-A930-A5C5F0B52161}"/>
    <cellStyle name="Normal 3 2 6 3 2 2" xfId="4178" xr:uid="{61EDF057-7EEB-4779-B5D1-859B5FBA33AA}"/>
    <cellStyle name="Normal 3 2 6 3 2 3" xfId="5483" xr:uid="{A3698B7C-6853-448D-AA8A-1F5EFB85E944}"/>
    <cellStyle name="Normal 3 2 6 3 2 4" xfId="6785" xr:uid="{5584548A-36F0-491F-A2D1-57DCBD47E850}"/>
    <cellStyle name="Normal 3 2 6 3 2 5" xfId="8088" xr:uid="{F78C53E2-0DA8-4021-B2A0-96D089D6035A}"/>
    <cellStyle name="Normal 3 2 6 3 3" xfId="4414" xr:uid="{ADB93DEE-171A-4762-9D9F-8103F11C3D17}"/>
    <cellStyle name="Normal 3 2 6 3 3 2" xfId="5719" xr:uid="{BDBED965-39C6-4B4E-BCE0-07BC47A487D5}"/>
    <cellStyle name="Normal 3 2 6 3 3 3" xfId="7021" xr:uid="{53C67F17-3AD3-4A5F-B8B3-4480FE322736}"/>
    <cellStyle name="Normal 3 2 6 3 4" xfId="4694" xr:uid="{170EEC17-729F-4EF5-ADBA-018A9A13A8F7}"/>
    <cellStyle name="Normal 3 2 6 3 4 2" xfId="5996" xr:uid="{28F8694E-C52B-44E1-ADEE-769963CA4C97}"/>
    <cellStyle name="Normal 3 2 6 3 4 3" xfId="7299" xr:uid="{00B5E61E-A13A-46E4-8D54-DD871F7500DC}"/>
    <cellStyle name="Normal 3 2 6 3 5" xfId="4971" xr:uid="{4F119937-264F-4010-A0C8-8C5166B09CCD}"/>
    <cellStyle name="Normal 3 2 6 3 5 2" xfId="6273" xr:uid="{DF9FCE4A-B070-4DEB-954F-CE30FF570EE3}"/>
    <cellStyle name="Normal 3 2 6 3 5 3" xfId="7576" xr:uid="{434C5F09-38D4-4DCD-BAF2-75C4046E0DFC}"/>
    <cellStyle name="Normal 3 2 6 3 6" xfId="3949" xr:uid="{8BCBE64B-03DC-43BD-B259-7AF2F58A2E95}"/>
    <cellStyle name="Normal 3 2 6 3 7" xfId="5254" xr:uid="{B1471BF8-A37B-40A8-88C7-8C4F1D06EE34}"/>
    <cellStyle name="Normal 3 2 6 3 8" xfId="6556" xr:uid="{0E1BA887-4799-4911-A47D-988D185B6704}"/>
    <cellStyle name="Normal 3 2 6 3 9" xfId="7859" xr:uid="{DFEA18DD-E138-4466-8E1B-01E742223BD9}"/>
    <cellStyle name="Normal 3 2 6 4" xfId="2942" xr:uid="{6F039511-645D-4B28-9350-40E7266C3E91}"/>
    <cellStyle name="Normal 3 2 6 4 2" xfId="3611" xr:uid="{A2814150-5F40-4220-AA2D-BA56B3D8FB64}"/>
    <cellStyle name="Normal 3 2 6 4 2 2" xfId="4098" xr:uid="{4E41A5B0-F073-45C2-8822-E28125F049B7}"/>
    <cellStyle name="Normal 3 2 6 4 2 3" xfId="5403" xr:uid="{33271F0E-C6EC-4EF2-86F5-21812B6BBC73}"/>
    <cellStyle name="Normal 3 2 6 4 2 4" xfId="6705" xr:uid="{62857878-1746-4EF6-A666-A7FA2F024FB0}"/>
    <cellStyle name="Normal 3 2 6 4 2 5" xfId="8008" xr:uid="{1A7B5267-47F9-48F6-949F-4F82EC335810}"/>
    <cellStyle name="Normal 3 2 6 4 3" xfId="4334" xr:uid="{E9ACF248-5A92-4D22-BBF9-54D05EE19AD7}"/>
    <cellStyle name="Normal 3 2 6 4 3 2" xfId="5639" xr:uid="{7E02685F-E105-41E4-B669-5E1DA0BA7108}"/>
    <cellStyle name="Normal 3 2 6 4 3 3" xfId="6941" xr:uid="{4E97AA15-ADDD-4A97-B483-E2F79F197FCC}"/>
    <cellStyle name="Normal 3 2 6 4 4" xfId="4614" xr:uid="{99AF6E52-FED8-4716-B945-F78909DB9281}"/>
    <cellStyle name="Normal 3 2 6 4 4 2" xfId="5916" xr:uid="{58E077B9-9105-466C-861B-04512BACC865}"/>
    <cellStyle name="Normal 3 2 6 4 4 3" xfId="7219" xr:uid="{E68ECD54-C7E3-40A3-9366-7063F3E9F74F}"/>
    <cellStyle name="Normal 3 2 6 4 5" xfId="4891" xr:uid="{EB8CF5C3-1C2C-4F2D-A7AF-2D8936581652}"/>
    <cellStyle name="Normal 3 2 6 4 5 2" xfId="6193" xr:uid="{33A25F2C-47E6-4546-B066-58CFB8747784}"/>
    <cellStyle name="Normal 3 2 6 4 5 3" xfId="7496" xr:uid="{993B82FE-2C5D-40C3-8CC6-242BB8EC5EC0}"/>
    <cellStyle name="Normal 3 2 6 4 6" xfId="3869" xr:uid="{A1D3DE36-F074-426A-A952-BA4FB45095CA}"/>
    <cellStyle name="Normal 3 2 6 4 7" xfId="5174" xr:uid="{61243660-ACBA-4EC0-8DA8-AA409DDD4E00}"/>
    <cellStyle name="Normal 3 2 6 4 8" xfId="6476" xr:uid="{6C84923B-305F-4635-A0B7-0F8A86BA34D4}"/>
    <cellStyle name="Normal 3 2 6 4 9" xfId="7779" xr:uid="{D619F121-CE1C-4479-A4D0-3C28B1B32614}"/>
    <cellStyle name="Normal 3 2 6 5" xfId="3521" xr:uid="{1AEA6116-EC6B-4BB6-A00F-D9E00CB01DBF}"/>
    <cellStyle name="Normal 3 2 6 5 2" xfId="4470" xr:uid="{62289E74-61FD-4E3E-AFFD-CB2E151B9D34}"/>
    <cellStyle name="Normal 3 2 6 5 2 2" xfId="5773" xr:uid="{E07E6DB4-0D47-40BC-8081-528007FA1E20}"/>
    <cellStyle name="Normal 3 2 6 5 2 3" xfId="7076" xr:uid="{A2A94F81-9808-4A1C-ABCE-0C9EF847589D}"/>
    <cellStyle name="Normal 3 2 6 5 3" xfId="4748" xr:uid="{8189F733-B155-42B7-AD70-23BED3E592F4}"/>
    <cellStyle name="Normal 3 2 6 5 3 2" xfId="6050" xr:uid="{32FEBA11-754A-4801-810D-C5C96023810C}"/>
    <cellStyle name="Normal 3 2 6 5 3 3" xfId="7353" xr:uid="{28656BE2-829D-4BE2-8765-03906F028ABC}"/>
    <cellStyle name="Normal 3 2 6 5 4" xfId="5025" xr:uid="{B5ABBBFE-0BEB-4E36-9581-B58D0419E253}"/>
    <cellStyle name="Normal 3 2 6 5 4 2" xfId="6327" xr:uid="{D0900A8E-4EF4-4FDE-A6DF-FA19C4358354}"/>
    <cellStyle name="Normal 3 2 6 5 4 3" xfId="7630" xr:uid="{6F75F4EC-39EE-42B6-9851-8E8F3FFF7218}"/>
    <cellStyle name="Normal 3 2 6 5 5" xfId="4008" xr:uid="{ACFF7A30-35D5-4C89-BFBD-64172E999F17}"/>
    <cellStyle name="Normal 3 2 6 5 6" xfId="5313" xr:uid="{DAF88D8B-EDA8-477D-B926-6788FF4778FA}"/>
    <cellStyle name="Normal 3 2 6 5 7" xfId="6615" xr:uid="{69B7B1B9-F4B2-4DD7-9B0A-534284C60A59}"/>
    <cellStyle name="Normal 3 2 6 5 8" xfId="7918" xr:uid="{904A572F-4832-42F6-BF39-995DD67DAF80}"/>
    <cellStyle name="Normal 3 2 6 6" xfId="4244" xr:uid="{452927D3-1497-4666-9010-84D4FE728C76}"/>
    <cellStyle name="Normal 3 2 6 6 2" xfId="5549" xr:uid="{5144490B-EE77-421E-BCAB-2A41B78E4469}"/>
    <cellStyle name="Normal 3 2 6 6 3" xfId="6851" xr:uid="{C56C0AAA-DC55-45F1-9612-F25D0560DEF8}"/>
    <cellStyle name="Normal 3 2 6 7" xfId="4524" xr:uid="{175DB031-8D56-4044-A27B-20654E2DF25F}"/>
    <cellStyle name="Normal 3 2 6 7 2" xfId="5826" xr:uid="{3194E602-716D-4356-BC34-0E21E48A1AE1}"/>
    <cellStyle name="Normal 3 2 6 7 3" xfId="7129" xr:uid="{12FD2353-479F-4590-A61F-159847D7D029}"/>
    <cellStyle name="Normal 3 2 6 8" xfId="4801" xr:uid="{84FF37B9-554F-497C-873B-3C340F1A850D}"/>
    <cellStyle name="Normal 3 2 6 8 2" xfId="6103" xr:uid="{FC55F689-1F57-4DB8-9385-D3FDC5AFAA7C}"/>
    <cellStyle name="Normal 3 2 6 8 3" xfId="7406" xr:uid="{7B56E1A4-5F6B-4824-9710-59681C8E3E75}"/>
    <cellStyle name="Normal 3 2 6 9" xfId="3779" xr:uid="{EF0DD9D1-4687-4C00-AAE7-ED4E6F090CFF}"/>
    <cellStyle name="Normal 3 2 7" xfId="31" xr:uid="{2F3C1975-D9A4-46DE-B8C2-B72AC2C044E0}"/>
    <cellStyle name="Normal 3 2 7 10" xfId="6366" xr:uid="{DFAA03BF-FAAA-4537-B44B-C1AE08B23595}"/>
    <cellStyle name="Normal 3 2 7 11" xfId="7669" xr:uid="{9EDF5814-A512-4A0C-97DE-C47B71663494}"/>
    <cellStyle name="Normal 3 2 7 2" xfId="2877" xr:uid="{59781F0C-77A9-45FE-8065-6468F1E0AAEF}"/>
    <cellStyle name="Normal 3 2 7 2 2" xfId="3546" xr:uid="{7E4E383C-F467-4833-9603-62B435DCFA79}"/>
    <cellStyle name="Normal 3 2 7 2 2 2" xfId="4033" xr:uid="{63FB87F2-BE70-4858-91FB-3ECF4732EC16}"/>
    <cellStyle name="Normal 3 2 7 2 2 3" xfId="5338" xr:uid="{BF0663E3-30AB-461E-AC8B-411AC5579913}"/>
    <cellStyle name="Normal 3 2 7 2 2 4" xfId="6640" xr:uid="{3824C0BE-3FBC-4A95-A677-40ECB72483F8}"/>
    <cellStyle name="Normal 3 2 7 2 2 5" xfId="7943" xr:uid="{FD8E16E2-2EEE-4773-8308-5A4258C7EF54}"/>
    <cellStyle name="Normal 3 2 7 2 3" xfId="4269" xr:uid="{283BF4F3-ADBE-48BD-B8FE-809C5E96810A}"/>
    <cellStyle name="Normal 3 2 7 2 3 2" xfId="5574" xr:uid="{37AD8A4E-E73D-4EB8-9366-AC1396112794}"/>
    <cellStyle name="Normal 3 2 7 2 3 3" xfId="6876" xr:uid="{4DC8C5A4-D516-4176-927B-369BB56647D0}"/>
    <cellStyle name="Normal 3 2 7 2 4" xfId="4549" xr:uid="{C13A0D9E-071B-4F1A-8972-79A5179CDF1F}"/>
    <cellStyle name="Normal 3 2 7 2 4 2" xfId="5851" xr:uid="{1800F8E2-013F-443B-9AE3-1CF6F37A8E7C}"/>
    <cellStyle name="Normal 3 2 7 2 4 3" xfId="7154" xr:uid="{FD9FE967-8F43-4727-AA0B-4D8146196BD7}"/>
    <cellStyle name="Normal 3 2 7 2 5" xfId="4826" xr:uid="{265BC977-D517-4378-B95B-05EBA8F49187}"/>
    <cellStyle name="Normal 3 2 7 2 5 2" xfId="6128" xr:uid="{9725CC27-D266-4FF4-AAB9-0B1F4125C99B}"/>
    <cellStyle name="Normal 3 2 7 2 5 3" xfId="7431" xr:uid="{EA8241A1-A10C-43BB-B3A2-E6443E5DB374}"/>
    <cellStyle name="Normal 3 2 7 2 6" xfId="3804" xr:uid="{2B037D2B-F367-47B4-B131-C806D5B04A5A}"/>
    <cellStyle name="Normal 3 2 7 2 7" xfId="5109" xr:uid="{F9421F30-B166-47DE-A83F-93792023E626}"/>
    <cellStyle name="Normal 3 2 7 2 8" xfId="6411" xr:uid="{F3ABB905-903F-438F-A074-D870105C23B8}"/>
    <cellStyle name="Normal 3 2 7 2 9" xfId="7714" xr:uid="{13D1B1C2-CF76-48DE-8B89-61E3B174BDF0}"/>
    <cellStyle name="Normal 3 2 7 3" xfId="2922" xr:uid="{E4C8E062-8446-4FC6-BB97-540E387A26A7}"/>
    <cellStyle name="Normal 3 2 7 3 2" xfId="3591" xr:uid="{DF90C2F7-4C93-452D-ACE7-18F1D28980A1}"/>
    <cellStyle name="Normal 3 2 7 3 2 2" xfId="4078" xr:uid="{89427B19-E232-430C-805D-D49ACEE04837}"/>
    <cellStyle name="Normal 3 2 7 3 2 3" xfId="5383" xr:uid="{3F2FB301-33A7-4C4D-ABD1-75F9BF212BB2}"/>
    <cellStyle name="Normal 3 2 7 3 2 4" xfId="6685" xr:uid="{4D7D232C-3C9B-4839-82DA-C485F5B92283}"/>
    <cellStyle name="Normal 3 2 7 3 2 5" xfId="7988" xr:uid="{32144011-910E-4FDB-B3E1-38E40C4F004D}"/>
    <cellStyle name="Normal 3 2 7 3 3" xfId="4314" xr:uid="{23573E9D-451A-4648-8318-461BD71A6A3D}"/>
    <cellStyle name="Normal 3 2 7 3 3 2" xfId="5619" xr:uid="{D6C010EC-2F09-4B0C-9A2E-E6E447C1A00E}"/>
    <cellStyle name="Normal 3 2 7 3 3 3" xfId="6921" xr:uid="{C8EB3B47-B3AE-4678-B593-BC438FBF9CC9}"/>
    <cellStyle name="Normal 3 2 7 3 4" xfId="4594" xr:uid="{52157170-114A-4BE3-B666-2DD8756C70C4}"/>
    <cellStyle name="Normal 3 2 7 3 4 2" xfId="5896" xr:uid="{4831B1A8-4240-40AB-9013-85043D4F57E8}"/>
    <cellStyle name="Normal 3 2 7 3 4 3" xfId="7199" xr:uid="{1E4133AA-868A-47C7-A115-34C67F300E95}"/>
    <cellStyle name="Normal 3 2 7 3 5" xfId="4871" xr:uid="{9F590708-84D1-43E5-A42E-205BC27EE198}"/>
    <cellStyle name="Normal 3 2 7 3 5 2" xfId="6173" xr:uid="{A04B932E-51D4-41CB-AEE0-67FE4E15CC4F}"/>
    <cellStyle name="Normal 3 2 7 3 5 3" xfId="7476" xr:uid="{F9012BCD-A5D2-420D-A91D-70E98F5AA4AB}"/>
    <cellStyle name="Normal 3 2 7 3 6" xfId="3849" xr:uid="{C6E8B47D-B3C1-4AD0-936D-F745D499CD5B}"/>
    <cellStyle name="Normal 3 2 7 3 7" xfId="5154" xr:uid="{561CAC26-BFD7-4E0F-9197-A23E2EE986FF}"/>
    <cellStyle name="Normal 3 2 7 3 8" xfId="6456" xr:uid="{EE00968F-FC9D-489A-B066-384C1DE7634A}"/>
    <cellStyle name="Normal 3 2 7 3 9" xfId="7759" xr:uid="{74E27E74-2236-4379-A325-769B05DBC01F}"/>
    <cellStyle name="Normal 3 2 7 4" xfId="3501" xr:uid="{AE3D10A4-2F98-4CA8-875F-94496B9C4990}"/>
    <cellStyle name="Normal 3 2 7 4 2" xfId="4450" xr:uid="{256A9C13-600B-4F65-9DFE-BE16819939AB}"/>
    <cellStyle name="Normal 3 2 7 4 2 2" xfId="5753" xr:uid="{24DF41A0-93D4-43C6-B00A-44DDE7C9D6A8}"/>
    <cellStyle name="Normal 3 2 7 4 2 3" xfId="7056" xr:uid="{2A131B2F-BB2C-4F5F-87BE-5506B55B379F}"/>
    <cellStyle name="Normal 3 2 7 4 3" xfId="4728" xr:uid="{9FE98A89-C5B0-4DBE-81A2-307BCFF29BDB}"/>
    <cellStyle name="Normal 3 2 7 4 3 2" xfId="6030" xr:uid="{600B641A-A7C2-40F4-8A72-760C02391FCB}"/>
    <cellStyle name="Normal 3 2 7 4 3 3" xfId="7333" xr:uid="{93BB7133-A4BE-4ED3-BB60-709C5BFF84B1}"/>
    <cellStyle name="Normal 3 2 7 4 4" xfId="5005" xr:uid="{E19DA2C1-E1FD-4A6B-822F-95655500A682}"/>
    <cellStyle name="Normal 3 2 7 4 4 2" xfId="6307" xr:uid="{C73FBAE4-FC68-47C9-AFA2-47798432B24C}"/>
    <cellStyle name="Normal 3 2 7 4 4 3" xfId="7610" xr:uid="{45D07DC0-329C-47D2-B180-414CB4108574}"/>
    <cellStyle name="Normal 3 2 7 4 5" xfId="3988" xr:uid="{39D9CAE9-5D9D-40B5-B497-0CCE03BF2C34}"/>
    <cellStyle name="Normal 3 2 7 4 6" xfId="5293" xr:uid="{4B3EE30C-AFFC-462F-AF91-E387DD218CDC}"/>
    <cellStyle name="Normal 3 2 7 4 7" xfId="6595" xr:uid="{056221BB-257F-46E5-AEED-9D5457BF317B}"/>
    <cellStyle name="Normal 3 2 7 4 8" xfId="7898" xr:uid="{9F117546-2279-4D3F-99A9-34450404AB32}"/>
    <cellStyle name="Normal 3 2 7 5" xfId="4224" xr:uid="{1009708E-7BEB-406F-8D50-540B2298856B}"/>
    <cellStyle name="Normal 3 2 7 5 2" xfId="5529" xr:uid="{52285C82-B727-4CA7-83CC-B95980FF9477}"/>
    <cellStyle name="Normal 3 2 7 5 3" xfId="6831" xr:uid="{34CD38E9-EA24-46EB-8845-2692DAE5095A}"/>
    <cellStyle name="Normal 3 2 7 6" xfId="4503" xr:uid="{8287507A-B9D9-4C92-8EF6-CAA49A32B44B}"/>
    <cellStyle name="Normal 3 2 7 6 2" xfId="5806" xr:uid="{15B48144-2BE9-4B0C-8CEA-785B286C1933}"/>
    <cellStyle name="Normal 3 2 7 6 3" xfId="7109" xr:uid="{42B1761E-263A-4DDE-8454-F1634DEB2D1D}"/>
    <cellStyle name="Normal 3 2 7 7" xfId="4781" xr:uid="{561256D1-B96D-498E-A25D-90333EEA7F1A}"/>
    <cellStyle name="Normal 3 2 7 7 2" xfId="6083" xr:uid="{53FDCAA8-93B8-4DE1-94E7-4DE28F7742AF}"/>
    <cellStyle name="Normal 3 2 7 7 3" xfId="7386" xr:uid="{D9CA667D-2BC3-40B5-AE8D-C6A64DDDD815}"/>
    <cellStyle name="Normal 3 2 7 8" xfId="3759" xr:uid="{9593A9FB-3E7B-487B-A1FA-D2972EDCFD8D}"/>
    <cellStyle name="Normal 3 2 7 9" xfId="5064" xr:uid="{9877F620-29A1-4868-9F80-8E38F9E00508}"/>
    <cellStyle name="Normal 3 2 8" xfId="26" xr:uid="{1A6667CB-56D8-4FDD-8F5E-B10A2CC5605D}"/>
    <cellStyle name="Normal 3 2 8 10" xfId="7664" xr:uid="{E9D108C4-993E-41BF-AEFB-F8D259156AF0}"/>
    <cellStyle name="Normal 3 2 8 2" xfId="2962" xr:uid="{DD45B365-9B60-49ED-BE76-CFF5D5DAA582}"/>
    <cellStyle name="Normal 3 2 8 2 2" xfId="3631" xr:uid="{CC0F055B-6EF9-4E9B-9D49-E4C1FC9CB8EC}"/>
    <cellStyle name="Normal 3 2 8 2 2 2" xfId="4118" xr:uid="{6D945471-9A52-45E9-B5D9-A75E04B104FD}"/>
    <cellStyle name="Normal 3 2 8 2 2 3" xfId="5423" xr:uid="{D18967CD-B3BF-4C19-9EC2-A177B88C8F91}"/>
    <cellStyle name="Normal 3 2 8 2 2 4" xfId="6725" xr:uid="{DDDEE34C-1882-4E7D-BBB1-0E4DF046192F}"/>
    <cellStyle name="Normal 3 2 8 2 2 5" xfId="8028" xr:uid="{D13F21E0-870E-4F1E-9163-FF958AEA8FA6}"/>
    <cellStyle name="Normal 3 2 8 2 3" xfId="4354" xr:uid="{3AF2918A-B18F-431D-B4D2-F482D58494F0}"/>
    <cellStyle name="Normal 3 2 8 2 3 2" xfId="5659" xr:uid="{6C62DEAA-8A62-4773-A60E-73F5DF8EDF1F}"/>
    <cellStyle name="Normal 3 2 8 2 3 3" xfId="6961" xr:uid="{B498B7B3-A7DB-4A74-9D99-DE25F0C61F37}"/>
    <cellStyle name="Normal 3 2 8 2 4" xfId="4634" xr:uid="{08174003-90CF-4576-A88D-518D37DAF9BB}"/>
    <cellStyle name="Normal 3 2 8 2 4 2" xfId="5936" xr:uid="{39FD63F8-B8BA-422F-8E0C-9D3B4B5E2834}"/>
    <cellStyle name="Normal 3 2 8 2 4 3" xfId="7239" xr:uid="{040045CD-5D5C-407D-A063-DFF9799D3B9B}"/>
    <cellStyle name="Normal 3 2 8 2 5" xfId="4911" xr:uid="{0B5EB6AA-3A41-4E03-9F31-D37CFC2A6D66}"/>
    <cellStyle name="Normal 3 2 8 2 5 2" xfId="6213" xr:uid="{BB059EF1-9361-4D95-8ECA-70BC98E5C184}"/>
    <cellStyle name="Normal 3 2 8 2 5 3" xfId="7516" xr:uid="{99E164DC-4342-49FB-876B-FAB7704EFA31}"/>
    <cellStyle name="Normal 3 2 8 2 6" xfId="3889" xr:uid="{698FE2C4-6F3A-4146-B7B9-83D515FA58DE}"/>
    <cellStyle name="Normal 3 2 8 2 7" xfId="5194" xr:uid="{4305A269-D698-4D86-9BA4-F32AE4611461}"/>
    <cellStyle name="Normal 3 2 8 2 8" xfId="6496" xr:uid="{6A6AEB97-C11D-4384-A736-B1EB5A9C2715}"/>
    <cellStyle name="Normal 3 2 8 2 9" xfId="7799" xr:uid="{F522E548-919C-450C-9E18-57D26D397CF7}"/>
    <cellStyle name="Normal 3 2 8 3" xfId="3496" xr:uid="{2A414241-0D56-46CA-AD32-83B8FE5D2AD7}"/>
    <cellStyle name="Normal 3 2 8 3 2" xfId="3983" xr:uid="{E8AD020F-F316-4202-BE46-8E7C6C3BF183}"/>
    <cellStyle name="Normal 3 2 8 3 3" xfId="5288" xr:uid="{D1260852-9283-4061-8601-3C42A4EE98F1}"/>
    <cellStyle name="Normal 3 2 8 3 4" xfId="6590" xr:uid="{F38513A2-0776-4C05-AADB-CA5D937982AE}"/>
    <cellStyle name="Normal 3 2 8 3 5" xfId="7893" xr:uid="{39058C29-7005-48F8-BB55-DFB9750947DE}"/>
    <cellStyle name="Normal 3 2 8 4" xfId="4219" xr:uid="{4B1D35AE-E36A-4909-933D-98053C6B58A7}"/>
    <cellStyle name="Normal 3 2 8 4 2" xfId="5524" xr:uid="{1FE0912A-C73A-4E44-B6BA-94812ECEFF7C}"/>
    <cellStyle name="Normal 3 2 8 4 3" xfId="6826" xr:uid="{B1443FF8-6366-4424-9D25-12EA23BA184F}"/>
    <cellStyle name="Normal 3 2 8 5" xfId="4498" xr:uid="{E52778D7-3FCA-4EF9-955A-D5FFD4355FBE}"/>
    <cellStyle name="Normal 3 2 8 5 2" xfId="5801" xr:uid="{00FF00B5-9362-4B7B-8129-1D69D2A92FE4}"/>
    <cellStyle name="Normal 3 2 8 5 3" xfId="7104" xr:uid="{AFBE8935-DA66-416C-8A7B-90B554993EF5}"/>
    <cellStyle name="Normal 3 2 8 6" xfId="4776" xr:uid="{D3296AE3-18FD-4EEB-AA9E-5D7CDF022626}"/>
    <cellStyle name="Normal 3 2 8 6 2" xfId="6078" xr:uid="{30CA43B2-F5FB-4CAD-881A-2D540F1B4045}"/>
    <cellStyle name="Normal 3 2 8 6 3" xfId="7381" xr:uid="{EBEEEEDC-C320-45FF-8B7D-7A11102361A2}"/>
    <cellStyle name="Normal 3 2 8 7" xfId="3754" xr:uid="{FE3E9BAC-8B98-41DB-B75B-AF8375C41144}"/>
    <cellStyle name="Normal 3 2 8 8" xfId="5059" xr:uid="{C9E3580A-9C77-41CC-9CE1-93B2937A7217}"/>
    <cellStyle name="Normal 3 2 8 9" xfId="6361" xr:uid="{4957BFBB-4F9D-4E92-BA63-CD389717D7C1}"/>
    <cellStyle name="Normal 3 2 9" xfId="2872" xr:uid="{5731358C-C79B-4179-A65F-2B477AD238AF}"/>
    <cellStyle name="Normal 3 2 9 10" xfId="7709" xr:uid="{CA71832A-E1AF-408F-98A2-2E9A820FF080}"/>
    <cellStyle name="Normal 3 2 9 2" xfId="3018" xr:uid="{714AB98F-C443-4AE8-AF84-F8E43C94A385}"/>
    <cellStyle name="Normal 3 2 9 2 2" xfId="3687" xr:uid="{BCC5716B-B9D8-4018-9F5A-2CB99B6DA829}"/>
    <cellStyle name="Normal 3 2 9 2 2 2" xfId="4158" xr:uid="{1B219909-8CC4-4987-B601-8288A9442054}"/>
    <cellStyle name="Normal 3 2 9 2 2 3" xfId="5463" xr:uid="{E9F30459-2368-4E71-A422-DE28D9E14364}"/>
    <cellStyle name="Normal 3 2 9 2 2 4" xfId="6765" xr:uid="{08737D19-BBD7-4449-B00C-F52B40F1FC0D}"/>
    <cellStyle name="Normal 3 2 9 2 2 5" xfId="8068" xr:uid="{0E6E0801-5671-4F2B-A444-E20F315F0B7D}"/>
    <cellStyle name="Normal 3 2 9 2 3" xfId="4394" xr:uid="{0C870EDB-4792-4B7D-96BA-B059AE69F4C1}"/>
    <cellStyle name="Normal 3 2 9 2 3 2" xfId="5699" xr:uid="{F4DF1A56-1D22-424B-B7AD-3EAF78F388D1}"/>
    <cellStyle name="Normal 3 2 9 2 3 3" xfId="7001" xr:uid="{F0F4AA28-D66A-404E-852D-AE4FAD227A90}"/>
    <cellStyle name="Normal 3 2 9 2 4" xfId="4674" xr:uid="{A6FFF65F-2655-418B-B78B-45AAEE84BDA3}"/>
    <cellStyle name="Normal 3 2 9 2 4 2" xfId="5976" xr:uid="{FCADAE62-1213-4C44-80B4-C95CFA0813E1}"/>
    <cellStyle name="Normal 3 2 9 2 4 3" xfId="7279" xr:uid="{4897D69D-5903-4191-9B92-93CB993F1C98}"/>
    <cellStyle name="Normal 3 2 9 2 5" xfId="4951" xr:uid="{8214D3B4-5D16-4FE7-8410-56A56AAE1618}"/>
    <cellStyle name="Normal 3 2 9 2 5 2" xfId="6253" xr:uid="{C24310CF-DF4A-4164-B195-ACCFFB939F29}"/>
    <cellStyle name="Normal 3 2 9 2 5 3" xfId="7556" xr:uid="{71357E37-5118-499E-876D-96985ADB32EC}"/>
    <cellStyle name="Normal 3 2 9 2 6" xfId="3929" xr:uid="{58A3021E-1F2D-4A90-A85E-66AC98A183BA}"/>
    <cellStyle name="Normal 3 2 9 2 7" xfId="5234" xr:uid="{7D8410CC-6E35-4566-AE3B-373182A6EDDE}"/>
    <cellStyle name="Normal 3 2 9 2 8" xfId="6536" xr:uid="{02D22217-7EE2-4EF8-B85F-09EBF7C952DD}"/>
    <cellStyle name="Normal 3 2 9 2 9" xfId="7839" xr:uid="{D9A9649F-0BF9-499F-AB34-9F54E65335F4}"/>
    <cellStyle name="Normal 3 2 9 3" xfId="3541" xr:uid="{2418FE40-2F8A-49D4-A8F2-E3D8124EF135}"/>
    <cellStyle name="Normal 3 2 9 3 2" xfId="4028" xr:uid="{5BAEF8D9-7317-40F9-ACC5-9F90220AC929}"/>
    <cellStyle name="Normal 3 2 9 3 3" xfId="5333" xr:uid="{4337E770-6BE2-4205-BB2C-C2A427B37662}"/>
    <cellStyle name="Normal 3 2 9 3 4" xfId="6635" xr:uid="{B1285C8B-3918-49D8-BB20-9912656A81B4}"/>
    <cellStyle name="Normal 3 2 9 3 5" xfId="7938" xr:uid="{D12302B1-B02F-46E7-827A-DBA863B2019D}"/>
    <cellStyle name="Normal 3 2 9 4" xfId="4264" xr:uid="{9E2A9281-6E99-4319-8BEE-A141455C819C}"/>
    <cellStyle name="Normal 3 2 9 4 2" xfId="5569" xr:uid="{7E626FB0-1C18-47BC-824F-D31A9A3DE35C}"/>
    <cellStyle name="Normal 3 2 9 4 3" xfId="6871" xr:uid="{83A537B5-3BCF-457E-9773-2E214A02EC34}"/>
    <cellStyle name="Normal 3 2 9 5" xfId="4544" xr:uid="{1803BE2E-1EC9-4234-B3B9-C97511ABBC85}"/>
    <cellStyle name="Normal 3 2 9 5 2" xfId="5846" xr:uid="{42216616-94AF-4933-AEE6-5358B2199013}"/>
    <cellStyle name="Normal 3 2 9 5 3" xfId="7149" xr:uid="{D5E8A7B5-BB50-4A7F-A0F8-70B0684B0F73}"/>
    <cellStyle name="Normal 3 2 9 6" xfId="4821" xr:uid="{621D8CC0-717B-4B11-A5B8-5218BAD64AB6}"/>
    <cellStyle name="Normal 3 2 9 6 2" xfId="6123" xr:uid="{18F1B130-6782-4CCA-BC03-4098214DE375}"/>
    <cellStyle name="Normal 3 2 9 6 3" xfId="7426" xr:uid="{FC70DB7A-8574-432D-A652-F680E2F13EFA}"/>
    <cellStyle name="Normal 3 2 9 7" xfId="3799" xr:uid="{CCD67C49-0CFC-4A19-AA71-695425100D84}"/>
    <cellStyle name="Normal 3 2 9 8" xfId="5104" xr:uid="{E92761B4-1D71-4CE9-AF2B-F23ED53FCEA7}"/>
    <cellStyle name="Normal 3 2 9 9" xfId="6406" xr:uid="{C1EB3CB5-5CDD-4C59-905A-6AC47C401649}"/>
    <cellStyle name="Normal 3 20" xfId="4213" xr:uid="{7D0E09AA-7BEB-45BA-AF55-ED3B5FACB39D}"/>
    <cellStyle name="Normal 3 20 2" xfId="5518" xr:uid="{A46AFD2A-9A7A-4623-8956-BCC57E212B38}"/>
    <cellStyle name="Normal 3 20 3" xfId="6820" xr:uid="{6010574E-BF5C-499E-B29D-69B20B604192}"/>
    <cellStyle name="Normal 3 21" xfId="4492" xr:uid="{C4531D3E-069D-4239-9766-7A380EC1ADB9}"/>
    <cellStyle name="Normal 3 21 2" xfId="5795" xr:uid="{86EF45C4-0B58-4345-976C-A975B2C7C75A}"/>
    <cellStyle name="Normal 3 21 3" xfId="7098" xr:uid="{067900B0-2064-41DE-A81D-FAB8CC74BFD4}"/>
    <cellStyle name="Normal 3 22" xfId="4770" xr:uid="{32667140-29F0-41BB-A7AA-3E2729F1712F}"/>
    <cellStyle name="Normal 3 22 2" xfId="6072" xr:uid="{D90FC01C-01C5-49B7-B215-63F66EE8746B}"/>
    <cellStyle name="Normal 3 22 3" xfId="7375" xr:uid="{84E33751-42CB-45CB-830B-412D3DA4E68C}"/>
    <cellStyle name="Normal 3 23" xfId="3742" xr:uid="{4079E164-5479-4AF3-AA0B-17ADD51246E9}"/>
    <cellStyle name="Normal 3 24" xfId="5047" xr:uid="{19BF1A1E-99BD-457A-990B-0FFAB2A25244}"/>
    <cellStyle name="Normal 3 25" xfId="6349" xr:uid="{AEDE752A-1E5C-40E4-AABB-4F97221CC354}"/>
    <cellStyle name="Normal 3 26" xfId="7652" xr:uid="{A63BF1EC-BFF3-4376-8A7E-D75A37618672}"/>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10" xfId="3769" xr:uid="{FF3133DF-1AEE-475F-8A0B-C277EB3E1372}"/>
    <cellStyle name="Normal 3 4 11" xfId="5074" xr:uid="{51EBD7E8-D761-4EFC-BA27-47D4CF64A811}"/>
    <cellStyle name="Normal 3 4 12" xfId="6376" xr:uid="{7F59F785-3904-4A08-93C0-46A16BE7FD0A}"/>
    <cellStyle name="Normal 3 4 13" xfId="7679" xr:uid="{E7585F98-B2EE-4468-B622-60F7E9B1D6DF}"/>
    <cellStyle name="Normal 3 4 2" xfId="2857" xr:uid="{D1F5F8A0-9BBD-40EB-A3A5-73DF90B65F95}"/>
    <cellStyle name="Normal 3 4 2 10" xfId="5091" xr:uid="{8E8D131F-2930-4C05-9A4A-39EFD8115E81}"/>
    <cellStyle name="Normal 3 4 2 11" xfId="6393" xr:uid="{9DA28F8A-FCB5-451C-942B-83B3EADEFB3C}"/>
    <cellStyle name="Normal 3 4 2 12" xfId="7696" xr:uid="{70C34CC2-D442-4379-97C9-4DC007664CE6}"/>
    <cellStyle name="Normal 3 4 2 2" xfId="2904" xr:uid="{EEA1072A-4906-4504-84C7-D4ACBE500178}"/>
    <cellStyle name="Normal 3 4 2 2 10" xfId="7741" xr:uid="{21F1732A-F42A-40E8-B768-DC3B675B51BE}"/>
    <cellStyle name="Normal 3 4 2 2 2" xfId="3005" xr:uid="{5F709A3B-3C6E-4056-92E9-C518B3C8D56C}"/>
    <cellStyle name="Normal 3 4 2 2 2 2" xfId="3674" xr:uid="{C3006988-0C5B-46E2-A06B-90C1999C7C01}"/>
    <cellStyle name="Normal 3 4 2 2 2 2 2" xfId="4145" xr:uid="{EEBAFF94-9A5C-42A6-871F-9A6A7840272A}"/>
    <cellStyle name="Normal 3 4 2 2 2 2 3" xfId="5450" xr:uid="{35A30B99-21EB-4BEB-B0DE-43FE733E1E6D}"/>
    <cellStyle name="Normal 3 4 2 2 2 2 4" xfId="6752" xr:uid="{F17C4A16-3F82-4F7C-A1B2-E96B7D2ABBC3}"/>
    <cellStyle name="Normal 3 4 2 2 2 2 5" xfId="8055" xr:uid="{485D6F47-432F-47B6-B199-04C04D9AE132}"/>
    <cellStyle name="Normal 3 4 2 2 2 3" xfId="4381" xr:uid="{C763BACA-767B-48BC-8B2F-B14BD1F6806D}"/>
    <cellStyle name="Normal 3 4 2 2 2 3 2" xfId="5686" xr:uid="{D1534A35-AB8B-4B02-88F8-3291883151CA}"/>
    <cellStyle name="Normal 3 4 2 2 2 3 3" xfId="6988" xr:uid="{70590724-F946-4281-ABBB-9C3B2E323F80}"/>
    <cellStyle name="Normal 3 4 2 2 2 4" xfId="4661" xr:uid="{5B2BE471-FEE1-406B-A1B1-452A1D32538E}"/>
    <cellStyle name="Normal 3 4 2 2 2 4 2" xfId="5963" xr:uid="{BFFDD04E-31A2-465C-BC0C-C84B3EDA70A7}"/>
    <cellStyle name="Normal 3 4 2 2 2 4 3" xfId="7266" xr:uid="{ABA28655-AB56-4B76-869A-D93075D69B27}"/>
    <cellStyle name="Normal 3 4 2 2 2 5" xfId="4938" xr:uid="{29DFA2C8-9B0C-481F-ACBE-4E088BA9E02C}"/>
    <cellStyle name="Normal 3 4 2 2 2 5 2" xfId="6240" xr:uid="{3BF8C242-CE84-4674-BB78-D078CB6E0D7B}"/>
    <cellStyle name="Normal 3 4 2 2 2 5 3" xfId="7543" xr:uid="{2C8D0030-8BAE-4A3E-9CE6-1C45DCD9772E}"/>
    <cellStyle name="Normal 3 4 2 2 2 6" xfId="3916" xr:uid="{BAC978C5-57ED-4DEC-B70C-C40C780340D9}"/>
    <cellStyle name="Normal 3 4 2 2 2 7" xfId="5221" xr:uid="{E2C63B10-0B82-4850-9606-D8B91BDDDE2E}"/>
    <cellStyle name="Normal 3 4 2 2 2 8" xfId="6523" xr:uid="{9012D3D0-D7FD-4F2A-913B-56270C626479}"/>
    <cellStyle name="Normal 3 4 2 2 2 9" xfId="7826" xr:uid="{96EB7E21-2222-4373-B78B-C0EA8EC37997}"/>
    <cellStyle name="Normal 3 4 2 2 3" xfId="3573" xr:uid="{1CE5F716-B555-4D0B-B7F6-750E6DF20850}"/>
    <cellStyle name="Normal 3 4 2 2 3 2" xfId="4060" xr:uid="{46732DC9-1254-4E33-AF9A-127C506C1B5C}"/>
    <cellStyle name="Normal 3 4 2 2 3 3" xfId="5365" xr:uid="{FD752339-4ABA-4F6C-82AC-1A3AB316AFEE}"/>
    <cellStyle name="Normal 3 4 2 2 3 4" xfId="6667" xr:uid="{83578042-F820-4917-A873-20D265A7F012}"/>
    <cellStyle name="Normal 3 4 2 2 3 5" xfId="7970" xr:uid="{5F1B7D29-FAD2-4A42-B533-8551012EE12D}"/>
    <cellStyle name="Normal 3 4 2 2 4" xfId="4296" xr:uid="{6E743F7B-3125-4FBE-ACEF-D836B12CFAE7}"/>
    <cellStyle name="Normal 3 4 2 2 4 2" xfId="5601" xr:uid="{7075E264-4BD6-4817-9CEE-47520854F36B}"/>
    <cellStyle name="Normal 3 4 2 2 4 3" xfId="6903" xr:uid="{C81E7933-9846-444D-9026-FC909120FD7B}"/>
    <cellStyle name="Normal 3 4 2 2 5" xfId="4576" xr:uid="{2594C904-D26F-498D-87D5-BA3FF85E5053}"/>
    <cellStyle name="Normal 3 4 2 2 5 2" xfId="5878" xr:uid="{060F2704-507D-4BBD-AB82-7B103DB5AD41}"/>
    <cellStyle name="Normal 3 4 2 2 5 3" xfId="7181" xr:uid="{7207121C-CFB5-4CA8-9AC0-A6E085CB3E4C}"/>
    <cellStyle name="Normal 3 4 2 2 6" xfId="4853" xr:uid="{AB5473B6-811D-4193-8914-024C2A4B9F59}"/>
    <cellStyle name="Normal 3 4 2 2 6 2" xfId="6155" xr:uid="{167A7FCD-8D8F-4C4F-8616-9D3B90E696F7}"/>
    <cellStyle name="Normal 3 4 2 2 6 3" xfId="7458" xr:uid="{326F7EC3-7837-4580-9733-D963C8DD8175}"/>
    <cellStyle name="Normal 3 4 2 2 7" xfId="3831" xr:uid="{D19C7FDF-FFA8-450B-90CA-D8BD175D60D7}"/>
    <cellStyle name="Normal 3 4 2 2 8" xfId="5136" xr:uid="{E423120E-1202-4C2C-9429-31118C3E91D9}"/>
    <cellStyle name="Normal 3 4 2 2 9" xfId="6438" xr:uid="{37D0DC8C-BC7A-4388-879E-600BEFCB0B7E}"/>
    <cellStyle name="Normal 3 4 2 3" xfId="3449" xr:uid="{F69352A1-49EA-464C-9645-A8456832A839}"/>
    <cellStyle name="Normal 3 4 2 3 2" xfId="3714" xr:uid="{F8A2F1CE-FB41-491C-8893-5596652AB2E3}"/>
    <cellStyle name="Normal 3 4 2 3 2 2" xfId="4185" xr:uid="{D60CF232-B4FF-47E6-85F1-B3561458505F}"/>
    <cellStyle name="Normal 3 4 2 3 2 3" xfId="5490" xr:uid="{0177EEDD-2D28-4939-B3E1-58B96DC7277A}"/>
    <cellStyle name="Normal 3 4 2 3 2 4" xfId="6792" xr:uid="{011C2866-9492-4B32-86BF-DEA1242F1ED6}"/>
    <cellStyle name="Normal 3 4 2 3 2 5" xfId="8095" xr:uid="{5F357F2E-C2AB-4455-BDA8-D95CA778FEE3}"/>
    <cellStyle name="Normal 3 4 2 3 3" xfId="4421" xr:uid="{2E570BE8-2C6B-41F3-8FD1-99F318F66FDE}"/>
    <cellStyle name="Normal 3 4 2 3 3 2" xfId="5726" xr:uid="{B31CE48D-E97C-4561-B329-232B0B7EBF10}"/>
    <cellStyle name="Normal 3 4 2 3 3 3" xfId="7028" xr:uid="{B3114048-FFF1-4485-9A29-897C95188ADD}"/>
    <cellStyle name="Normal 3 4 2 3 4" xfId="4701" xr:uid="{3BFF5106-D777-40DF-B075-6C687A26693A}"/>
    <cellStyle name="Normal 3 4 2 3 4 2" xfId="6003" xr:uid="{E33E6AB6-1718-41B9-8079-54BE270CC216}"/>
    <cellStyle name="Normal 3 4 2 3 4 3" xfId="7306" xr:uid="{1C796433-B6D0-44B4-B24E-08FB86E9CBC7}"/>
    <cellStyle name="Normal 3 4 2 3 5" xfId="4978" xr:uid="{B5555FD2-7BEC-418F-8ACC-1D164C1D7776}"/>
    <cellStyle name="Normal 3 4 2 3 5 2" xfId="6280" xr:uid="{EC798F3E-92BE-44FC-89DD-FF8154D8935E}"/>
    <cellStyle name="Normal 3 4 2 3 5 3" xfId="7583" xr:uid="{16BF03AF-F002-4275-BC66-4AD2E0D5BA42}"/>
    <cellStyle name="Normal 3 4 2 3 6" xfId="3956" xr:uid="{2AEAC663-BAA9-4A80-8234-31227AEB1AFF}"/>
    <cellStyle name="Normal 3 4 2 3 7" xfId="5261" xr:uid="{9148C69F-4654-4D39-865E-3A5E5C83F365}"/>
    <cellStyle name="Normal 3 4 2 3 8" xfId="6563" xr:uid="{2E7C0592-B2A6-4F45-827D-15D43AE7695C}"/>
    <cellStyle name="Normal 3 4 2 3 9" xfId="7866" xr:uid="{D619F5FF-2AF1-4042-932A-529925D2BE54}"/>
    <cellStyle name="Normal 3 4 2 4" xfId="2949" xr:uid="{234F18C6-0530-4CFB-8567-9E316EFEA0F4}"/>
    <cellStyle name="Normal 3 4 2 4 2" xfId="3618" xr:uid="{F0D04E7E-2E24-4278-98F3-7B7E1A4B9B7A}"/>
    <cellStyle name="Normal 3 4 2 4 2 2" xfId="4105" xr:uid="{B3520017-666F-487B-842F-1A3538B5F2EE}"/>
    <cellStyle name="Normal 3 4 2 4 2 3" xfId="5410" xr:uid="{4FA58291-4F28-4467-BC73-A2BD75B86361}"/>
    <cellStyle name="Normal 3 4 2 4 2 4" xfId="6712" xr:uid="{9D0007AA-CAB1-4165-B0B2-86C82D5D343E}"/>
    <cellStyle name="Normal 3 4 2 4 2 5" xfId="8015" xr:uid="{1D36610D-4521-429C-B627-2AF6A578574C}"/>
    <cellStyle name="Normal 3 4 2 4 3" xfId="4341" xr:uid="{A4576285-4737-44B2-B72F-32774F506EB8}"/>
    <cellStyle name="Normal 3 4 2 4 3 2" xfId="5646" xr:uid="{A1979DD8-A683-4CEC-A21E-C384FE3F7C35}"/>
    <cellStyle name="Normal 3 4 2 4 3 3" xfId="6948" xr:uid="{70CC4BB6-FEE9-4691-B9E9-3CDA219F4A27}"/>
    <cellStyle name="Normal 3 4 2 4 4" xfId="4621" xr:uid="{82DA609D-C40B-43D0-991D-54B848B10C76}"/>
    <cellStyle name="Normal 3 4 2 4 4 2" xfId="5923" xr:uid="{A81532EF-645D-4291-AA04-8767CC9195F6}"/>
    <cellStyle name="Normal 3 4 2 4 4 3" xfId="7226" xr:uid="{BCAF09FB-0B5C-4221-81B5-50619BE0993E}"/>
    <cellStyle name="Normal 3 4 2 4 5" xfId="4898" xr:uid="{2C414600-5F5D-4954-85C0-88161746D14E}"/>
    <cellStyle name="Normal 3 4 2 4 5 2" xfId="6200" xr:uid="{F154B1D2-F672-449B-8D52-343A474568B4}"/>
    <cellStyle name="Normal 3 4 2 4 5 3" xfId="7503" xr:uid="{DD5FF3EF-14F3-4B7B-9E28-762B00C081A5}"/>
    <cellStyle name="Normal 3 4 2 4 6" xfId="3876" xr:uid="{C1D81ECF-B86E-49D5-87CB-579A1DD5ABE6}"/>
    <cellStyle name="Normal 3 4 2 4 7" xfId="5181" xr:uid="{3E771B31-1ADD-4F92-8366-D10EB2ACB5EC}"/>
    <cellStyle name="Normal 3 4 2 4 8" xfId="6483" xr:uid="{886193D1-46BB-41AD-8FFB-EE96B2DA3110}"/>
    <cellStyle name="Normal 3 4 2 4 9" xfId="7786" xr:uid="{356A70A5-AEEA-4BA2-AF05-1DA03E6C5AA7}"/>
    <cellStyle name="Normal 3 4 2 5" xfId="3528" xr:uid="{BD8ADA06-C78C-4CAC-A038-694E43819B7E}"/>
    <cellStyle name="Normal 3 4 2 5 2" xfId="4477" xr:uid="{0B4E56C0-8C77-489E-B3AF-1632E373A186}"/>
    <cellStyle name="Normal 3 4 2 5 2 2" xfId="5780" xr:uid="{7EF62749-B48D-4147-87CF-53CDEE001472}"/>
    <cellStyle name="Normal 3 4 2 5 2 3" xfId="7083" xr:uid="{5A2EDF44-28ED-4E4B-9D63-FBA5BE116FC0}"/>
    <cellStyle name="Normal 3 4 2 5 3" xfId="4755" xr:uid="{2E81263C-58C0-42AB-B56B-E26DDEBB42CF}"/>
    <cellStyle name="Normal 3 4 2 5 3 2" xfId="6057" xr:uid="{B89F676F-6CB4-46DA-B1DA-D80302925B41}"/>
    <cellStyle name="Normal 3 4 2 5 3 3" xfId="7360" xr:uid="{2B51E5D4-22B5-4C88-8950-24D4C29EC0D1}"/>
    <cellStyle name="Normal 3 4 2 5 4" xfId="5032" xr:uid="{4ECC9317-145B-4ADC-8CA8-CE70EB9C7705}"/>
    <cellStyle name="Normal 3 4 2 5 4 2" xfId="6334" xr:uid="{B837B12B-7F7F-46AD-8E2C-720167BD1304}"/>
    <cellStyle name="Normal 3 4 2 5 4 3" xfId="7637" xr:uid="{3601822A-0D27-4DB6-B2BA-D3B54DE764FC}"/>
    <cellStyle name="Normal 3 4 2 5 5" xfId="4015" xr:uid="{87ACF56A-39FD-4FB9-9288-8AB351E36086}"/>
    <cellStyle name="Normal 3 4 2 5 6" xfId="5320" xr:uid="{FA4F1E0B-373D-4908-8B32-AD3FEF506589}"/>
    <cellStyle name="Normal 3 4 2 5 7" xfId="6622" xr:uid="{D4EA7C71-D8C2-43B9-9CA3-7EC799EDFED2}"/>
    <cellStyle name="Normal 3 4 2 5 8" xfId="7925" xr:uid="{BA5FA434-618B-440B-8973-E90DD21C4D23}"/>
    <cellStyle name="Normal 3 4 2 6" xfId="4251" xr:uid="{73C02316-08DB-4B11-AAE1-F066FE5217AE}"/>
    <cellStyle name="Normal 3 4 2 6 2" xfId="5556" xr:uid="{D9E70C71-4BC3-49B9-9962-9E5C8DC6CAE0}"/>
    <cellStyle name="Normal 3 4 2 6 3" xfId="6858" xr:uid="{93572869-606E-4EA5-B045-0ECB98E2F54B}"/>
    <cellStyle name="Normal 3 4 2 7" xfId="4531" xr:uid="{0463D259-012F-4B9B-93AB-56E7FF5140D9}"/>
    <cellStyle name="Normal 3 4 2 7 2" xfId="5833" xr:uid="{EFF3AE23-5A8D-42C4-86C6-607413467156}"/>
    <cellStyle name="Normal 3 4 2 7 3" xfId="7136" xr:uid="{2AE96E12-9BFA-453D-8A15-B6C4C3A9AD03}"/>
    <cellStyle name="Normal 3 4 2 8" xfId="4808" xr:uid="{1444CC98-AEE5-45EB-90EC-77AD68E5EB16}"/>
    <cellStyle name="Normal 3 4 2 8 2" xfId="6110" xr:uid="{CCC2955F-6E74-4106-82FD-3E488907C06C}"/>
    <cellStyle name="Normal 3 4 2 8 3" xfId="7413" xr:uid="{C0FD93DE-AB3B-4C07-93AA-F6BEA4AC9ED9}"/>
    <cellStyle name="Normal 3 4 2 9" xfId="3786" xr:uid="{52E29445-BC80-4D08-9429-25BC4A90B9DB}"/>
    <cellStyle name="Normal 3 4 3" xfId="2887" xr:uid="{4250C279-464F-48CB-8AC2-E6FD78211848}"/>
    <cellStyle name="Normal 3 4 3 10" xfId="7724" xr:uid="{3E55E83D-D2FE-4338-86AF-6675BDDC89E5}"/>
    <cellStyle name="Normal 3 4 3 2" xfId="2988" xr:uid="{B3F2BA6A-0E88-4FCC-B919-25E912452C72}"/>
    <cellStyle name="Normal 3 4 3 2 2" xfId="3657" xr:uid="{A47EDDB5-6627-4F82-A69D-547318AABEE9}"/>
    <cellStyle name="Normal 3 4 3 2 2 2" xfId="4128" xr:uid="{2971FA5D-7987-4851-8C46-6D1EE107BDB3}"/>
    <cellStyle name="Normal 3 4 3 2 2 3" xfId="5433" xr:uid="{BEEAC392-C38C-4988-980E-67C8EE115298}"/>
    <cellStyle name="Normal 3 4 3 2 2 4" xfId="6735" xr:uid="{CBCDD442-30B0-4216-B46E-589893A73E25}"/>
    <cellStyle name="Normal 3 4 3 2 2 5" xfId="8038" xr:uid="{79BC3EE5-0247-44CF-B7B0-C955DA85BEC5}"/>
    <cellStyle name="Normal 3 4 3 2 3" xfId="4364" xr:uid="{425E5F6E-C051-4D0E-B630-EDEA5F586834}"/>
    <cellStyle name="Normal 3 4 3 2 3 2" xfId="5669" xr:uid="{C74F16FA-F916-45BE-94C4-55A6D4848168}"/>
    <cellStyle name="Normal 3 4 3 2 3 3" xfId="6971" xr:uid="{FA626661-4033-49C9-90C0-3BD164D0608E}"/>
    <cellStyle name="Normal 3 4 3 2 4" xfId="4644" xr:uid="{504C3C8B-BFD5-4E78-818C-CBB14D293C8C}"/>
    <cellStyle name="Normal 3 4 3 2 4 2" xfId="5946" xr:uid="{D51E8812-E0F9-4817-A352-CC92129A0447}"/>
    <cellStyle name="Normal 3 4 3 2 4 3" xfId="7249" xr:uid="{ECB6E077-EE0F-4D58-86B0-40597F7A39F3}"/>
    <cellStyle name="Normal 3 4 3 2 5" xfId="4921" xr:uid="{385AA1D2-F7C2-4F3F-B81D-4B1B60CB06C2}"/>
    <cellStyle name="Normal 3 4 3 2 5 2" xfId="6223" xr:uid="{C8AB66E1-F134-4D7A-85E0-E7F7CDED1803}"/>
    <cellStyle name="Normal 3 4 3 2 5 3" xfId="7526" xr:uid="{565CB17C-9CD0-436C-A2F6-DD00C056F992}"/>
    <cellStyle name="Normal 3 4 3 2 6" xfId="3899" xr:uid="{323CE7FF-A69C-498B-869F-84A348A21C03}"/>
    <cellStyle name="Normal 3 4 3 2 7" xfId="5204" xr:uid="{316C0BED-17CE-4A88-9E03-CF0F50AF941C}"/>
    <cellStyle name="Normal 3 4 3 2 8" xfId="6506" xr:uid="{C7274302-9869-4338-9BA5-98B0857AB7B6}"/>
    <cellStyle name="Normal 3 4 3 2 9" xfId="7809" xr:uid="{C57113DC-B8E5-4C90-93E9-47509EF2B110}"/>
    <cellStyle name="Normal 3 4 3 3" xfId="3556" xr:uid="{56DC35D1-75FD-453E-90A6-BB86E3E6E135}"/>
    <cellStyle name="Normal 3 4 3 3 2" xfId="4043" xr:uid="{FB5A7459-650A-4020-BD75-8D792961E1A3}"/>
    <cellStyle name="Normal 3 4 3 3 3" xfId="5348" xr:uid="{67C5AE88-F0C2-42EE-B72B-681A16DEBBC8}"/>
    <cellStyle name="Normal 3 4 3 3 4" xfId="6650" xr:uid="{6873AD78-EA1D-467B-B555-A09237513D1E}"/>
    <cellStyle name="Normal 3 4 3 3 5" xfId="7953" xr:uid="{2827667B-2163-4D80-BC51-B821F6EE1AB2}"/>
    <cellStyle name="Normal 3 4 3 4" xfId="4279" xr:uid="{291856BA-4C4B-4270-9F58-0FC0AF8E23DB}"/>
    <cellStyle name="Normal 3 4 3 4 2" xfId="5584" xr:uid="{2A7EE9D2-2DD2-4907-96F1-0053F4840066}"/>
    <cellStyle name="Normal 3 4 3 4 3" xfId="6886" xr:uid="{BC7AE87D-728D-4895-B367-3BE12421F20B}"/>
    <cellStyle name="Normal 3 4 3 5" xfId="4559" xr:uid="{25A400D0-F415-4434-92DC-9C5380E92713}"/>
    <cellStyle name="Normal 3 4 3 5 2" xfId="5861" xr:uid="{E576754B-A74D-42B8-90E9-F71865D74276}"/>
    <cellStyle name="Normal 3 4 3 5 3" xfId="7164" xr:uid="{2C5F8BC7-4AF2-4883-B099-49AEC715A642}"/>
    <cellStyle name="Normal 3 4 3 6" xfId="4836" xr:uid="{859C26C4-4030-4BE3-B7F8-DDA8A7D910A4}"/>
    <cellStyle name="Normal 3 4 3 6 2" xfId="6138" xr:uid="{25879A27-8528-4245-8983-2C0EEB8ACBA0}"/>
    <cellStyle name="Normal 3 4 3 6 3" xfId="7441" xr:uid="{17956FAB-0660-4249-80C7-67D921AF9C8A}"/>
    <cellStyle name="Normal 3 4 3 7" xfId="3814" xr:uid="{060BA1D8-F355-4135-B82F-5EC9EB1AA2C6}"/>
    <cellStyle name="Normal 3 4 3 8" xfId="5119" xr:uid="{66AC159E-298D-48B2-8DEE-662C78A27146}"/>
    <cellStyle name="Normal 3 4 3 9" xfId="6421" xr:uid="{E55AFC37-0368-444F-A990-E45153C7EB2E}"/>
    <cellStyle name="Normal 3 4 4" xfId="3425" xr:uid="{362C761A-090E-4494-B5E1-44C63EF42BC2}"/>
    <cellStyle name="Normal 3 4 4 2" xfId="3697" xr:uid="{098C6541-C5CD-41F4-99E2-563374098DE3}"/>
    <cellStyle name="Normal 3 4 4 2 2" xfId="4168" xr:uid="{639541EC-EF57-4169-9206-60DECD8947CA}"/>
    <cellStyle name="Normal 3 4 4 2 3" xfId="5473" xr:uid="{0ED8FC04-E1DF-49CF-8512-EABD7F5B5E48}"/>
    <cellStyle name="Normal 3 4 4 2 4" xfId="6775" xr:uid="{2C354018-35D9-4C1A-9A58-FAD91E1F9DB2}"/>
    <cellStyle name="Normal 3 4 4 2 5" xfId="8078" xr:uid="{692EC1D9-4B69-4513-AD84-5F09BF29E32E}"/>
    <cellStyle name="Normal 3 4 4 3" xfId="4404" xr:uid="{52BBF8E2-13A0-4F70-926D-F4F085AACD60}"/>
    <cellStyle name="Normal 3 4 4 3 2" xfId="5709" xr:uid="{8C2E0772-721B-4EA5-B48B-480F8DC2BE9F}"/>
    <cellStyle name="Normal 3 4 4 3 3" xfId="7011" xr:uid="{C0452C04-3123-4CCD-AD0B-92D8D51CE3E5}"/>
    <cellStyle name="Normal 3 4 4 4" xfId="4684" xr:uid="{1ED42E1A-A036-49FC-B5AA-D3797F85AF33}"/>
    <cellStyle name="Normal 3 4 4 4 2" xfId="5986" xr:uid="{FD3DD84B-9F8F-4A80-81F2-A8FB6F8758BC}"/>
    <cellStyle name="Normal 3 4 4 4 3" xfId="7289" xr:uid="{C9319918-9703-4EA9-8EED-427109956B27}"/>
    <cellStyle name="Normal 3 4 4 5" xfId="4961" xr:uid="{025A43DB-0ACB-4C33-A3C6-ECC0D9C3B03A}"/>
    <cellStyle name="Normal 3 4 4 5 2" xfId="6263" xr:uid="{6DF5AA4C-CAB3-47AB-A8E3-3D1EE321B601}"/>
    <cellStyle name="Normal 3 4 4 5 3" xfId="7566" xr:uid="{2A43E0FF-E67F-40CF-BDAA-934768AE7EA7}"/>
    <cellStyle name="Normal 3 4 4 6" xfId="3939" xr:uid="{07D76823-A2EF-4401-A18A-94BAC0BA6B59}"/>
    <cellStyle name="Normal 3 4 4 7" xfId="5244" xr:uid="{13F7EBB8-DC7A-4AE3-B007-F57402E06359}"/>
    <cellStyle name="Normal 3 4 4 8" xfId="6546" xr:uid="{026323DD-B0BE-44E6-8D84-4AC656B6C6EE}"/>
    <cellStyle name="Normal 3 4 4 9" xfId="7849" xr:uid="{C6B8A850-8791-4DAB-9A6A-CF44B709BEE1}"/>
    <cellStyle name="Normal 3 4 5" xfId="2932" xr:uid="{40F72571-2003-43CD-B387-825810AD604A}"/>
    <cellStyle name="Normal 3 4 5 2" xfId="3601" xr:uid="{4E3FDC2F-EBE6-4287-B788-11F779DC796F}"/>
    <cellStyle name="Normal 3 4 5 2 2" xfId="4088" xr:uid="{824DB1FA-9A6E-4F6B-9281-09C34F161C2A}"/>
    <cellStyle name="Normal 3 4 5 2 3" xfId="5393" xr:uid="{224DDA7A-840F-4AF7-895C-B467B5FF5483}"/>
    <cellStyle name="Normal 3 4 5 2 4" xfId="6695" xr:uid="{CB67F673-B4CA-406B-9C95-D10E9FAF405F}"/>
    <cellStyle name="Normal 3 4 5 2 5" xfId="7998" xr:uid="{A3F48F59-44D7-4B7E-A5E5-60858C5D3D55}"/>
    <cellStyle name="Normal 3 4 5 3" xfId="4324" xr:uid="{974964CB-37D2-44EE-8718-E23823E7E915}"/>
    <cellStyle name="Normal 3 4 5 3 2" xfId="5629" xr:uid="{831B6AB2-B699-46F3-B9A1-94E6ED6F2C44}"/>
    <cellStyle name="Normal 3 4 5 3 3" xfId="6931" xr:uid="{59992427-7FAF-4078-81DF-8861E9D6BEA5}"/>
    <cellStyle name="Normal 3 4 5 4" xfId="4604" xr:uid="{BF83BD86-31E4-47B2-8C24-1DD43E283145}"/>
    <cellStyle name="Normal 3 4 5 4 2" xfId="5906" xr:uid="{1D4E304C-771C-4F56-9F11-ED24E17BEA28}"/>
    <cellStyle name="Normal 3 4 5 4 3" xfId="7209" xr:uid="{8E37961A-B293-4503-B678-1CBEC9D69370}"/>
    <cellStyle name="Normal 3 4 5 5" xfId="4881" xr:uid="{5A4A4B10-EA01-4090-8D4B-A79DA3F4757A}"/>
    <cellStyle name="Normal 3 4 5 5 2" xfId="6183" xr:uid="{4FBD288C-4F7F-4B73-8637-DAE38F39D86E}"/>
    <cellStyle name="Normal 3 4 5 5 3" xfId="7486" xr:uid="{4CBBDEAA-E4D6-46FA-8BCA-065B03350C23}"/>
    <cellStyle name="Normal 3 4 5 6" xfId="3859" xr:uid="{A0986BBC-4720-43B4-961C-5987FF336052}"/>
    <cellStyle name="Normal 3 4 5 7" xfId="5164" xr:uid="{71814569-AD2B-40C9-883D-A6D411B2A5F1}"/>
    <cellStyle name="Normal 3 4 5 8" xfId="6466" xr:uid="{C1E7AB24-4B01-42D4-BB15-8ECBCA6E1DE1}"/>
    <cellStyle name="Normal 3 4 5 9" xfId="7769" xr:uid="{BEF7DB66-94D4-42EF-A4A6-A88C38E11775}"/>
    <cellStyle name="Normal 3 4 6" xfId="3511" xr:uid="{298C2B22-9A61-4873-8668-E49EC897D026}"/>
    <cellStyle name="Normal 3 4 6 2" xfId="4460" xr:uid="{45467A2E-A0E3-4A46-A6C9-64F739FDB9C5}"/>
    <cellStyle name="Normal 3 4 6 2 2" xfId="5763" xr:uid="{93AD8B01-4B35-44F2-A093-25AF8505119C}"/>
    <cellStyle name="Normal 3 4 6 2 3" xfId="7066" xr:uid="{69E7B559-1422-47B7-87DC-7A3FD2474664}"/>
    <cellStyle name="Normal 3 4 6 3" xfId="4738" xr:uid="{6BAD0464-21A8-49B5-8EB2-38213187EEEC}"/>
    <cellStyle name="Normal 3 4 6 3 2" xfId="6040" xr:uid="{50F2B4E0-8BB8-4A5E-BF31-0E6B2055BAC1}"/>
    <cellStyle name="Normal 3 4 6 3 3" xfId="7343" xr:uid="{788572F1-D4E3-4702-AEAD-11A94BF265D4}"/>
    <cellStyle name="Normal 3 4 6 4" xfId="5015" xr:uid="{FA0E4D8D-A757-4D04-87D9-0FC22CB75606}"/>
    <cellStyle name="Normal 3 4 6 4 2" xfId="6317" xr:uid="{4EC7F067-B304-4841-B054-92D293A4EFB2}"/>
    <cellStyle name="Normal 3 4 6 4 3" xfId="7620" xr:uid="{8E25AC22-C948-4C2C-A0E9-B460F3A1157F}"/>
    <cellStyle name="Normal 3 4 6 5" xfId="3998" xr:uid="{9892ABAB-18FE-48BC-A6F0-E6DC038B072D}"/>
    <cellStyle name="Normal 3 4 6 6" xfId="5303" xr:uid="{995766DC-E206-4A5E-A0C5-2D754A2D1EB2}"/>
    <cellStyle name="Normal 3 4 6 7" xfId="6605" xr:uid="{F24AFD55-8FD5-45AE-B413-9BFF15F93359}"/>
    <cellStyle name="Normal 3 4 6 8" xfId="7908" xr:uid="{6B774092-058C-4932-BD6F-B78F1FD18F7A}"/>
    <cellStyle name="Normal 3 4 7" xfId="4234" xr:uid="{0150AFA3-0D80-437C-A366-207CE62DF385}"/>
    <cellStyle name="Normal 3 4 7 2" xfId="5539" xr:uid="{24DFFBC0-C8A0-4A55-9724-C525BDCE7470}"/>
    <cellStyle name="Normal 3 4 7 3" xfId="6841" xr:uid="{57E0D424-DD7C-4D11-AE44-1AD165D0A4CA}"/>
    <cellStyle name="Normal 3 4 8" xfId="4513" xr:uid="{C69636D4-8A96-4183-867E-179D9304A793}"/>
    <cellStyle name="Normal 3 4 8 2" xfId="5816" xr:uid="{063B4E3C-B0E6-447D-AFFB-9BD739F6AB6E}"/>
    <cellStyle name="Normal 3 4 8 3" xfId="7119" xr:uid="{56E1F563-51F4-4961-A830-09DFEF4E8FC3}"/>
    <cellStyle name="Normal 3 4 9" xfId="4791" xr:uid="{DF8EBC15-EB68-46FA-9DE8-8CFD74C43596}"/>
    <cellStyle name="Normal 3 4 9 2" xfId="6093" xr:uid="{EB8EDAB2-4643-4430-BB5A-4D27BB61F644}"/>
    <cellStyle name="Normal 3 4 9 3" xfId="7396" xr:uid="{B13F606E-4153-4406-B39A-1DAF898C7E2C}"/>
    <cellStyle name="Normal 3 5" xfId="2542" xr:uid="{041985D6-4BF0-454E-A2C5-99D91D4E0F4D}"/>
    <cellStyle name="Normal 3 5 10" xfId="3773" xr:uid="{0E1798D4-8D4A-43A2-B339-464E5B01354C}"/>
    <cellStyle name="Normal 3 5 11" xfId="5078" xr:uid="{71D808F0-8BBD-4ADB-A9F2-2A33BF6FE662}"/>
    <cellStyle name="Normal 3 5 12" xfId="6380" xr:uid="{9AD3AFF8-1BAF-482A-BDE5-E2F8D04B16DE}"/>
    <cellStyle name="Normal 3 5 13" xfId="7683" xr:uid="{BB555F3E-9770-4758-87E8-B7AE9C97C9FA}"/>
    <cellStyle name="Normal 3 5 2" xfId="2861" xr:uid="{C63282DC-B149-489C-98F5-597A0276EF86}"/>
    <cellStyle name="Normal 3 5 2 10" xfId="5095" xr:uid="{FC6C4905-2AEA-451F-AFB4-65494C03C867}"/>
    <cellStyle name="Normal 3 5 2 11" xfId="6397" xr:uid="{EB28869C-4062-41A4-B099-5C42A42AFC91}"/>
    <cellStyle name="Normal 3 5 2 12" xfId="7700" xr:uid="{43D96AD0-2876-4868-9631-EB086C7EC4F3}"/>
    <cellStyle name="Normal 3 5 2 2" xfId="2908" xr:uid="{EEBC4BD3-0C0A-4FC0-BCF1-DB11F46EFFCB}"/>
    <cellStyle name="Normal 3 5 2 2 10" xfId="7745" xr:uid="{24DF4CA9-FA18-4369-8ABD-4CBBE2B11E36}"/>
    <cellStyle name="Normal 3 5 2 2 2" xfId="3009" xr:uid="{59B8F8C8-CDA2-4F04-A0F1-E90951AFAE71}"/>
    <cellStyle name="Normal 3 5 2 2 2 2" xfId="3678" xr:uid="{4991A8CD-45DC-4862-A710-7C678D39C4A5}"/>
    <cellStyle name="Normal 3 5 2 2 2 2 2" xfId="4149" xr:uid="{DE4D229D-26F3-4E66-81FC-21975F322A20}"/>
    <cellStyle name="Normal 3 5 2 2 2 2 3" xfId="5454" xr:uid="{7A850E65-C835-44CD-BEF5-022F724FB77C}"/>
    <cellStyle name="Normal 3 5 2 2 2 2 4" xfId="6756" xr:uid="{180FED7D-4B85-45B2-923D-B79A73ACD719}"/>
    <cellStyle name="Normal 3 5 2 2 2 2 5" xfId="8059" xr:uid="{FAB4D88D-0FBA-491C-88D8-75763FAC6ABA}"/>
    <cellStyle name="Normal 3 5 2 2 2 3" xfId="4385" xr:uid="{0774B972-8A0D-45CB-BAB4-8C1017B9C2DA}"/>
    <cellStyle name="Normal 3 5 2 2 2 3 2" xfId="5690" xr:uid="{38B86D25-D8A0-4A8C-AF6A-C2F92A528B4F}"/>
    <cellStyle name="Normal 3 5 2 2 2 3 3" xfId="6992" xr:uid="{1A156D55-3696-46EC-AF65-4ACC6D17966F}"/>
    <cellStyle name="Normal 3 5 2 2 2 4" xfId="4665" xr:uid="{D1333639-249F-4161-9994-406378A79935}"/>
    <cellStyle name="Normal 3 5 2 2 2 4 2" xfId="5967" xr:uid="{BBB2D86D-CE72-43F8-8B84-070E3A8556E8}"/>
    <cellStyle name="Normal 3 5 2 2 2 4 3" xfId="7270" xr:uid="{96D9209A-9E9D-40CE-B0B2-1B35EB6D0662}"/>
    <cellStyle name="Normal 3 5 2 2 2 5" xfId="4942" xr:uid="{423E93F7-AB61-403E-BCD3-88979247B743}"/>
    <cellStyle name="Normal 3 5 2 2 2 5 2" xfId="6244" xr:uid="{6F6C95DF-B12D-49E9-915A-B89824DECB8A}"/>
    <cellStyle name="Normal 3 5 2 2 2 5 3" xfId="7547" xr:uid="{66DF6D3E-AF3B-42BE-91CE-BB674AB171A7}"/>
    <cellStyle name="Normal 3 5 2 2 2 6" xfId="3920" xr:uid="{BD1278CF-0531-422F-9A4E-CC0CD2AB4AEC}"/>
    <cellStyle name="Normal 3 5 2 2 2 7" xfId="5225" xr:uid="{208D46BF-F358-4A72-AFFC-FCD9C6F66479}"/>
    <cellStyle name="Normal 3 5 2 2 2 8" xfId="6527" xr:uid="{97E531B0-B96B-4D6E-9466-858EDC178543}"/>
    <cellStyle name="Normal 3 5 2 2 2 9" xfId="7830" xr:uid="{9AF1EE4A-4614-499E-9E76-702D293238C2}"/>
    <cellStyle name="Normal 3 5 2 2 3" xfId="3577" xr:uid="{69E745A6-02F7-47F3-9760-DE85AE2423DE}"/>
    <cellStyle name="Normal 3 5 2 2 3 2" xfId="4064" xr:uid="{42303E00-D16F-47BE-91B5-9A50A419C36E}"/>
    <cellStyle name="Normal 3 5 2 2 3 3" xfId="5369" xr:uid="{1EECB9C3-0815-4557-94C1-EFCCC0814416}"/>
    <cellStyle name="Normal 3 5 2 2 3 4" xfId="6671" xr:uid="{C6F6B0C7-B226-4EA3-97DB-73ABB48759BB}"/>
    <cellStyle name="Normal 3 5 2 2 3 5" xfId="7974" xr:uid="{A893BC2C-596E-474D-883A-6506ACBAC752}"/>
    <cellStyle name="Normal 3 5 2 2 4" xfId="4300" xr:uid="{7EF6F120-9897-4E1B-9E17-A192C65C3EF2}"/>
    <cellStyle name="Normal 3 5 2 2 4 2" xfId="5605" xr:uid="{0245BB5D-436B-4FCE-9323-770CA17551CC}"/>
    <cellStyle name="Normal 3 5 2 2 4 3" xfId="6907" xr:uid="{5F98B71C-3B13-4141-8C99-6310CE100B77}"/>
    <cellStyle name="Normal 3 5 2 2 5" xfId="4580" xr:uid="{F809A964-6FF3-4D45-A8E4-F87081936DE7}"/>
    <cellStyle name="Normal 3 5 2 2 5 2" xfId="5882" xr:uid="{E4DAC4B8-F653-46A9-A41F-1804A7E7976F}"/>
    <cellStyle name="Normal 3 5 2 2 5 3" xfId="7185" xr:uid="{DE151A90-1132-4178-A66E-C0134FCF53F8}"/>
    <cellStyle name="Normal 3 5 2 2 6" xfId="4857" xr:uid="{49AC8680-3EC7-4A9E-9083-4E807DBE43EB}"/>
    <cellStyle name="Normal 3 5 2 2 6 2" xfId="6159" xr:uid="{FD8EB5CF-6B5F-4F24-A1F6-30B64207684B}"/>
    <cellStyle name="Normal 3 5 2 2 6 3" xfId="7462" xr:uid="{22BFC1E0-D05F-4442-BE53-376883ACB878}"/>
    <cellStyle name="Normal 3 5 2 2 7" xfId="3835" xr:uid="{BE33FEA3-F931-4932-B2AB-184B1D124F11}"/>
    <cellStyle name="Normal 3 5 2 2 8" xfId="5140" xr:uid="{F9FBA3D1-0E13-4CB0-A8E0-C07518351F93}"/>
    <cellStyle name="Normal 3 5 2 2 9" xfId="6442" xr:uid="{FE4BE107-29DB-4C99-A80A-E8B0EE4ABBD9}"/>
    <cellStyle name="Normal 3 5 2 3" xfId="3453" xr:uid="{3840D03D-FA91-4CD5-B314-888A226ABFF0}"/>
    <cellStyle name="Normal 3 5 2 3 2" xfId="3718" xr:uid="{7656B2BD-CE02-4B20-BDBE-66CB07948D6D}"/>
    <cellStyle name="Normal 3 5 2 3 2 2" xfId="4189" xr:uid="{F448B764-03A2-4599-94B2-FB9DB99BCB88}"/>
    <cellStyle name="Normal 3 5 2 3 2 3" xfId="5494" xr:uid="{F1FCB311-02AB-407F-B2EB-84C14560C5E1}"/>
    <cellStyle name="Normal 3 5 2 3 2 4" xfId="6796" xr:uid="{4CD0698D-D782-406D-818B-E1AD2CE546E5}"/>
    <cellStyle name="Normal 3 5 2 3 2 5" xfId="8099" xr:uid="{FDB7A220-B30E-4C25-8234-67A6A59A1FE2}"/>
    <cellStyle name="Normal 3 5 2 3 3" xfId="4425" xr:uid="{6FEBCA7F-00DA-4099-82AA-6ACA3137599B}"/>
    <cellStyle name="Normal 3 5 2 3 3 2" xfId="5730" xr:uid="{9A1B4FBD-8C54-4962-B9C6-FAE933C83CC8}"/>
    <cellStyle name="Normal 3 5 2 3 3 3" xfId="7032" xr:uid="{3E3434C5-D9CC-4110-8B02-24603434E5E7}"/>
    <cellStyle name="Normal 3 5 2 3 4" xfId="4705" xr:uid="{29A1AD78-B76D-4A1B-B083-3E6099538724}"/>
    <cellStyle name="Normal 3 5 2 3 4 2" xfId="6007" xr:uid="{9E3F1692-922C-481C-ABE0-EF3073086815}"/>
    <cellStyle name="Normal 3 5 2 3 4 3" xfId="7310" xr:uid="{6347F133-2F8E-4812-9BE6-ED85A65477D1}"/>
    <cellStyle name="Normal 3 5 2 3 5" xfId="4982" xr:uid="{96901792-C036-4074-BE9C-CD011D97A714}"/>
    <cellStyle name="Normal 3 5 2 3 5 2" xfId="6284" xr:uid="{9FC793EC-4B66-429E-8E12-CAB208ED7923}"/>
    <cellStyle name="Normal 3 5 2 3 5 3" xfId="7587" xr:uid="{3FFBB33E-5AD2-43A6-9811-B79519692711}"/>
    <cellStyle name="Normal 3 5 2 3 6" xfId="3960" xr:uid="{DE18DA83-879A-4410-BE9C-070883691075}"/>
    <cellStyle name="Normal 3 5 2 3 7" xfId="5265" xr:uid="{1698A7EB-CF9D-467B-9A7D-A76C589506DD}"/>
    <cellStyle name="Normal 3 5 2 3 8" xfId="6567" xr:uid="{B8BB8D31-EE1E-4DA9-B536-00DFE262011F}"/>
    <cellStyle name="Normal 3 5 2 3 9" xfId="7870" xr:uid="{0B9CD174-9C60-4D25-B545-9D65BFE01C39}"/>
    <cellStyle name="Normal 3 5 2 4" xfId="2953" xr:uid="{5BEC0BD2-9149-476B-ABB5-0AF87C2FAF7D}"/>
    <cellStyle name="Normal 3 5 2 4 2" xfId="3622" xr:uid="{D9508435-6B5E-43F5-9DB7-7B2F61F6CEDC}"/>
    <cellStyle name="Normal 3 5 2 4 2 2" xfId="4109" xr:uid="{FC18C296-8522-4281-92FD-C282176E0681}"/>
    <cellStyle name="Normal 3 5 2 4 2 3" xfId="5414" xr:uid="{2C5890A1-A60C-46AE-969D-37FD63BC9C91}"/>
    <cellStyle name="Normal 3 5 2 4 2 4" xfId="6716" xr:uid="{855145AB-1A26-42D0-8515-E0861A364A46}"/>
    <cellStyle name="Normal 3 5 2 4 2 5" xfId="8019" xr:uid="{AC4A438A-CB0D-48D2-B388-80CD83806F02}"/>
    <cellStyle name="Normal 3 5 2 4 3" xfId="4345" xr:uid="{58A87949-27E9-4F7E-9788-3AA22B7069E7}"/>
    <cellStyle name="Normal 3 5 2 4 3 2" xfId="5650" xr:uid="{B3EB6893-FBCB-4735-BCEA-8A618D77A5CD}"/>
    <cellStyle name="Normal 3 5 2 4 3 3" xfId="6952" xr:uid="{E8ADCE4E-4843-4CBB-9B94-2387E593EEA7}"/>
    <cellStyle name="Normal 3 5 2 4 4" xfId="4625" xr:uid="{8E02ABB1-C2A0-44BE-9A56-819B68F530B8}"/>
    <cellStyle name="Normal 3 5 2 4 4 2" xfId="5927" xr:uid="{9F6BD684-4042-45CA-8846-180AABFFD4F2}"/>
    <cellStyle name="Normal 3 5 2 4 4 3" xfId="7230" xr:uid="{32A17574-B875-41E8-9F71-965E0C097CA0}"/>
    <cellStyle name="Normal 3 5 2 4 5" xfId="4902" xr:uid="{27C1CA3E-A26B-4349-A8F4-9DC46290E10A}"/>
    <cellStyle name="Normal 3 5 2 4 5 2" xfId="6204" xr:uid="{415FE461-F2AC-464E-BA6D-DE5C9A8F4A15}"/>
    <cellStyle name="Normal 3 5 2 4 5 3" xfId="7507" xr:uid="{6DE0268E-6EBF-4570-8118-FED45C8208B8}"/>
    <cellStyle name="Normal 3 5 2 4 6" xfId="3880" xr:uid="{258A7CB4-EEE5-4ED5-963F-5E55F8C2F16A}"/>
    <cellStyle name="Normal 3 5 2 4 7" xfId="5185" xr:uid="{B45C21E9-3AA8-43EE-ABAE-CD5DABE4B52D}"/>
    <cellStyle name="Normal 3 5 2 4 8" xfId="6487" xr:uid="{539462D0-DCCC-4BE8-B286-031DE9129BC7}"/>
    <cellStyle name="Normal 3 5 2 4 9" xfId="7790" xr:uid="{8DE2AA1A-2263-4618-9F23-3FAA13F84F9F}"/>
    <cellStyle name="Normal 3 5 2 5" xfId="3532" xr:uid="{363538B8-CC83-42E2-ABD1-32ECDE641743}"/>
    <cellStyle name="Normal 3 5 2 5 2" xfId="4481" xr:uid="{B7A8361B-6239-4D46-A646-B5F7A8AEF3DA}"/>
    <cellStyle name="Normal 3 5 2 5 2 2" xfId="5784" xr:uid="{C1C91A8A-1A95-4357-8E33-682C5B5C50B4}"/>
    <cellStyle name="Normal 3 5 2 5 2 3" xfId="7087" xr:uid="{A60B3034-67DB-4F68-9556-B213A1BD80B4}"/>
    <cellStyle name="Normal 3 5 2 5 3" xfId="4759" xr:uid="{8214677E-886B-4BC9-9D02-921860AAC24E}"/>
    <cellStyle name="Normal 3 5 2 5 3 2" xfId="6061" xr:uid="{6BAB242C-BD9C-4122-987E-80DDFFDF84CE}"/>
    <cellStyle name="Normal 3 5 2 5 3 3" xfId="7364" xr:uid="{03B2A19A-8FC4-486B-B2EF-8164377FC612}"/>
    <cellStyle name="Normal 3 5 2 5 4" xfId="5036" xr:uid="{5C62B946-AEFC-47F8-851D-8809A23FE70E}"/>
    <cellStyle name="Normal 3 5 2 5 4 2" xfId="6338" xr:uid="{1FAE8882-A1F6-447C-ABDF-6D26A75EE1FD}"/>
    <cellStyle name="Normal 3 5 2 5 4 3" xfId="7641" xr:uid="{038454BE-5D1D-439D-A2A9-F1A500FF0B5F}"/>
    <cellStyle name="Normal 3 5 2 5 5" xfId="4019" xr:uid="{E1E7DBCA-C6CA-4589-86A7-B9D82151B538}"/>
    <cellStyle name="Normal 3 5 2 5 6" xfId="5324" xr:uid="{CF7BAE10-28F6-4C76-9C32-C86D73EAD022}"/>
    <cellStyle name="Normal 3 5 2 5 7" xfId="6626" xr:uid="{81C9A77D-F4CF-4770-A7F8-6A74E7C40ADC}"/>
    <cellStyle name="Normal 3 5 2 5 8" xfId="7929" xr:uid="{BF5B2675-B79B-47A7-8BB1-D15C7D9D06D2}"/>
    <cellStyle name="Normal 3 5 2 6" xfId="4255" xr:uid="{EBF75A33-A759-4AF6-B9E9-99137FA8AF6B}"/>
    <cellStyle name="Normal 3 5 2 6 2" xfId="5560" xr:uid="{166C67EC-0414-4876-AB69-D68FE47AC61E}"/>
    <cellStyle name="Normal 3 5 2 6 3" xfId="6862" xr:uid="{77D41BFF-4F63-4DCE-ABA9-040D762B3AB1}"/>
    <cellStyle name="Normal 3 5 2 7" xfId="4535" xr:uid="{F19396B3-D319-49FC-9ABD-9E43B94580DA}"/>
    <cellStyle name="Normal 3 5 2 7 2" xfId="5837" xr:uid="{E806A92E-651E-42EA-8779-545F9B70D14D}"/>
    <cellStyle name="Normal 3 5 2 7 3" xfId="7140" xr:uid="{0397A42B-D9BC-4CDC-9204-5A3485370551}"/>
    <cellStyle name="Normal 3 5 2 8" xfId="4812" xr:uid="{25685543-68FA-4522-B29E-12A928083D88}"/>
    <cellStyle name="Normal 3 5 2 8 2" xfId="6114" xr:uid="{885D3738-6C8A-47D3-9AF2-0BF6F7DDF822}"/>
    <cellStyle name="Normal 3 5 2 8 3" xfId="7417" xr:uid="{C1499F8C-3354-4135-8639-E395563655D8}"/>
    <cellStyle name="Normal 3 5 2 9" xfId="3790" xr:uid="{78B6E073-9741-4432-AB9B-B34E4D833ECC}"/>
    <cellStyle name="Normal 3 5 3" xfId="2891" xr:uid="{ECB1E89E-33F7-4979-9AF8-05F571C83AAF}"/>
    <cellStyle name="Normal 3 5 3 10" xfId="7728" xr:uid="{0068F325-B982-4A67-BA81-A4DA1DB4F5B4}"/>
    <cellStyle name="Normal 3 5 3 2" xfId="2992" xr:uid="{6C52CE60-5D32-4E61-8E64-2B04DAD55F56}"/>
    <cellStyle name="Normal 3 5 3 2 2" xfId="3661" xr:uid="{183B444B-DE9F-428A-B02E-9223A4647131}"/>
    <cellStyle name="Normal 3 5 3 2 2 2" xfId="4132" xr:uid="{0AE6B09E-60D7-46F0-80DC-FD129D42C9B2}"/>
    <cellStyle name="Normal 3 5 3 2 2 3" xfId="5437" xr:uid="{99719172-BEE4-413A-AD84-4DD36706C62D}"/>
    <cellStyle name="Normal 3 5 3 2 2 4" xfId="6739" xr:uid="{23BA5941-8822-4DF8-AF93-BE5C2891F19F}"/>
    <cellStyle name="Normal 3 5 3 2 2 5" xfId="8042" xr:uid="{A63A2F7E-722B-4AA7-89FA-FDCC475FC665}"/>
    <cellStyle name="Normal 3 5 3 2 3" xfId="4368" xr:uid="{EE363840-90E5-4BCC-BFCD-315F843FF53A}"/>
    <cellStyle name="Normal 3 5 3 2 3 2" xfId="5673" xr:uid="{358A5BBB-2F7C-427A-ADB1-793143D609E8}"/>
    <cellStyle name="Normal 3 5 3 2 3 3" xfId="6975" xr:uid="{A810D9D7-1966-4347-8A2A-F06CAFACE483}"/>
    <cellStyle name="Normal 3 5 3 2 4" xfId="4648" xr:uid="{BBC42924-F605-4698-90D6-FF25C83227B3}"/>
    <cellStyle name="Normal 3 5 3 2 4 2" xfId="5950" xr:uid="{8C800E22-4959-420E-81F0-79D5DAC59621}"/>
    <cellStyle name="Normal 3 5 3 2 4 3" xfId="7253" xr:uid="{FBDA32C5-7FF6-4C54-90AF-7ACAE1F62FCD}"/>
    <cellStyle name="Normal 3 5 3 2 5" xfId="4925" xr:uid="{770A53A6-C653-4D7D-8A50-9E12C403C67F}"/>
    <cellStyle name="Normal 3 5 3 2 5 2" xfId="6227" xr:uid="{2CB0AD83-8C15-4BAF-B0B6-50178F3D527C}"/>
    <cellStyle name="Normal 3 5 3 2 5 3" xfId="7530" xr:uid="{46E311AF-3747-4EFE-9DA5-70CC619DAEC5}"/>
    <cellStyle name="Normal 3 5 3 2 6" xfId="3903" xr:uid="{A3326C1C-4E52-42C1-A64B-3ECCEA82756D}"/>
    <cellStyle name="Normal 3 5 3 2 7" xfId="5208" xr:uid="{9AC5B013-E2B8-425D-8777-97488B1A8CD5}"/>
    <cellStyle name="Normal 3 5 3 2 8" xfId="6510" xr:uid="{99DD5A06-23B8-4C00-8684-F6FA098FD6E0}"/>
    <cellStyle name="Normal 3 5 3 2 9" xfId="7813" xr:uid="{56A11796-8A0C-4F2D-B9B5-E44F77FAD889}"/>
    <cellStyle name="Normal 3 5 3 3" xfId="3560" xr:uid="{A211DFBE-063D-47E7-87EF-A6CDDDA2E1C3}"/>
    <cellStyle name="Normal 3 5 3 3 2" xfId="4047" xr:uid="{27E1FB78-DB48-41AE-B659-48C92EF2E20D}"/>
    <cellStyle name="Normal 3 5 3 3 3" xfId="5352" xr:uid="{5BF17C06-F25E-49AF-8A6F-9F8FC9681326}"/>
    <cellStyle name="Normal 3 5 3 3 4" xfId="6654" xr:uid="{770FC981-9853-4037-842E-71CCDF2BAE2A}"/>
    <cellStyle name="Normal 3 5 3 3 5" xfId="7957" xr:uid="{A9E7E6B3-FEB4-489A-94CF-4E12EDF1F903}"/>
    <cellStyle name="Normal 3 5 3 4" xfId="4283" xr:uid="{58A51A8D-D346-479D-9C60-53F08FF0802F}"/>
    <cellStyle name="Normal 3 5 3 4 2" xfId="5588" xr:uid="{F36F2EB1-0186-4A43-B96D-49DC04E8EEF1}"/>
    <cellStyle name="Normal 3 5 3 4 3" xfId="6890" xr:uid="{A46B55A8-C09D-4872-9C2D-C63C08B28AA1}"/>
    <cellStyle name="Normal 3 5 3 5" xfId="4563" xr:uid="{7836B21E-60D0-4881-A00A-CABEB9F017C6}"/>
    <cellStyle name="Normal 3 5 3 5 2" xfId="5865" xr:uid="{336E45E1-8679-4B44-8269-6C0EA57BA02C}"/>
    <cellStyle name="Normal 3 5 3 5 3" xfId="7168" xr:uid="{095245D2-A91B-4B66-BB90-A48871213CC8}"/>
    <cellStyle name="Normal 3 5 3 6" xfId="4840" xr:uid="{9281F33F-3DB1-4E68-BCE1-2DCD71C242BF}"/>
    <cellStyle name="Normal 3 5 3 6 2" xfId="6142" xr:uid="{636E7B54-798B-48D0-A6CE-C72F8E1B7D04}"/>
    <cellStyle name="Normal 3 5 3 6 3" xfId="7445" xr:uid="{A61C7314-B8A5-4602-B50C-0ED4B6F60AF3}"/>
    <cellStyle name="Normal 3 5 3 7" xfId="3818" xr:uid="{9B4700AA-23CB-432A-9B64-F4522C990536}"/>
    <cellStyle name="Normal 3 5 3 8" xfId="5123" xr:uid="{15799D18-52AB-4A1B-8D37-7E09338AA4F2}"/>
    <cellStyle name="Normal 3 5 3 9" xfId="6425" xr:uid="{D87100C4-5D52-459C-88D2-347F9202A014}"/>
    <cellStyle name="Normal 3 5 4" xfId="3435" xr:uid="{861AAC26-C3FF-48A7-A3C4-F906BA8B1DF7}"/>
    <cellStyle name="Normal 3 5 4 2" xfId="3701" xr:uid="{959C22F2-C3CB-486E-9FF7-32C9393F2A90}"/>
    <cellStyle name="Normal 3 5 4 2 2" xfId="4172" xr:uid="{5944361C-8A3E-4D4C-BECD-AEFE3CE537CA}"/>
    <cellStyle name="Normal 3 5 4 2 3" xfId="5477" xr:uid="{83B7A604-1807-43D4-B379-C5EDDD06E664}"/>
    <cellStyle name="Normal 3 5 4 2 4" xfId="6779" xr:uid="{EFF3B082-50B8-4206-8450-D2683BDD9E6D}"/>
    <cellStyle name="Normal 3 5 4 2 5" xfId="8082" xr:uid="{63A9F613-148B-4928-950F-EFA20ACD3933}"/>
    <cellStyle name="Normal 3 5 4 3" xfId="4408" xr:uid="{38B03B9C-AE7D-4EE9-A1FD-08502E8A4E51}"/>
    <cellStyle name="Normal 3 5 4 3 2" xfId="5713" xr:uid="{95CA6DAC-393D-4E69-A4B1-27075E8B7F82}"/>
    <cellStyle name="Normal 3 5 4 3 3" xfId="7015" xr:uid="{D1CBD70A-99A2-4871-84C6-C5843AEBB43D}"/>
    <cellStyle name="Normal 3 5 4 4" xfId="4688" xr:uid="{9AD24B5D-F7F8-418D-98D1-231BD95CCDA2}"/>
    <cellStyle name="Normal 3 5 4 4 2" xfId="5990" xr:uid="{24DD2086-A5F1-442E-8197-41F26C1D1B79}"/>
    <cellStyle name="Normal 3 5 4 4 3" xfId="7293" xr:uid="{2657B3E9-89BA-4E74-8CE9-EF685B9C2D4A}"/>
    <cellStyle name="Normal 3 5 4 5" xfId="4965" xr:uid="{0DA36C2A-3514-4912-8A64-A6010F83B1D2}"/>
    <cellStyle name="Normal 3 5 4 5 2" xfId="6267" xr:uid="{90E2EBEC-5F13-463F-BBA4-8D5D3F556F1F}"/>
    <cellStyle name="Normal 3 5 4 5 3" xfId="7570" xr:uid="{0857A03A-3A9C-49F5-8475-1DE574A60863}"/>
    <cellStyle name="Normal 3 5 4 6" xfId="3943" xr:uid="{16B78D98-CCC5-428B-9F09-3571A5D07403}"/>
    <cellStyle name="Normal 3 5 4 7" xfId="5248" xr:uid="{68F8F718-F1B5-4C06-B12B-0FA6C823AF37}"/>
    <cellStyle name="Normal 3 5 4 8" xfId="6550" xr:uid="{DB49D506-B87E-475F-8F91-F1F2D6971B12}"/>
    <cellStyle name="Normal 3 5 4 9" xfId="7853" xr:uid="{21BF825C-B163-41C3-BE14-572419B7559B}"/>
    <cellStyle name="Normal 3 5 5" xfId="2936" xr:uid="{FE634913-EAE7-49BC-8321-DE62527417E2}"/>
    <cellStyle name="Normal 3 5 5 2" xfId="3605" xr:uid="{E12D629C-B992-4564-B07F-C4ABFAD74C3F}"/>
    <cellStyle name="Normal 3 5 5 2 2" xfId="4092" xr:uid="{355AE6B8-1022-4D4F-B550-E0D3C91A6EDE}"/>
    <cellStyle name="Normal 3 5 5 2 3" xfId="5397" xr:uid="{87E082C2-9F90-419A-80D4-E5864E6C8558}"/>
    <cellStyle name="Normal 3 5 5 2 4" xfId="6699" xr:uid="{5F38A211-D54F-44F6-A7CD-C32644503127}"/>
    <cellStyle name="Normal 3 5 5 2 5" xfId="8002" xr:uid="{CD97FF4E-B3CF-469E-AAF9-E71D943651BE}"/>
    <cellStyle name="Normal 3 5 5 3" xfId="4328" xr:uid="{6D5BC689-C233-46FC-84B6-997085B4BE50}"/>
    <cellStyle name="Normal 3 5 5 3 2" xfId="5633" xr:uid="{42BEF7D8-0C91-4F3E-9F6E-1E54F1774E4D}"/>
    <cellStyle name="Normal 3 5 5 3 3" xfId="6935" xr:uid="{B4DB5BC0-F1A8-4B4F-B39D-E6AE6ECA3236}"/>
    <cellStyle name="Normal 3 5 5 4" xfId="4608" xr:uid="{D4D9DB9A-7922-4A88-96D4-5F27F9CD539E}"/>
    <cellStyle name="Normal 3 5 5 4 2" xfId="5910" xr:uid="{50C74879-F0BD-4110-AB09-9055643A585A}"/>
    <cellStyle name="Normal 3 5 5 4 3" xfId="7213" xr:uid="{C5C6AA61-BF79-4F8A-88D3-41F6FB7CA95D}"/>
    <cellStyle name="Normal 3 5 5 5" xfId="4885" xr:uid="{3EBFAC78-4A90-45E4-8D82-03CB99063FF6}"/>
    <cellStyle name="Normal 3 5 5 5 2" xfId="6187" xr:uid="{EC71FBFC-0360-4092-B087-C26C2E0B8B3C}"/>
    <cellStyle name="Normal 3 5 5 5 3" xfId="7490" xr:uid="{DE6CAB89-ACBF-4710-9E49-0442305B76F2}"/>
    <cellStyle name="Normal 3 5 5 6" xfId="3863" xr:uid="{ACB3C5DA-2CDC-4C32-B628-415E4EDE6F32}"/>
    <cellStyle name="Normal 3 5 5 7" xfId="5168" xr:uid="{7203BC60-C761-4EE2-B58A-26B5977BA82B}"/>
    <cellStyle name="Normal 3 5 5 8" xfId="6470" xr:uid="{F8711A9C-D62E-4F83-99A1-84B912A9AD9F}"/>
    <cellStyle name="Normal 3 5 5 9" xfId="7773" xr:uid="{543D9346-C672-4E48-A71B-CE9B740A5E98}"/>
    <cellStyle name="Normal 3 5 6" xfId="3515" xr:uid="{D8B0D612-C100-4C09-8B1D-DA82ED309ED9}"/>
    <cellStyle name="Normal 3 5 6 2" xfId="4464" xr:uid="{D24127A8-C641-4039-8137-955AA89AF20D}"/>
    <cellStyle name="Normal 3 5 6 2 2" xfId="5767" xr:uid="{B048C38C-27B0-4C9C-B352-83266F8AD782}"/>
    <cellStyle name="Normal 3 5 6 2 3" xfId="7070" xr:uid="{8D25EC32-231A-447A-9A1E-7CC9727C0BFC}"/>
    <cellStyle name="Normal 3 5 6 3" xfId="4742" xr:uid="{436F402D-9534-4AC2-84F9-0C06DC62F3BB}"/>
    <cellStyle name="Normal 3 5 6 3 2" xfId="6044" xr:uid="{3790A5E8-6AA8-4124-B4A6-E9CC0135CDCA}"/>
    <cellStyle name="Normal 3 5 6 3 3" xfId="7347" xr:uid="{DE7616C0-B4DC-4E21-A1FC-AF147D500C8E}"/>
    <cellStyle name="Normal 3 5 6 4" xfId="5019" xr:uid="{5F8E7F3B-9EAD-4162-9B90-599EC2437E49}"/>
    <cellStyle name="Normal 3 5 6 4 2" xfId="6321" xr:uid="{AFCC777D-54E5-48B9-A737-BBD44100BF5F}"/>
    <cellStyle name="Normal 3 5 6 4 3" xfId="7624" xr:uid="{58E205B6-E568-4014-A921-FF10A207F119}"/>
    <cellStyle name="Normal 3 5 6 5" xfId="4002" xr:uid="{19CC6C05-67C0-40D9-9896-99A4233C29C6}"/>
    <cellStyle name="Normal 3 5 6 6" xfId="5307" xr:uid="{02A251A7-6C66-4BD7-8C5B-66F30B98AEC6}"/>
    <cellStyle name="Normal 3 5 6 7" xfId="6609" xr:uid="{0BF6EF8B-EB78-49E8-8936-DB1046F760E7}"/>
    <cellStyle name="Normal 3 5 6 8" xfId="7912" xr:uid="{91E551F4-6DB0-40EB-8401-32F8DE472436}"/>
    <cellStyle name="Normal 3 5 7" xfId="4238" xr:uid="{62EF9A7B-5C08-46F8-A579-B16A2CE2E46E}"/>
    <cellStyle name="Normal 3 5 7 2" xfId="5543" xr:uid="{456A7F56-BB62-4E16-B239-0C7C45A39791}"/>
    <cellStyle name="Normal 3 5 7 3" xfId="6845" xr:uid="{A756E003-73D4-4372-879C-3350D1D5360B}"/>
    <cellStyle name="Normal 3 5 8" xfId="4518" xr:uid="{0AC8B6F7-24E0-405F-B08E-FDF13CBF23E9}"/>
    <cellStyle name="Normal 3 5 8 2" xfId="5820" xr:uid="{11CF7073-CD96-4BF4-B6F1-920A84D4E571}"/>
    <cellStyle name="Normal 3 5 8 3" xfId="7123" xr:uid="{DE83D0AB-5837-47A9-A282-B5D2F2748462}"/>
    <cellStyle name="Normal 3 5 9" xfId="4795" xr:uid="{34F5AB1F-C55A-43D6-AA11-E09720345B23}"/>
    <cellStyle name="Normal 3 5 9 2" xfId="6097" xr:uid="{2FD24516-593D-423A-B77E-71788FDF2750}"/>
    <cellStyle name="Normal 3 5 9 3" xfId="7400" xr:uid="{557EBBC0-AD59-4402-9ED1-A3C3FD13CD07}"/>
    <cellStyle name="Normal 3 6" xfId="2545" xr:uid="{FC3B9C22-FDDF-4895-B7F0-AA21CE0E65C8}"/>
    <cellStyle name="Normal 3 6 10" xfId="3775" xr:uid="{E84AF810-8174-4B97-AC24-0C5F5B93B70A}"/>
    <cellStyle name="Normal 3 6 11" xfId="5080" xr:uid="{0A66A53D-8B04-44D7-84F5-DCA3D89961E3}"/>
    <cellStyle name="Normal 3 6 12" xfId="6382" xr:uid="{7F8FC990-8992-4F69-B437-E576EBC791F1}"/>
    <cellStyle name="Normal 3 6 13" xfId="7685" xr:uid="{C6016E92-8EF3-4AC9-BD80-FE129F574188}"/>
    <cellStyle name="Normal 3 6 2" xfId="2863" xr:uid="{C34ED0EF-7BCB-4337-8749-866E665F4C8D}"/>
    <cellStyle name="Normal 3 6 2 10" xfId="5097" xr:uid="{12257802-F294-42EF-926E-0689B3784F76}"/>
    <cellStyle name="Normal 3 6 2 11" xfId="6399" xr:uid="{60C90096-570C-4EF5-9C81-BD8112254F0A}"/>
    <cellStyle name="Normal 3 6 2 12" xfId="7702" xr:uid="{5C807AB3-ED02-4240-B066-E361944225CA}"/>
    <cellStyle name="Normal 3 6 2 2" xfId="2910" xr:uid="{FE84768C-31B7-40D4-B961-2BC432570DE2}"/>
    <cellStyle name="Normal 3 6 2 2 10" xfId="7747" xr:uid="{508FF483-39A2-4CD6-A2B1-7B6E3A8C8764}"/>
    <cellStyle name="Normal 3 6 2 2 2" xfId="3011" xr:uid="{E7E400B4-B290-4F9B-8C30-772FA330C403}"/>
    <cellStyle name="Normal 3 6 2 2 2 2" xfId="3680" xr:uid="{A144DFC3-4166-45C5-BF4D-48799C910365}"/>
    <cellStyle name="Normal 3 6 2 2 2 2 2" xfId="4151" xr:uid="{57FDCC89-44A2-4100-83F6-621399FEC659}"/>
    <cellStyle name="Normal 3 6 2 2 2 2 3" xfId="5456" xr:uid="{CB35D84B-A3F8-4B1A-AD37-8A594115C9A3}"/>
    <cellStyle name="Normal 3 6 2 2 2 2 4" xfId="6758" xr:uid="{880AE046-7F47-4F00-8D1D-B52A8F37408C}"/>
    <cellStyle name="Normal 3 6 2 2 2 2 5" xfId="8061" xr:uid="{899A05FE-C5AC-4A69-80AF-F2346A300CEC}"/>
    <cellStyle name="Normal 3 6 2 2 2 3" xfId="4387" xr:uid="{1C331CA0-F4D9-4480-B5AF-7923E40A954A}"/>
    <cellStyle name="Normal 3 6 2 2 2 3 2" xfId="5692" xr:uid="{5C940733-8F1F-43A3-8DC5-2595CAC70CB1}"/>
    <cellStyle name="Normal 3 6 2 2 2 3 3" xfId="6994" xr:uid="{E53F1BA5-D8DD-4652-B4ED-42D5AA3A780D}"/>
    <cellStyle name="Normal 3 6 2 2 2 4" xfId="4667" xr:uid="{99482D58-F3CE-4A8F-8DC8-1FE900D912D0}"/>
    <cellStyle name="Normal 3 6 2 2 2 4 2" xfId="5969" xr:uid="{5E1E66A1-550A-4FF6-BFE6-D1C203F0069B}"/>
    <cellStyle name="Normal 3 6 2 2 2 4 3" xfId="7272" xr:uid="{8080945A-5D9A-4D2F-9BFC-B23E18FBBDCC}"/>
    <cellStyle name="Normal 3 6 2 2 2 5" xfId="4944" xr:uid="{89A96DBE-417B-4FD8-B5CC-0090253FF71F}"/>
    <cellStyle name="Normal 3 6 2 2 2 5 2" xfId="6246" xr:uid="{877BA977-112F-4097-A650-9E2BA5B567A4}"/>
    <cellStyle name="Normal 3 6 2 2 2 5 3" xfId="7549" xr:uid="{B047F6C1-F9BC-491E-845B-F4D570C505CD}"/>
    <cellStyle name="Normal 3 6 2 2 2 6" xfId="3922" xr:uid="{849C703E-7099-4DE0-B834-AB00D1AC8B6B}"/>
    <cellStyle name="Normal 3 6 2 2 2 7" xfId="5227" xr:uid="{95A74E3A-43D9-4B03-A1B0-5761ADB4CF78}"/>
    <cellStyle name="Normal 3 6 2 2 2 8" xfId="6529" xr:uid="{2A79BECC-CD77-4EF2-8070-53B5554E8531}"/>
    <cellStyle name="Normal 3 6 2 2 2 9" xfId="7832" xr:uid="{3EABDDE2-A75A-433E-B683-4A78200DB87C}"/>
    <cellStyle name="Normal 3 6 2 2 3" xfId="3579" xr:uid="{46C6946B-5B0F-4775-ADF2-FE3BB48F6852}"/>
    <cellStyle name="Normal 3 6 2 2 3 2" xfId="4066" xr:uid="{4D69BF0E-CD48-46EF-BACE-FA752F6A36F3}"/>
    <cellStyle name="Normal 3 6 2 2 3 3" xfId="5371" xr:uid="{BA22043B-A50C-4902-89CE-175EDD23D892}"/>
    <cellStyle name="Normal 3 6 2 2 3 4" xfId="6673" xr:uid="{4D9FAD41-240C-4801-AD5A-F006B91240A0}"/>
    <cellStyle name="Normal 3 6 2 2 3 5" xfId="7976" xr:uid="{A2BC869B-5F5F-466C-BDA1-B064A884A0D4}"/>
    <cellStyle name="Normal 3 6 2 2 4" xfId="4302" xr:uid="{B94AE4EC-C6DF-4835-8F67-5FD749EB07D5}"/>
    <cellStyle name="Normal 3 6 2 2 4 2" xfId="5607" xr:uid="{E26581D9-F850-4D18-8F9A-B9416DCD5986}"/>
    <cellStyle name="Normal 3 6 2 2 4 3" xfId="6909" xr:uid="{EF149380-50E9-46AC-8E39-E7810255108F}"/>
    <cellStyle name="Normal 3 6 2 2 5" xfId="4582" xr:uid="{9AAE80BE-DFE0-48C8-873B-C00603ADDB22}"/>
    <cellStyle name="Normal 3 6 2 2 5 2" xfId="5884" xr:uid="{4039B6C4-CAB2-464B-9D68-11B27E0BC4FE}"/>
    <cellStyle name="Normal 3 6 2 2 5 3" xfId="7187" xr:uid="{6F73C33B-1DB2-4A2E-965A-E6E3ED2C1A88}"/>
    <cellStyle name="Normal 3 6 2 2 6" xfId="4859" xr:uid="{CD9324D8-5111-42D7-8B83-81F48B97404F}"/>
    <cellStyle name="Normal 3 6 2 2 6 2" xfId="6161" xr:uid="{E5E076A4-76B1-467C-AE40-648024BAE67B}"/>
    <cellStyle name="Normal 3 6 2 2 6 3" xfId="7464" xr:uid="{EFD2F5FF-C02A-4537-A874-938BA5A80E23}"/>
    <cellStyle name="Normal 3 6 2 2 7" xfId="3837" xr:uid="{794271FB-87EC-4447-8827-618E8C714391}"/>
    <cellStyle name="Normal 3 6 2 2 8" xfId="5142" xr:uid="{36A8215B-9C6E-4192-9F6E-D78E10FD5588}"/>
    <cellStyle name="Normal 3 6 2 2 9" xfId="6444" xr:uid="{50B2B376-F7EE-4DF7-87C2-262C8091F988}"/>
    <cellStyle name="Normal 3 6 2 3" xfId="3455" xr:uid="{21C68592-3DDB-4928-A6C0-75877A37ADCE}"/>
    <cellStyle name="Normal 3 6 2 3 2" xfId="3720" xr:uid="{BDDFE2FE-3968-469B-A9E4-7253F968F104}"/>
    <cellStyle name="Normal 3 6 2 3 2 2" xfId="4191" xr:uid="{38F0828B-ECB0-40DE-BD3C-EC29F0372344}"/>
    <cellStyle name="Normal 3 6 2 3 2 3" xfId="5496" xr:uid="{886249D3-7A8F-43C7-ACBC-C9490460AEA0}"/>
    <cellStyle name="Normal 3 6 2 3 2 4" xfId="6798" xr:uid="{6AEB4368-6EED-4E6F-9700-745EF3353D9D}"/>
    <cellStyle name="Normal 3 6 2 3 2 5" xfId="8101" xr:uid="{BA4C634A-6EBB-4D8F-AC7A-AA6B1E4EDBAF}"/>
    <cellStyle name="Normal 3 6 2 3 3" xfId="4427" xr:uid="{DD640841-DD43-48B6-B373-1EFBFC0BF32A}"/>
    <cellStyle name="Normal 3 6 2 3 3 2" xfId="5732" xr:uid="{BEA2D907-7444-4ED9-9A38-5BBAAE4C5431}"/>
    <cellStyle name="Normal 3 6 2 3 3 3" xfId="7034" xr:uid="{098739AF-BC39-4E44-9F4A-A99EACCFB3D3}"/>
    <cellStyle name="Normal 3 6 2 3 4" xfId="4707" xr:uid="{709A83B7-D2E3-470A-9A31-93347622A2B0}"/>
    <cellStyle name="Normal 3 6 2 3 4 2" xfId="6009" xr:uid="{18D2AF2B-E541-44F0-85E3-7FDB98308085}"/>
    <cellStyle name="Normal 3 6 2 3 4 3" xfId="7312" xr:uid="{323428C1-E08C-47CC-A44F-11FE3CD41EEC}"/>
    <cellStyle name="Normal 3 6 2 3 5" xfId="4984" xr:uid="{397A3683-495E-4B7E-9A38-E79455EFDC95}"/>
    <cellStyle name="Normal 3 6 2 3 5 2" xfId="6286" xr:uid="{96641CD2-1647-4AB7-B7CF-BA636538D617}"/>
    <cellStyle name="Normal 3 6 2 3 5 3" xfId="7589" xr:uid="{C59C1359-1D2A-4C52-8319-1EEDB2AF790C}"/>
    <cellStyle name="Normal 3 6 2 3 6" xfId="3962" xr:uid="{2521A7EC-D5CA-4E77-8442-950A52CA2CC5}"/>
    <cellStyle name="Normal 3 6 2 3 7" xfId="5267" xr:uid="{BA196E5B-FF3B-421B-8B95-2527B63FCEE6}"/>
    <cellStyle name="Normal 3 6 2 3 8" xfId="6569" xr:uid="{7253AECE-AE46-445C-AF33-EC5BE8F859DA}"/>
    <cellStyle name="Normal 3 6 2 3 9" xfId="7872" xr:uid="{93E5CCBB-6CB7-4A1C-ABDF-4730DDC7392D}"/>
    <cellStyle name="Normal 3 6 2 4" xfId="2955" xr:uid="{B3992CC1-5494-4763-A54C-7F02EF68E46D}"/>
    <cellStyle name="Normal 3 6 2 4 2" xfId="3624" xr:uid="{56E72497-4FD9-4928-92E9-1B1F6569095C}"/>
    <cellStyle name="Normal 3 6 2 4 2 2" xfId="4111" xr:uid="{55DBAE9A-7678-4607-9822-3E6DC04AF07F}"/>
    <cellStyle name="Normal 3 6 2 4 2 3" xfId="5416" xr:uid="{BF055E37-0B06-4A9C-B20B-CCFC8B677344}"/>
    <cellStyle name="Normal 3 6 2 4 2 4" xfId="6718" xr:uid="{B3C258EA-027D-4D16-B127-967F299AF93A}"/>
    <cellStyle name="Normal 3 6 2 4 2 5" xfId="8021" xr:uid="{756460C2-3C64-49AA-B12B-83365FCAEBC8}"/>
    <cellStyle name="Normal 3 6 2 4 3" xfId="4347" xr:uid="{B76BB69B-A32B-46F8-98CB-8731C2BE34CF}"/>
    <cellStyle name="Normal 3 6 2 4 3 2" xfId="5652" xr:uid="{4742192B-5B06-423B-937D-0C8B9AFE4E0B}"/>
    <cellStyle name="Normal 3 6 2 4 3 3" xfId="6954" xr:uid="{58390E00-6991-4B43-AAE7-CB410F138A29}"/>
    <cellStyle name="Normal 3 6 2 4 4" xfId="4627" xr:uid="{7C0170F6-69D8-43A5-A22C-4E13E179F520}"/>
    <cellStyle name="Normal 3 6 2 4 4 2" xfId="5929" xr:uid="{86C3A257-FE33-4F75-8FA3-651E6B29E4C5}"/>
    <cellStyle name="Normal 3 6 2 4 4 3" xfId="7232" xr:uid="{5C0B39A5-8445-4F78-8119-E6576EAAEE3C}"/>
    <cellStyle name="Normal 3 6 2 4 5" xfId="4904" xr:uid="{26AA1D28-45C8-4D2D-8F03-EAC05C61DD9D}"/>
    <cellStyle name="Normal 3 6 2 4 5 2" xfId="6206" xr:uid="{08529AE4-3B8F-4E1C-B654-6226BC57A1D0}"/>
    <cellStyle name="Normal 3 6 2 4 5 3" xfId="7509" xr:uid="{2C78B2C1-9B36-4D75-8512-E4C2B33C103B}"/>
    <cellStyle name="Normal 3 6 2 4 6" xfId="3882" xr:uid="{DA6B2E34-D300-4D46-9573-1A4B038202BF}"/>
    <cellStyle name="Normal 3 6 2 4 7" xfId="5187" xr:uid="{E33733FD-A0FB-4478-9E87-12FCE0A636D5}"/>
    <cellStyle name="Normal 3 6 2 4 8" xfId="6489" xr:uid="{AE4E0A7B-2521-40F0-9963-A979BC6101C0}"/>
    <cellStyle name="Normal 3 6 2 4 9" xfId="7792" xr:uid="{0EB813E1-9617-43DA-BAE8-9FF930DE01BE}"/>
    <cellStyle name="Normal 3 6 2 5" xfId="3534" xr:uid="{0F6DD857-3E47-4D4A-97C1-38AE13D8E9E8}"/>
    <cellStyle name="Normal 3 6 2 5 2" xfId="4483" xr:uid="{81595E94-A549-42C4-8828-75127F85F3FD}"/>
    <cellStyle name="Normal 3 6 2 5 2 2" xfId="5786" xr:uid="{784077C0-2952-4B14-9A70-ECA0506A12D3}"/>
    <cellStyle name="Normal 3 6 2 5 2 3" xfId="7089" xr:uid="{6B63C4EA-3710-4322-8D52-5B747B2F680E}"/>
    <cellStyle name="Normal 3 6 2 5 3" xfId="4761" xr:uid="{C69700B8-6163-4D3E-851E-ADC4C9F3A033}"/>
    <cellStyle name="Normal 3 6 2 5 3 2" xfId="6063" xr:uid="{D1C500E0-D09A-4F05-8C7F-9D96028263D0}"/>
    <cellStyle name="Normal 3 6 2 5 3 3" xfId="7366" xr:uid="{9E0139BE-485F-4C18-9B23-8CC8A53E69CA}"/>
    <cellStyle name="Normal 3 6 2 5 4" xfId="5038" xr:uid="{DF4C87A6-5FE5-44E8-9ABE-47505623D90C}"/>
    <cellStyle name="Normal 3 6 2 5 4 2" xfId="6340" xr:uid="{52B1CD04-C94C-4598-A19B-DD4E20968CBF}"/>
    <cellStyle name="Normal 3 6 2 5 4 3" xfId="7643" xr:uid="{9AA82881-23A3-4A11-B949-23A76E42C5F5}"/>
    <cellStyle name="Normal 3 6 2 5 5" xfId="4021" xr:uid="{267D1FE0-5F4A-407D-804E-61B1A1D42B6F}"/>
    <cellStyle name="Normal 3 6 2 5 6" xfId="5326" xr:uid="{A1CAE94B-EE0C-4D88-8D52-19C3C5478CA3}"/>
    <cellStyle name="Normal 3 6 2 5 7" xfId="6628" xr:uid="{D2887995-EC37-4847-A086-871F42C937D7}"/>
    <cellStyle name="Normal 3 6 2 5 8" xfId="7931" xr:uid="{45FDFA52-3BE2-4690-AC9E-77BEB2652E9F}"/>
    <cellStyle name="Normal 3 6 2 6" xfId="4257" xr:uid="{AC3550C0-B110-4B36-A299-908861164564}"/>
    <cellStyle name="Normal 3 6 2 6 2" xfId="5562" xr:uid="{AAD3AE06-E534-4713-8141-EA2AB26A419A}"/>
    <cellStyle name="Normal 3 6 2 6 3" xfId="6864" xr:uid="{79C113F1-10A6-408B-B15C-9311586F62B0}"/>
    <cellStyle name="Normal 3 6 2 7" xfId="4537" xr:uid="{C18906CF-5418-4C99-B7FD-C0B75DAFB08F}"/>
    <cellStyle name="Normal 3 6 2 7 2" xfId="5839" xr:uid="{6DC64F03-9BA1-41C6-B0B6-C30CFBF8CB5F}"/>
    <cellStyle name="Normal 3 6 2 7 3" xfId="7142" xr:uid="{055929F9-5124-4D92-9915-85254A0885D6}"/>
    <cellStyle name="Normal 3 6 2 8" xfId="4814" xr:uid="{D7DB9730-E1A3-4705-9295-2E3B9122903F}"/>
    <cellStyle name="Normal 3 6 2 8 2" xfId="6116" xr:uid="{28083A92-C476-4FCD-A352-8AE7192A53D3}"/>
    <cellStyle name="Normal 3 6 2 8 3" xfId="7419" xr:uid="{7C7EA2D4-5E2C-42F5-8638-D7DE47EFCC3B}"/>
    <cellStyle name="Normal 3 6 2 9" xfId="3792" xr:uid="{5EEA9D7A-92B8-40EB-9341-84E5E4A4DDCA}"/>
    <cellStyle name="Normal 3 6 3" xfId="2893" xr:uid="{AF48D1B9-5F0A-4162-948C-E4BA765EE164}"/>
    <cellStyle name="Normal 3 6 3 10" xfId="7730" xr:uid="{090D40BB-269D-4651-96DD-B487D519BFE3}"/>
    <cellStyle name="Normal 3 6 3 2" xfId="2994" xr:uid="{0B8D98EF-A3F0-4428-9465-2084740EEBDF}"/>
    <cellStyle name="Normal 3 6 3 2 2" xfId="3663" xr:uid="{99359995-C15C-4214-80A7-22A72076F5AA}"/>
    <cellStyle name="Normal 3 6 3 2 2 2" xfId="4134" xr:uid="{F11A223C-3995-41DF-A614-884D158372BD}"/>
    <cellStyle name="Normal 3 6 3 2 2 3" xfId="5439" xr:uid="{D138DD9E-31C9-47FC-91D0-ADB0E64AB1AB}"/>
    <cellStyle name="Normal 3 6 3 2 2 4" xfId="6741" xr:uid="{D091350A-06A8-4B7C-B664-1B4C6D88B274}"/>
    <cellStyle name="Normal 3 6 3 2 2 5" xfId="8044" xr:uid="{171C7C14-534A-4078-AD46-274760DA060C}"/>
    <cellStyle name="Normal 3 6 3 2 3" xfId="4370" xr:uid="{28637B25-5D5D-49EF-B63C-F158C28E3407}"/>
    <cellStyle name="Normal 3 6 3 2 3 2" xfId="5675" xr:uid="{D1FFE01B-6D6A-4754-B7B7-66DCA2C01588}"/>
    <cellStyle name="Normal 3 6 3 2 3 3" xfId="6977" xr:uid="{897F07AF-3F81-4195-A89D-2645E13E4D45}"/>
    <cellStyle name="Normal 3 6 3 2 4" xfId="4650" xr:uid="{C016486C-3357-46DC-8BF8-32A948F3750C}"/>
    <cellStyle name="Normal 3 6 3 2 4 2" xfId="5952" xr:uid="{85BBC579-CFF8-41B3-B610-54FA72E10D68}"/>
    <cellStyle name="Normal 3 6 3 2 4 3" xfId="7255" xr:uid="{FEE5EA96-ECDC-453C-A508-D8243A646B80}"/>
    <cellStyle name="Normal 3 6 3 2 5" xfId="4927" xr:uid="{C185EC07-9EA1-4EDC-BE75-F748836F42C0}"/>
    <cellStyle name="Normal 3 6 3 2 5 2" xfId="6229" xr:uid="{9B58EC3F-400B-4D13-AA8B-B021DD0F1CF0}"/>
    <cellStyle name="Normal 3 6 3 2 5 3" xfId="7532" xr:uid="{60A7E31A-C159-4C95-BA0D-1CE8A3549BD0}"/>
    <cellStyle name="Normal 3 6 3 2 6" xfId="3905" xr:uid="{A905EA73-EC24-4759-8F83-713EE73DD7D7}"/>
    <cellStyle name="Normal 3 6 3 2 7" xfId="5210" xr:uid="{69BB0C97-6595-460B-9DAE-1709BCF0E865}"/>
    <cellStyle name="Normal 3 6 3 2 8" xfId="6512" xr:uid="{AB23F8DD-7D6D-4450-A97E-B09536093C5A}"/>
    <cellStyle name="Normal 3 6 3 2 9" xfId="7815" xr:uid="{A8EAA855-840A-49B1-B56D-8908E349DC2F}"/>
    <cellStyle name="Normal 3 6 3 3" xfId="3562" xr:uid="{A41465FF-C763-40D7-BE17-986A19DEA467}"/>
    <cellStyle name="Normal 3 6 3 3 2" xfId="4049" xr:uid="{E426B380-B03B-4476-B700-6ECAEF2D8678}"/>
    <cellStyle name="Normal 3 6 3 3 3" xfId="5354" xr:uid="{428E44C5-2507-4566-95FD-3538539D925B}"/>
    <cellStyle name="Normal 3 6 3 3 4" xfId="6656" xr:uid="{2CC94579-20BB-477A-A2F2-7958F5C6C6DE}"/>
    <cellStyle name="Normal 3 6 3 3 5" xfId="7959" xr:uid="{95B44BCB-4016-4F0E-BDDF-ED199011BBF9}"/>
    <cellStyle name="Normal 3 6 3 4" xfId="4285" xr:uid="{97F232E6-AEFB-4ECE-83A6-3D230A53DA97}"/>
    <cellStyle name="Normal 3 6 3 4 2" xfId="5590" xr:uid="{F2DE5A4E-9478-4C70-929F-CB6893E82424}"/>
    <cellStyle name="Normal 3 6 3 4 3" xfId="6892" xr:uid="{30137A83-E52E-4109-A901-96BFB7DDEC67}"/>
    <cellStyle name="Normal 3 6 3 5" xfId="4565" xr:uid="{12AB7A1B-66FC-4241-A685-1E85A33F797E}"/>
    <cellStyle name="Normal 3 6 3 5 2" xfId="5867" xr:uid="{43743319-86E4-4167-A5AE-A1D8EEE0C2FA}"/>
    <cellStyle name="Normal 3 6 3 5 3" xfId="7170" xr:uid="{F6D015FF-B0AD-4D71-B0A0-D18C99BA6455}"/>
    <cellStyle name="Normal 3 6 3 6" xfId="4842" xr:uid="{7A893A33-7222-411D-AB01-2338B10617A5}"/>
    <cellStyle name="Normal 3 6 3 6 2" xfId="6144" xr:uid="{941920E4-7957-4877-B5E0-F1A84880C28B}"/>
    <cellStyle name="Normal 3 6 3 6 3" xfId="7447" xr:uid="{23E62F8B-62D5-453F-99DE-248D7979E82A}"/>
    <cellStyle name="Normal 3 6 3 7" xfId="3820" xr:uid="{3A1A86A8-DA81-4356-B925-52164B8F0BA1}"/>
    <cellStyle name="Normal 3 6 3 8" xfId="5125" xr:uid="{745AB8D3-48E2-4CA0-A800-96A160976146}"/>
    <cellStyle name="Normal 3 6 3 9" xfId="6427" xr:uid="{A11540C4-81FD-489E-99D8-AC4136AF8D55}"/>
    <cellStyle name="Normal 3 6 4" xfId="3437" xr:uid="{18980BF1-5D51-4084-90DB-84C6ED63DE1A}"/>
    <cellStyle name="Normal 3 6 4 2" xfId="3703" xr:uid="{B3269BC1-33E5-4817-A995-96A1BD7061D1}"/>
    <cellStyle name="Normal 3 6 4 2 2" xfId="4174" xr:uid="{89FB0509-D853-4BF2-86FE-9937771D8776}"/>
    <cellStyle name="Normal 3 6 4 2 3" xfId="5479" xr:uid="{407D1EF8-20FC-4A8C-AE55-6E0297B7C4B5}"/>
    <cellStyle name="Normal 3 6 4 2 4" xfId="6781" xr:uid="{87FE4A28-5A9E-497B-A0DA-78DA0E6AF799}"/>
    <cellStyle name="Normal 3 6 4 2 5" xfId="8084" xr:uid="{CBA0BA7F-221B-4ED1-976D-231B9F8636E1}"/>
    <cellStyle name="Normal 3 6 4 3" xfId="4410" xr:uid="{D3FA5966-1E2B-425B-B447-EFC12971FF27}"/>
    <cellStyle name="Normal 3 6 4 3 2" xfId="5715" xr:uid="{2ACACEF7-7922-4646-8FF3-9FE316613870}"/>
    <cellStyle name="Normal 3 6 4 3 3" xfId="7017" xr:uid="{AD3AD769-6BF3-4290-A280-4912AB6EC7F7}"/>
    <cellStyle name="Normal 3 6 4 4" xfId="4690" xr:uid="{9EE3E147-E3AA-4135-B702-FAABF0B3833C}"/>
    <cellStyle name="Normal 3 6 4 4 2" xfId="5992" xr:uid="{5A4AD1BD-6958-40E6-8F4E-865CD22139D9}"/>
    <cellStyle name="Normal 3 6 4 4 3" xfId="7295" xr:uid="{973C323F-904E-4E0F-B30E-0B649184049A}"/>
    <cellStyle name="Normal 3 6 4 5" xfId="4967" xr:uid="{00DDEC87-4F9A-46CC-8B0C-AD105FEE7064}"/>
    <cellStyle name="Normal 3 6 4 5 2" xfId="6269" xr:uid="{E288682F-71BF-4308-81A9-FC4730C71A56}"/>
    <cellStyle name="Normal 3 6 4 5 3" xfId="7572" xr:uid="{902F08B6-E6AA-41E0-8301-D95F13F9212B}"/>
    <cellStyle name="Normal 3 6 4 6" xfId="3945" xr:uid="{E6B1597E-05BD-4B49-B351-5EB21F145FC7}"/>
    <cellStyle name="Normal 3 6 4 7" xfId="5250" xr:uid="{1007F78F-7A0B-42FD-9109-4F22421BC6F0}"/>
    <cellStyle name="Normal 3 6 4 8" xfId="6552" xr:uid="{B987F2DD-B9B8-4562-8B0C-98C9C4520C58}"/>
    <cellStyle name="Normal 3 6 4 9" xfId="7855" xr:uid="{3DC59379-7137-467C-BE02-96CE0890687F}"/>
    <cellStyle name="Normal 3 6 5" xfId="2938" xr:uid="{464D1B4F-3FDE-4325-BF32-01E30F8597D3}"/>
    <cellStyle name="Normal 3 6 5 2" xfId="3607" xr:uid="{E3BEC948-CB48-4699-9BF7-398E9057341F}"/>
    <cellStyle name="Normal 3 6 5 2 2" xfId="4094" xr:uid="{20D42F8B-1FB8-41C6-B90C-12801D805203}"/>
    <cellStyle name="Normal 3 6 5 2 3" xfId="5399" xr:uid="{D12AFF0D-A97C-4D42-AFD9-439F8AF3B66C}"/>
    <cellStyle name="Normal 3 6 5 2 4" xfId="6701" xr:uid="{5157E440-CE04-493C-952F-D56390F7AA3A}"/>
    <cellStyle name="Normal 3 6 5 2 5" xfId="8004" xr:uid="{21EAE74E-95C1-4B47-85B4-65B189511E62}"/>
    <cellStyle name="Normal 3 6 5 3" xfId="4330" xr:uid="{577CE060-788C-4274-8FF9-AD0E1C72B081}"/>
    <cellStyle name="Normal 3 6 5 3 2" xfId="5635" xr:uid="{15696894-E7F5-42CA-9AF9-C8C3EC62729B}"/>
    <cellStyle name="Normal 3 6 5 3 3" xfId="6937" xr:uid="{5C28F147-BEB6-45D5-85B0-477474E1E91F}"/>
    <cellStyle name="Normal 3 6 5 4" xfId="4610" xr:uid="{48F16C64-28B6-4556-A658-9D19FB6905C8}"/>
    <cellStyle name="Normal 3 6 5 4 2" xfId="5912" xr:uid="{F49ED417-AA2A-4C92-91F2-51B52B368426}"/>
    <cellStyle name="Normal 3 6 5 4 3" xfId="7215" xr:uid="{9EEC57F3-548F-4B91-84FD-66559F51E304}"/>
    <cellStyle name="Normal 3 6 5 5" xfId="4887" xr:uid="{91E3D07E-0FCC-4CFC-8DD6-B34B9F485095}"/>
    <cellStyle name="Normal 3 6 5 5 2" xfId="6189" xr:uid="{54028F70-F3D4-4AFF-9FEC-370C52B488CE}"/>
    <cellStyle name="Normal 3 6 5 5 3" xfId="7492" xr:uid="{5D12212C-AB11-47B7-A398-2C4B1AA37605}"/>
    <cellStyle name="Normal 3 6 5 6" xfId="3865" xr:uid="{F24C185A-00DF-4252-BA12-AABFBBC61C4A}"/>
    <cellStyle name="Normal 3 6 5 7" xfId="5170" xr:uid="{B3057DEF-8E24-4B13-9DE6-DE3FB9EF98FF}"/>
    <cellStyle name="Normal 3 6 5 8" xfId="6472" xr:uid="{911F4EDB-4AE0-4B2C-A93C-3C24E9F9470C}"/>
    <cellStyle name="Normal 3 6 5 9" xfId="7775" xr:uid="{6C5FDCFE-2E51-4554-BA61-6E1FCE8E6C77}"/>
    <cellStyle name="Normal 3 6 6" xfId="3517" xr:uid="{36B40373-C254-42BF-9844-AB2E19D74B61}"/>
    <cellStyle name="Normal 3 6 6 2" xfId="4466" xr:uid="{60067DE8-C7FF-4E48-8088-638D4ABF6FF9}"/>
    <cellStyle name="Normal 3 6 6 2 2" xfId="5769" xr:uid="{3682E846-25FE-4203-B3A0-CF61B17174AF}"/>
    <cellStyle name="Normal 3 6 6 2 3" xfId="7072" xr:uid="{6E3FDE21-9AC1-42DF-B462-43DB4096E994}"/>
    <cellStyle name="Normal 3 6 6 3" xfId="4744" xr:uid="{C7BF6B7D-43A2-481A-8B76-AC95FCF604C3}"/>
    <cellStyle name="Normal 3 6 6 3 2" xfId="6046" xr:uid="{B78276B8-6A97-4370-AB57-732271478C69}"/>
    <cellStyle name="Normal 3 6 6 3 3" xfId="7349" xr:uid="{A97819AC-A1FB-40E4-8997-D55D6E2832C5}"/>
    <cellStyle name="Normal 3 6 6 4" xfId="5021" xr:uid="{28DE0421-1B1B-4DD5-858E-20D7C7ABBD59}"/>
    <cellStyle name="Normal 3 6 6 4 2" xfId="6323" xr:uid="{A76CEA03-5218-4093-ACDA-C8DC39D96304}"/>
    <cellStyle name="Normal 3 6 6 4 3" xfId="7626" xr:uid="{F1873BAD-1AB6-4B0D-857C-0F0C1619A4F1}"/>
    <cellStyle name="Normal 3 6 6 5" xfId="4004" xr:uid="{96CCA7C5-3D3C-43CA-A931-835FF03D3461}"/>
    <cellStyle name="Normal 3 6 6 6" xfId="5309" xr:uid="{DC81E693-284C-4E96-A33E-BB83B63E2DFC}"/>
    <cellStyle name="Normal 3 6 6 7" xfId="6611" xr:uid="{7F62CC60-F7FD-4C4B-802F-1E0FA8C47F2E}"/>
    <cellStyle name="Normal 3 6 6 8" xfId="7914" xr:uid="{E51B88B5-649A-4763-B843-A1F26DDB6FAD}"/>
    <cellStyle name="Normal 3 6 7" xfId="4240" xr:uid="{2676E15E-368D-41B8-A2DB-72CF30558B07}"/>
    <cellStyle name="Normal 3 6 7 2" xfId="5545" xr:uid="{13946DE5-DC7E-4BF1-8446-1305FD43B98F}"/>
    <cellStyle name="Normal 3 6 7 3" xfId="6847" xr:uid="{0583A7FC-5CA3-4913-A74F-7623C46903C4}"/>
    <cellStyle name="Normal 3 6 8" xfId="4520" xr:uid="{7AE903F0-EA9E-4FAA-93D1-CE26CEBFE496}"/>
    <cellStyle name="Normal 3 6 8 2" xfId="5822" xr:uid="{3BFE28F5-1E27-499F-8279-5B068EE727DA}"/>
    <cellStyle name="Normal 3 6 8 3" xfId="7125" xr:uid="{DD6BE94E-06A6-4EEB-BC43-5EB2991B25DB}"/>
    <cellStyle name="Normal 3 6 9" xfId="4797" xr:uid="{A1D9B324-D1A8-4940-924E-16E129EAFE0F}"/>
    <cellStyle name="Normal 3 6 9 2" xfId="6099" xr:uid="{869036BB-43AC-4B6B-8D86-8F426C0CD15D}"/>
    <cellStyle name="Normal 3 6 9 3" xfId="7402" xr:uid="{D993D02B-799B-4AD4-84D1-64A397F19A94}"/>
    <cellStyle name="Normal 3 7" xfId="36" xr:uid="{9B8BE420-B9DC-4B59-9B54-7083457CADE1}"/>
    <cellStyle name="Normal 3 7 10" xfId="3764" xr:uid="{DF9B8993-89BA-4D0D-8378-0CDCC8A0AAE5}"/>
    <cellStyle name="Normal 3 7 11" xfId="5069" xr:uid="{76F7F488-4567-43C3-A3DA-459E1C5BD9E9}"/>
    <cellStyle name="Normal 3 7 12" xfId="6371" xr:uid="{B37B7683-834E-4572-B4CA-0099055D17A4}"/>
    <cellStyle name="Normal 3 7 13" xfId="7674" xr:uid="{07C6A02D-D1FA-4FE0-BBEF-D66A750F6092}"/>
    <cellStyle name="Normal 3 7 2" xfId="2852" xr:uid="{4839087F-713B-41A6-97E3-F6EDF601D9DF}"/>
    <cellStyle name="Normal 3 7 2 10" xfId="5086" xr:uid="{BD43E7A6-D9F8-4C58-AB4B-C02F66D35A67}"/>
    <cellStyle name="Normal 3 7 2 11" xfId="6388" xr:uid="{28A55892-3CB7-4E71-BD40-3194FDB90605}"/>
    <cellStyle name="Normal 3 7 2 12" xfId="7691" xr:uid="{0DEBE280-9C3C-4E44-9071-40DD695E6702}"/>
    <cellStyle name="Normal 3 7 2 2" xfId="2899" xr:uid="{C10CE677-24C3-43B8-AA2A-EE00547F890C}"/>
    <cellStyle name="Normal 3 7 2 2 10" xfId="7736" xr:uid="{01C62FE0-259B-47C8-A4EA-8FB6A80A4541}"/>
    <cellStyle name="Normal 3 7 2 2 2" xfId="3000" xr:uid="{B9D6D571-4523-43FD-A6D0-B3FF5FDEA34B}"/>
    <cellStyle name="Normal 3 7 2 2 2 2" xfId="3669" xr:uid="{14F4C5C6-1832-4CAA-B815-5A9C385B26FD}"/>
    <cellStyle name="Normal 3 7 2 2 2 2 2" xfId="4140" xr:uid="{E99EC88B-752A-4167-8BC4-64FE09294604}"/>
    <cellStyle name="Normal 3 7 2 2 2 2 3" xfId="5445" xr:uid="{50817A90-9764-4D4A-B9EC-B582A4F4C798}"/>
    <cellStyle name="Normal 3 7 2 2 2 2 4" xfId="6747" xr:uid="{118257EA-F848-4053-B6C1-64BB931DA60A}"/>
    <cellStyle name="Normal 3 7 2 2 2 2 5" xfId="8050" xr:uid="{7A939D67-F6AC-4B0F-B52D-F177F712747B}"/>
    <cellStyle name="Normal 3 7 2 2 2 3" xfId="4376" xr:uid="{BD1B1490-CF40-49BA-B3BA-32FD77F3BABB}"/>
    <cellStyle name="Normal 3 7 2 2 2 3 2" xfId="5681" xr:uid="{A0CB00B7-A033-410C-98FB-5A320E021B10}"/>
    <cellStyle name="Normal 3 7 2 2 2 3 3" xfId="6983" xr:uid="{3BD1F54E-D634-45B3-ABDB-9138562696C4}"/>
    <cellStyle name="Normal 3 7 2 2 2 4" xfId="4656" xr:uid="{03A79EB3-F406-49E1-9597-3A61D5D1F771}"/>
    <cellStyle name="Normal 3 7 2 2 2 4 2" xfId="5958" xr:uid="{76EF8E04-B048-4EBB-B54A-204C2AEA6C67}"/>
    <cellStyle name="Normal 3 7 2 2 2 4 3" xfId="7261" xr:uid="{0A7B1A8A-20BC-44AC-A63C-04A3A12786A7}"/>
    <cellStyle name="Normal 3 7 2 2 2 5" xfId="4933" xr:uid="{67F87924-A4DC-4075-A7EA-0884BFF52AB2}"/>
    <cellStyle name="Normal 3 7 2 2 2 5 2" xfId="6235" xr:uid="{6AE842B9-2B0C-4DEC-9866-8828CE2FB199}"/>
    <cellStyle name="Normal 3 7 2 2 2 5 3" xfId="7538" xr:uid="{6376B13D-4AA2-43EE-9B6C-0A90A309E221}"/>
    <cellStyle name="Normal 3 7 2 2 2 6" xfId="3911" xr:uid="{29510B95-F4E7-4E41-B9BB-451573C5BD7E}"/>
    <cellStyle name="Normal 3 7 2 2 2 7" xfId="5216" xr:uid="{52657AAF-F34E-44B2-AC85-B13308F73D10}"/>
    <cellStyle name="Normal 3 7 2 2 2 8" xfId="6518" xr:uid="{8AEA001D-9125-4088-ADD0-462B93FFD4E4}"/>
    <cellStyle name="Normal 3 7 2 2 2 9" xfId="7821" xr:uid="{0BAA2904-B58A-4D3A-B3F6-8F5614AFF2DD}"/>
    <cellStyle name="Normal 3 7 2 2 3" xfId="3568" xr:uid="{C7D6B39A-772D-4D3C-9D2F-8300C65922DB}"/>
    <cellStyle name="Normal 3 7 2 2 3 2" xfId="4055" xr:uid="{728E94C0-1FAF-4C76-9D7A-389E8017AB58}"/>
    <cellStyle name="Normal 3 7 2 2 3 3" xfId="5360" xr:uid="{0C21D7B5-0E3B-4225-B542-F2BF5479E181}"/>
    <cellStyle name="Normal 3 7 2 2 3 4" xfId="6662" xr:uid="{21A469A3-7FBF-4F7D-8EA9-615747F595B4}"/>
    <cellStyle name="Normal 3 7 2 2 3 5" xfId="7965" xr:uid="{F223E547-907E-4898-993A-3E57FAF3FAAD}"/>
    <cellStyle name="Normal 3 7 2 2 4" xfId="4291" xr:uid="{C00BC88E-9617-48E3-A559-557795AF5FE5}"/>
    <cellStyle name="Normal 3 7 2 2 4 2" xfId="5596" xr:uid="{DA9CA769-C501-462E-ABBE-4D7AF1C308EB}"/>
    <cellStyle name="Normal 3 7 2 2 4 3" xfId="6898" xr:uid="{1206ECC7-6B1C-4D1A-BE36-48FCF91BC629}"/>
    <cellStyle name="Normal 3 7 2 2 5" xfId="4571" xr:uid="{A3476FFE-BA85-4822-9F04-174825209D65}"/>
    <cellStyle name="Normal 3 7 2 2 5 2" xfId="5873" xr:uid="{1D519634-3344-4B21-933C-DD8397F2BBDB}"/>
    <cellStyle name="Normal 3 7 2 2 5 3" xfId="7176" xr:uid="{208D9654-8519-4FAA-AD51-F3198AFF063C}"/>
    <cellStyle name="Normal 3 7 2 2 6" xfId="4848" xr:uid="{4E60D73B-3E91-420F-B757-001214434E68}"/>
    <cellStyle name="Normal 3 7 2 2 6 2" xfId="6150" xr:uid="{479A142F-DD34-43A2-B64F-701C8A3474E6}"/>
    <cellStyle name="Normal 3 7 2 2 6 3" xfId="7453" xr:uid="{B259A9DE-76FD-4B6C-ABE7-98888328AC15}"/>
    <cellStyle name="Normal 3 7 2 2 7" xfId="3826" xr:uid="{B9F50FC1-C249-49CC-ABBB-32892B10F339}"/>
    <cellStyle name="Normal 3 7 2 2 8" xfId="5131" xr:uid="{3247EADC-AE61-4729-836F-BAF83606F852}"/>
    <cellStyle name="Normal 3 7 2 2 9" xfId="6433" xr:uid="{F2A4B32B-F500-4C47-936D-FDB9B5549633}"/>
    <cellStyle name="Normal 3 7 2 3" xfId="3444" xr:uid="{67957013-F341-4E6C-A69B-0EDB178F8F47}"/>
    <cellStyle name="Normal 3 7 2 3 2" xfId="3709" xr:uid="{8200D914-E07F-4E54-A2AF-C55324BA3CCE}"/>
    <cellStyle name="Normal 3 7 2 3 2 2" xfId="4180" xr:uid="{E5D1C313-15FD-4B83-A0A3-E13882E2588F}"/>
    <cellStyle name="Normal 3 7 2 3 2 3" xfId="5485" xr:uid="{5E12B70B-9474-4E43-B67F-F1CBA08C608E}"/>
    <cellStyle name="Normal 3 7 2 3 2 4" xfId="6787" xr:uid="{131D6A32-BE97-4CE3-8A4E-9DB86CD75DEB}"/>
    <cellStyle name="Normal 3 7 2 3 2 5" xfId="8090" xr:uid="{8B552E55-BA99-422F-99A0-01ECBA5E42B7}"/>
    <cellStyle name="Normal 3 7 2 3 3" xfId="4416" xr:uid="{CBEBE257-AD03-42D5-984A-967312250ED9}"/>
    <cellStyle name="Normal 3 7 2 3 3 2" xfId="5721" xr:uid="{4FBAC738-B3B5-4029-8323-8E408C665FBF}"/>
    <cellStyle name="Normal 3 7 2 3 3 3" xfId="7023" xr:uid="{B79370E0-2B51-4E47-BF28-966F17C10616}"/>
    <cellStyle name="Normal 3 7 2 3 4" xfId="4696" xr:uid="{A1201E41-D287-4A74-A4C5-67B2BBD1FD87}"/>
    <cellStyle name="Normal 3 7 2 3 4 2" xfId="5998" xr:uid="{C1E9B7A1-691A-4671-AEAF-9191B1698422}"/>
    <cellStyle name="Normal 3 7 2 3 4 3" xfId="7301" xr:uid="{380E7E1E-37A7-4871-89A4-147502512C46}"/>
    <cellStyle name="Normal 3 7 2 3 5" xfId="4973" xr:uid="{B8FBA692-A702-48B5-8E79-64F4E354E05F}"/>
    <cellStyle name="Normal 3 7 2 3 5 2" xfId="6275" xr:uid="{7D828F25-2101-4EC2-814A-D559D9CE1CD7}"/>
    <cellStyle name="Normal 3 7 2 3 5 3" xfId="7578" xr:uid="{52B654A6-E74C-45B2-B9F4-8E632CA2B081}"/>
    <cellStyle name="Normal 3 7 2 3 6" xfId="3951" xr:uid="{A84867D9-B90F-484B-9DEF-68906F223375}"/>
    <cellStyle name="Normal 3 7 2 3 7" xfId="5256" xr:uid="{8BA7D70B-871C-4129-9D7A-CDBFE0AE4208}"/>
    <cellStyle name="Normal 3 7 2 3 8" xfId="6558" xr:uid="{F1A838F2-BF5C-4850-8363-8BDB33DEA618}"/>
    <cellStyle name="Normal 3 7 2 3 9" xfId="7861" xr:uid="{ED5977FA-DE2C-4B9B-BB27-DF41A77B5ADE}"/>
    <cellStyle name="Normal 3 7 2 4" xfId="2944" xr:uid="{9C47C7AE-7CA9-4452-A77C-95B435A66C76}"/>
    <cellStyle name="Normal 3 7 2 4 2" xfId="3613" xr:uid="{31B6E725-703C-4DD5-95DA-D3E2F219BA7A}"/>
    <cellStyle name="Normal 3 7 2 4 2 2" xfId="4100" xr:uid="{D358D80E-49C0-4C10-8457-161D2F1D71FA}"/>
    <cellStyle name="Normal 3 7 2 4 2 3" xfId="5405" xr:uid="{ABF47527-CBB7-41A8-9111-EF1837C52AC6}"/>
    <cellStyle name="Normal 3 7 2 4 2 4" xfId="6707" xr:uid="{B4EF9170-3E69-44C7-A5EA-E1C152830FF3}"/>
    <cellStyle name="Normal 3 7 2 4 2 5" xfId="8010" xr:uid="{47CF05CD-182B-477F-A15D-0954EEA4033B}"/>
    <cellStyle name="Normal 3 7 2 4 3" xfId="4336" xr:uid="{858E86E4-CF6C-4BF5-B4CA-93BF4CC56E2C}"/>
    <cellStyle name="Normal 3 7 2 4 3 2" xfId="5641" xr:uid="{3B02AED3-9C40-4C35-868E-B8527B4EAC8C}"/>
    <cellStyle name="Normal 3 7 2 4 3 3" xfId="6943" xr:uid="{262C012C-768B-4C2E-8427-81A57921816F}"/>
    <cellStyle name="Normal 3 7 2 4 4" xfId="4616" xr:uid="{C78DA315-F8F3-4EBC-86BC-5EA2A28521E9}"/>
    <cellStyle name="Normal 3 7 2 4 4 2" xfId="5918" xr:uid="{2BD365B3-A2B0-4232-9EB6-0921014BDC2F}"/>
    <cellStyle name="Normal 3 7 2 4 4 3" xfId="7221" xr:uid="{45D75455-33B9-4D6C-B609-42FEB606792C}"/>
    <cellStyle name="Normal 3 7 2 4 5" xfId="4893" xr:uid="{3C79A6FA-4503-476A-ACCF-4537DFDB29CC}"/>
    <cellStyle name="Normal 3 7 2 4 5 2" xfId="6195" xr:uid="{D224D09D-FF8C-439A-90BD-62BB86AC9DD3}"/>
    <cellStyle name="Normal 3 7 2 4 5 3" xfId="7498" xr:uid="{74B8FA9D-AE2C-4F80-9F20-EED6277710B9}"/>
    <cellStyle name="Normal 3 7 2 4 6" xfId="3871" xr:uid="{F99D7508-1B83-40CA-9FA3-DC5570D806C3}"/>
    <cellStyle name="Normal 3 7 2 4 7" xfId="5176" xr:uid="{6D2D274C-9CEE-4773-8A6E-B1560CD7F218}"/>
    <cellStyle name="Normal 3 7 2 4 8" xfId="6478" xr:uid="{1CABFEA7-24F6-48DE-9C43-73E5B8ECE8BC}"/>
    <cellStyle name="Normal 3 7 2 4 9" xfId="7781" xr:uid="{EC54F9F2-861B-4BAA-8EB8-F26695EED03E}"/>
    <cellStyle name="Normal 3 7 2 5" xfId="3523" xr:uid="{FC001EC6-1FFF-4CFF-87BE-A1DF17CEADBB}"/>
    <cellStyle name="Normal 3 7 2 5 2" xfId="4472" xr:uid="{D82A2668-6004-4E63-93F2-E3159775617F}"/>
    <cellStyle name="Normal 3 7 2 5 2 2" xfId="5775" xr:uid="{A8F04EDB-BFE8-44DB-BEEB-ED0441EB3AF0}"/>
    <cellStyle name="Normal 3 7 2 5 2 3" xfId="7078" xr:uid="{71188A05-87B4-4F72-8EF2-4973436260BF}"/>
    <cellStyle name="Normal 3 7 2 5 3" xfId="4750" xr:uid="{2983454C-A034-45C5-B541-45AD584C61FD}"/>
    <cellStyle name="Normal 3 7 2 5 3 2" xfId="6052" xr:uid="{060AE246-ACA1-4B10-A89E-EF26E32236BC}"/>
    <cellStyle name="Normal 3 7 2 5 3 3" xfId="7355" xr:uid="{3CD3C359-052D-4330-8E8D-F3F3CEB1D1E9}"/>
    <cellStyle name="Normal 3 7 2 5 4" xfId="5027" xr:uid="{D15B9D1F-C2B8-47AE-813F-31A79024EC09}"/>
    <cellStyle name="Normal 3 7 2 5 4 2" xfId="6329" xr:uid="{8404AD13-6788-4405-80A0-D1E543484000}"/>
    <cellStyle name="Normal 3 7 2 5 4 3" xfId="7632" xr:uid="{B18D20E7-2A6B-4F82-B7C4-21CCEBE99011}"/>
    <cellStyle name="Normal 3 7 2 5 5" xfId="4010" xr:uid="{E36EC5DB-A40A-44CE-9092-F37DD00A9AF8}"/>
    <cellStyle name="Normal 3 7 2 5 6" xfId="5315" xr:uid="{DACED188-8A64-409C-9392-261C45C73044}"/>
    <cellStyle name="Normal 3 7 2 5 7" xfId="6617" xr:uid="{196CB963-69BC-4B06-9EFC-0AAC6664200B}"/>
    <cellStyle name="Normal 3 7 2 5 8" xfId="7920" xr:uid="{7442E6CB-3349-4CF9-8E28-5D5852703F66}"/>
    <cellStyle name="Normal 3 7 2 6" xfId="4246" xr:uid="{2EEA89A3-40BB-4FFA-A728-7FB07FC1A3BD}"/>
    <cellStyle name="Normal 3 7 2 6 2" xfId="5551" xr:uid="{CA15F1A8-7AE2-44CA-BEA8-DDDA9FBD31F6}"/>
    <cellStyle name="Normal 3 7 2 6 3" xfId="6853" xr:uid="{4D172E7C-3C0A-477F-9123-5FCA2749E049}"/>
    <cellStyle name="Normal 3 7 2 7" xfId="4526" xr:uid="{08E39245-1941-46B1-90BE-BD4736E1B39D}"/>
    <cellStyle name="Normal 3 7 2 7 2" xfId="5828" xr:uid="{C3F9D208-2A09-4386-9A6D-4D1D8B2E7C7D}"/>
    <cellStyle name="Normal 3 7 2 7 3" xfId="7131" xr:uid="{2372E8EE-3C46-42DD-9019-6794C8C5666A}"/>
    <cellStyle name="Normal 3 7 2 8" xfId="4803" xr:uid="{FEE98480-DA29-4294-BBB9-35F22DEC5BB6}"/>
    <cellStyle name="Normal 3 7 2 8 2" xfId="6105" xr:uid="{B85A0B28-F66E-4E65-8077-5F9543CE247C}"/>
    <cellStyle name="Normal 3 7 2 8 3" xfId="7408" xr:uid="{9EA8A15C-F7BA-4E91-9AAE-DC0B526C58FF}"/>
    <cellStyle name="Normal 3 7 2 9" xfId="3781" xr:uid="{01112F49-97E5-4E16-9535-5DEB43C34D4E}"/>
    <cellStyle name="Normal 3 7 3" xfId="2882" xr:uid="{CAC8F409-912F-4248-A145-ECB4A69E53C0}"/>
    <cellStyle name="Normal 3 7 3 10" xfId="7719" xr:uid="{B5817DDD-5E50-4379-9832-757AFF824CCB}"/>
    <cellStyle name="Normal 3 7 3 2" xfId="2967" xr:uid="{AD2F175F-6CE0-4BF1-89F7-8D6F4DAA212B}"/>
    <cellStyle name="Normal 3 7 3 2 2" xfId="3636" xr:uid="{444573FF-F4BC-490C-8DAC-4281FD2C5097}"/>
    <cellStyle name="Normal 3 7 3 2 2 2" xfId="4123" xr:uid="{797F25C0-A6D2-4D9A-9924-821652BA2255}"/>
    <cellStyle name="Normal 3 7 3 2 2 3" xfId="5428" xr:uid="{27B3EEEF-A40D-4BC6-BED6-9569128B3251}"/>
    <cellStyle name="Normal 3 7 3 2 2 4" xfId="6730" xr:uid="{CAC3F232-CB24-4A06-B5E4-3F2F3D53260C}"/>
    <cellStyle name="Normal 3 7 3 2 2 5" xfId="8033" xr:uid="{B9945B26-2241-40A9-B66B-E1582EE18466}"/>
    <cellStyle name="Normal 3 7 3 2 3" xfId="4359" xr:uid="{CAF044B2-7786-492A-93BC-CF17DC47A0BF}"/>
    <cellStyle name="Normal 3 7 3 2 3 2" xfId="5664" xr:uid="{024F262C-E109-4FB3-B3D7-FB6336114CFC}"/>
    <cellStyle name="Normal 3 7 3 2 3 3" xfId="6966" xr:uid="{4C20EA4C-8570-4CA1-B754-29761C8512EC}"/>
    <cellStyle name="Normal 3 7 3 2 4" xfId="4639" xr:uid="{EEE0E568-F9ED-4083-A08C-7971A9D0E1D6}"/>
    <cellStyle name="Normal 3 7 3 2 4 2" xfId="5941" xr:uid="{CE10607E-A20C-4AC4-B5DB-E81FA1DAE967}"/>
    <cellStyle name="Normal 3 7 3 2 4 3" xfId="7244" xr:uid="{484F1C5E-F1D8-49C0-B932-1774024E706C}"/>
    <cellStyle name="Normal 3 7 3 2 5" xfId="4916" xr:uid="{ED5CD43D-1437-4400-A17A-5AFA7FB600FA}"/>
    <cellStyle name="Normal 3 7 3 2 5 2" xfId="6218" xr:uid="{337AA1C2-BBE8-49CF-9F27-E292B0D715CF}"/>
    <cellStyle name="Normal 3 7 3 2 5 3" xfId="7521" xr:uid="{34676FE9-DC5D-4992-B276-EAE99AF9F504}"/>
    <cellStyle name="Normal 3 7 3 2 6" xfId="3894" xr:uid="{8EC24BE8-BB5F-41EC-AB7E-3385142FA5A2}"/>
    <cellStyle name="Normal 3 7 3 2 7" xfId="5199" xr:uid="{34D0C029-3C27-4D72-9A09-FE51DACA11B0}"/>
    <cellStyle name="Normal 3 7 3 2 8" xfId="6501" xr:uid="{9D1F31D8-C31C-42DD-B2A3-DB4D13F37E55}"/>
    <cellStyle name="Normal 3 7 3 2 9" xfId="7804" xr:uid="{207A426C-E7D3-4CA4-B5E1-D2C4DAA4D0C4}"/>
    <cellStyle name="Normal 3 7 3 3" xfId="3551" xr:uid="{FD155A5A-1FB9-4188-A30F-4138488D7210}"/>
    <cellStyle name="Normal 3 7 3 3 2" xfId="4038" xr:uid="{B6B6FC63-1787-4673-A03F-D2A4842AA48E}"/>
    <cellStyle name="Normal 3 7 3 3 3" xfId="5343" xr:uid="{2D7DE36F-E37A-4A86-808F-3DAE86458414}"/>
    <cellStyle name="Normal 3 7 3 3 4" xfId="6645" xr:uid="{529052F2-45F8-4165-8A32-47DE1FFE3316}"/>
    <cellStyle name="Normal 3 7 3 3 5" xfId="7948" xr:uid="{73C958B8-D449-4F77-BED6-7E46520E7C4C}"/>
    <cellStyle name="Normal 3 7 3 4" xfId="4274" xr:uid="{8BEEA11B-19E2-4AD1-9FD9-FACD81980A83}"/>
    <cellStyle name="Normal 3 7 3 4 2" xfId="5579" xr:uid="{FB7046FE-4083-46B3-A55E-85D92B5233A2}"/>
    <cellStyle name="Normal 3 7 3 4 3" xfId="6881" xr:uid="{9DA5D21C-2DCD-46DD-9A3A-451679D396F3}"/>
    <cellStyle name="Normal 3 7 3 5" xfId="4554" xr:uid="{251D84C6-DEBC-4007-846B-2EF1CEAC39E7}"/>
    <cellStyle name="Normal 3 7 3 5 2" xfId="5856" xr:uid="{29C7690E-AEFE-4E22-BFEC-911110EC437F}"/>
    <cellStyle name="Normal 3 7 3 5 3" xfId="7159" xr:uid="{33F1E4E0-C1A1-406D-A426-0CE68F7AEF3D}"/>
    <cellStyle name="Normal 3 7 3 6" xfId="4831" xr:uid="{A84CFC37-CB64-4CCF-B859-9E02FEBBA306}"/>
    <cellStyle name="Normal 3 7 3 6 2" xfId="6133" xr:uid="{1D8F525B-FB98-449B-A452-E091DF89E6A8}"/>
    <cellStyle name="Normal 3 7 3 6 3" xfId="7436" xr:uid="{4359EFE0-1D8B-42CB-B177-1673DDCE4AEF}"/>
    <cellStyle name="Normal 3 7 3 7" xfId="3809" xr:uid="{CC661CB9-7559-4769-BACF-D356A5DA6C33}"/>
    <cellStyle name="Normal 3 7 3 8" xfId="5114" xr:uid="{F8A38706-F024-4E40-95B0-B491D1F684B8}"/>
    <cellStyle name="Normal 3 7 3 9" xfId="6416" xr:uid="{6CC7B76E-D702-4827-A9F6-5A2B3351468B}"/>
    <cellStyle name="Normal 3 7 4" xfId="3023" xr:uid="{17C3627A-5390-4086-994A-FC055B3E2812}"/>
    <cellStyle name="Normal 3 7 4 2" xfId="3692" xr:uid="{60957BF5-3C0E-48DB-BEAA-33FBC66548BE}"/>
    <cellStyle name="Normal 3 7 4 2 2" xfId="4163" xr:uid="{9A33C1BA-854F-459D-994E-867DE09CBC72}"/>
    <cellStyle name="Normal 3 7 4 2 3" xfId="5468" xr:uid="{ECE723F2-6C8D-4A5C-9458-49A79ABBE724}"/>
    <cellStyle name="Normal 3 7 4 2 4" xfId="6770" xr:uid="{D3972E3D-4B30-429E-B1E1-81CD14B97A33}"/>
    <cellStyle name="Normal 3 7 4 2 5" xfId="8073" xr:uid="{5E934265-1730-468B-987C-527AF2143B73}"/>
    <cellStyle name="Normal 3 7 4 3" xfId="4399" xr:uid="{B8267A88-CDA5-4DE2-BC2C-2868205FB46A}"/>
    <cellStyle name="Normal 3 7 4 3 2" xfId="5704" xr:uid="{3DFDEC4C-EB07-477A-B4D3-576938EF5CA7}"/>
    <cellStyle name="Normal 3 7 4 3 3" xfId="7006" xr:uid="{DB10E27F-BFBB-4AC5-9E86-F61862FF0088}"/>
    <cellStyle name="Normal 3 7 4 4" xfId="4679" xr:uid="{94DF98CC-3A28-4D9F-BE9E-EB09EFE735B1}"/>
    <cellStyle name="Normal 3 7 4 4 2" xfId="5981" xr:uid="{F402DACE-080A-4BB6-8E62-B3CC004F696E}"/>
    <cellStyle name="Normal 3 7 4 4 3" xfId="7284" xr:uid="{F0DB708A-A4BD-4837-A4B1-4FD01F87C473}"/>
    <cellStyle name="Normal 3 7 4 5" xfId="4956" xr:uid="{13297049-73F2-49ED-B10A-02F32A76045E}"/>
    <cellStyle name="Normal 3 7 4 5 2" xfId="6258" xr:uid="{CE1AE281-A5BA-49A6-AB51-3425B5F1D767}"/>
    <cellStyle name="Normal 3 7 4 5 3" xfId="7561" xr:uid="{6321372E-CD05-496C-B712-2A3DDED649DE}"/>
    <cellStyle name="Normal 3 7 4 6" xfId="3934" xr:uid="{D3ADEEFF-28CE-47B2-90E5-75FF7A09208B}"/>
    <cellStyle name="Normal 3 7 4 7" xfId="5239" xr:uid="{57FE2737-CE49-43FB-B60E-F5E6DD4A9843}"/>
    <cellStyle name="Normal 3 7 4 8" xfId="6541" xr:uid="{3434E19A-B7B8-49C5-AF4A-59EE7F64B8D6}"/>
    <cellStyle name="Normal 3 7 4 9" xfId="7844" xr:uid="{873951CF-94D1-4411-BA1A-40C3B7C53693}"/>
    <cellStyle name="Normal 3 7 5" xfId="2927" xr:uid="{F7BA3C64-391D-4B30-ACDD-3661ABDF053D}"/>
    <cellStyle name="Normal 3 7 5 2" xfId="3596" xr:uid="{FEF7B1B7-3C7A-4C91-A177-C9900B215FC2}"/>
    <cellStyle name="Normal 3 7 5 2 2" xfId="4083" xr:uid="{3084449D-981C-4CAC-9ACC-72EBA4D32AED}"/>
    <cellStyle name="Normal 3 7 5 2 3" xfId="5388" xr:uid="{54CA4BC4-FFC9-4F55-9B1E-96569A3B0B4D}"/>
    <cellStyle name="Normal 3 7 5 2 4" xfId="6690" xr:uid="{AF768C7C-D71D-43C1-ACC9-B74758030095}"/>
    <cellStyle name="Normal 3 7 5 2 5" xfId="7993" xr:uid="{3700A1CE-7326-44A4-9034-430E7C75AE07}"/>
    <cellStyle name="Normal 3 7 5 3" xfId="4319" xr:uid="{BBA421ED-8B22-4F97-B14D-DAB2B3D49E34}"/>
    <cellStyle name="Normal 3 7 5 3 2" xfId="5624" xr:uid="{602372EE-25D6-4E22-8808-AC8560DEF37B}"/>
    <cellStyle name="Normal 3 7 5 3 3" xfId="6926" xr:uid="{D2158848-4389-448C-8923-AD12B916B207}"/>
    <cellStyle name="Normal 3 7 5 4" xfId="4599" xr:uid="{87AC8E77-CB89-46CD-BE56-64E9B64921F7}"/>
    <cellStyle name="Normal 3 7 5 4 2" xfId="5901" xr:uid="{BB5F25C4-5F27-4DDB-906D-7583104BE7CF}"/>
    <cellStyle name="Normal 3 7 5 4 3" xfId="7204" xr:uid="{63502115-F781-4B80-B78A-DF1F304E1C63}"/>
    <cellStyle name="Normal 3 7 5 5" xfId="4876" xr:uid="{C1D775B9-7EEB-4833-9737-D11BB6881499}"/>
    <cellStyle name="Normal 3 7 5 5 2" xfId="6178" xr:uid="{16654E11-6CBD-4B54-835D-0F3947E0C17E}"/>
    <cellStyle name="Normal 3 7 5 5 3" xfId="7481" xr:uid="{0B1EB20C-7A47-493F-AC62-7278925CE970}"/>
    <cellStyle name="Normal 3 7 5 6" xfId="3854" xr:uid="{43744849-B207-475A-BEF0-A036170646A0}"/>
    <cellStyle name="Normal 3 7 5 7" xfId="5159" xr:uid="{DC7906B6-F265-406B-84E0-9EC6DC588090}"/>
    <cellStyle name="Normal 3 7 5 8" xfId="6461" xr:uid="{C99A9615-1F11-4280-A070-DD3EFE376142}"/>
    <cellStyle name="Normal 3 7 5 9" xfId="7764" xr:uid="{7590CE63-1133-4AAC-B09F-C5DB746FFE0F}"/>
    <cellStyle name="Normal 3 7 6" xfId="3506" xr:uid="{C85A07FA-469B-4060-A313-D5D1D97E3931}"/>
    <cellStyle name="Normal 3 7 6 2" xfId="4455" xr:uid="{ED3AAE75-6746-4D58-9DB0-233E056CFAC7}"/>
    <cellStyle name="Normal 3 7 6 2 2" xfId="5758" xr:uid="{77621ED6-7CC1-4DE5-A8E7-953ED5151856}"/>
    <cellStyle name="Normal 3 7 6 2 3" xfId="7061" xr:uid="{119F1CB7-04D6-41B4-A877-C60260A5054E}"/>
    <cellStyle name="Normal 3 7 6 3" xfId="4733" xr:uid="{04BBC80F-C6D4-435C-A804-71475DB1A5C7}"/>
    <cellStyle name="Normal 3 7 6 3 2" xfId="6035" xr:uid="{C51E702A-9CFF-44B0-9093-98D68F3C6C9B}"/>
    <cellStyle name="Normal 3 7 6 3 3" xfId="7338" xr:uid="{646C64C2-76D5-429D-98DF-84A5EE8C4A13}"/>
    <cellStyle name="Normal 3 7 6 4" xfId="5010" xr:uid="{43D006C5-6BE3-49A0-BAE3-A964B7482B7D}"/>
    <cellStyle name="Normal 3 7 6 4 2" xfId="6312" xr:uid="{4E4E5F31-110C-4C6D-9911-481B85D05363}"/>
    <cellStyle name="Normal 3 7 6 4 3" xfId="7615" xr:uid="{FB5D2EF9-4434-4AC7-8589-723E634FF6FD}"/>
    <cellStyle name="Normal 3 7 6 5" xfId="3993" xr:uid="{182DD554-C944-4A0E-AABE-E4F780550F08}"/>
    <cellStyle name="Normal 3 7 6 6" xfId="5298" xr:uid="{EA784706-028E-4CA5-AD9D-3419CB589233}"/>
    <cellStyle name="Normal 3 7 6 7" xfId="6600" xr:uid="{34AD9B9E-7756-4728-82C4-0E4DBE2A6D2D}"/>
    <cellStyle name="Normal 3 7 6 8" xfId="7903" xr:uid="{4BA82656-3DA8-4BF3-8907-5E64DE7D766C}"/>
    <cellStyle name="Normal 3 7 7" xfId="4229" xr:uid="{DF8B0A0E-3927-4DB0-B5C9-5B5C15FE4833}"/>
    <cellStyle name="Normal 3 7 7 2" xfId="5534" xr:uid="{B5DF91F3-332F-412B-B21A-A49FD3213C90}"/>
    <cellStyle name="Normal 3 7 7 3" xfId="6836" xr:uid="{69820E4A-B0BA-4926-A21B-033FB4A6DD03}"/>
    <cellStyle name="Normal 3 7 8" xfId="4508" xr:uid="{74C6B631-B0A3-4B8F-80F5-B33D59CB3FE9}"/>
    <cellStyle name="Normal 3 7 8 2" xfId="5811" xr:uid="{BD514F92-5B4A-4949-A101-4DA7346D6B52}"/>
    <cellStyle name="Normal 3 7 8 3" xfId="7114" xr:uid="{BFD84E45-1468-49B5-AA7C-7685E0B5B895}"/>
    <cellStyle name="Normal 3 7 9" xfId="4786" xr:uid="{E140D315-8D0E-494F-85D3-9CA6CA3BD035}"/>
    <cellStyle name="Normal 3 7 9 2" xfId="6088" xr:uid="{D2059A59-7516-4F3C-9A87-2784AB392493}"/>
    <cellStyle name="Normal 3 7 9 3" xfId="7391" xr:uid="{1297457F-0F70-4B89-B94E-3656F07A7EA9}"/>
    <cellStyle name="Normal 3 8" xfId="35" xr:uid="{E9F39955-6C94-407F-81B2-A4211A91662D}"/>
    <cellStyle name="Normal 3 8 10" xfId="3763" xr:uid="{F0A58F16-470E-4B6A-8855-D245571FE349}"/>
    <cellStyle name="Normal 3 8 11" xfId="5068" xr:uid="{66F0AA3A-5E74-47C5-95D9-CF61F703FA9B}"/>
    <cellStyle name="Normal 3 8 12" xfId="6370" xr:uid="{245DB8C5-AB6E-4A75-BB2B-FAB8B26467A7}"/>
    <cellStyle name="Normal 3 8 13" xfId="7673" xr:uid="{5AC5F5EB-D078-4629-8780-AAE055F53FA0}"/>
    <cellStyle name="Normal 3 8 2" xfId="2851" xr:uid="{DD8B0C39-F2D8-46C8-BCB6-636FF37CC129}"/>
    <cellStyle name="Normal 3 8 2 10" xfId="5085" xr:uid="{4FC56C13-77A3-4ED4-A99D-478088D11756}"/>
    <cellStyle name="Normal 3 8 2 11" xfId="6387" xr:uid="{33C5462B-31BF-442F-9C6B-176D37DB5E8C}"/>
    <cellStyle name="Normal 3 8 2 12" xfId="7690" xr:uid="{15B6227C-5E01-4E15-AF5E-ABA8AA9BA06B}"/>
    <cellStyle name="Normal 3 8 2 2" xfId="2898" xr:uid="{E5834BE7-BC54-4710-ADEA-A1AC485B7A8C}"/>
    <cellStyle name="Normal 3 8 2 2 10" xfId="7735" xr:uid="{83E1A8EA-9B63-4CE0-8BE4-94D010A6DC67}"/>
    <cellStyle name="Normal 3 8 2 2 2" xfId="2999" xr:uid="{317EF086-021B-48C5-8624-6D888EBC4210}"/>
    <cellStyle name="Normal 3 8 2 2 2 2" xfId="3668" xr:uid="{8FD268C5-76E1-488F-A4EF-E5B6C140CC1C}"/>
    <cellStyle name="Normal 3 8 2 2 2 2 2" xfId="4139" xr:uid="{B9F1B4AD-507B-4FC7-AA2D-680C6FD73CB4}"/>
    <cellStyle name="Normal 3 8 2 2 2 2 3" xfId="5444" xr:uid="{B340B539-2E4D-49CA-94BE-7398D7929EB8}"/>
    <cellStyle name="Normal 3 8 2 2 2 2 4" xfId="6746" xr:uid="{6B1CB63C-49A9-4C87-A8D2-CFDFDFEC4094}"/>
    <cellStyle name="Normal 3 8 2 2 2 2 5" xfId="8049" xr:uid="{5EDCF7FA-B323-465F-9490-A21362387C86}"/>
    <cellStyle name="Normal 3 8 2 2 2 3" xfId="4375" xr:uid="{A7F59170-4860-4ECB-BC2F-E4FCDA4F595C}"/>
    <cellStyle name="Normal 3 8 2 2 2 3 2" xfId="5680" xr:uid="{68839B1E-4522-46BA-9456-B9555A05B0C2}"/>
    <cellStyle name="Normal 3 8 2 2 2 3 3" xfId="6982" xr:uid="{06FC048E-1236-4CA3-BFF7-A16A4C3614A2}"/>
    <cellStyle name="Normal 3 8 2 2 2 4" xfId="4655" xr:uid="{B96C780A-11A8-4C26-A23A-FAF143BEFDEE}"/>
    <cellStyle name="Normal 3 8 2 2 2 4 2" xfId="5957" xr:uid="{A7572C04-8D2D-4365-8710-31CFDD8B30F9}"/>
    <cellStyle name="Normal 3 8 2 2 2 4 3" xfId="7260" xr:uid="{BBEECF08-2F7D-4122-9AC2-CB3F8F37F551}"/>
    <cellStyle name="Normal 3 8 2 2 2 5" xfId="4932" xr:uid="{FED104EE-BAD3-44C1-82EB-2DD869D3168E}"/>
    <cellStyle name="Normal 3 8 2 2 2 5 2" xfId="6234" xr:uid="{C883BA42-699C-4C4D-A652-23407965C2B8}"/>
    <cellStyle name="Normal 3 8 2 2 2 5 3" xfId="7537" xr:uid="{A634E4BD-60B5-4EC2-A625-A7A2B8D19D69}"/>
    <cellStyle name="Normal 3 8 2 2 2 6" xfId="3910" xr:uid="{202AD939-BFBA-4D99-BF74-E24342A93A3B}"/>
    <cellStyle name="Normal 3 8 2 2 2 7" xfId="5215" xr:uid="{054F4D78-CAEB-4DB5-B194-35F570FE26B5}"/>
    <cellStyle name="Normal 3 8 2 2 2 8" xfId="6517" xr:uid="{28EC7E67-6362-46CA-997E-DDE7C16BF24F}"/>
    <cellStyle name="Normal 3 8 2 2 2 9" xfId="7820" xr:uid="{DC5ABFC3-EC09-4C51-8C92-1D56A85DDCE0}"/>
    <cellStyle name="Normal 3 8 2 2 3" xfId="3567" xr:uid="{660FA052-BE0C-4619-814C-B0B964F6E8D1}"/>
    <cellStyle name="Normal 3 8 2 2 3 2" xfId="4054" xr:uid="{DE483BE4-F39D-4AC3-8DFE-E863392944E4}"/>
    <cellStyle name="Normal 3 8 2 2 3 3" xfId="5359" xr:uid="{5679A783-3A50-4B4B-8550-F66B232875B9}"/>
    <cellStyle name="Normal 3 8 2 2 3 4" xfId="6661" xr:uid="{C544C21A-3302-4CDD-822E-0A40CE728764}"/>
    <cellStyle name="Normal 3 8 2 2 3 5" xfId="7964" xr:uid="{310802F5-D39B-403F-AAEF-757D4DC52894}"/>
    <cellStyle name="Normal 3 8 2 2 4" xfId="4290" xr:uid="{10F611FC-149E-4155-975C-70AB3261F77C}"/>
    <cellStyle name="Normal 3 8 2 2 4 2" xfId="5595" xr:uid="{892D6245-E2D1-4ABB-9EF2-787C780E06DD}"/>
    <cellStyle name="Normal 3 8 2 2 4 3" xfId="6897" xr:uid="{B2ED8BFF-8F5C-4EC1-BC4D-F0FAC3F067C9}"/>
    <cellStyle name="Normal 3 8 2 2 5" xfId="4570" xr:uid="{DA377D74-C8A3-4314-A43D-49B790EA92A1}"/>
    <cellStyle name="Normal 3 8 2 2 5 2" xfId="5872" xr:uid="{BB77192C-316E-4EDF-9460-585F55DA0ECD}"/>
    <cellStyle name="Normal 3 8 2 2 5 3" xfId="7175" xr:uid="{CB228B43-72E8-4297-9D97-6710E90C6437}"/>
    <cellStyle name="Normal 3 8 2 2 6" xfId="4847" xr:uid="{F06D6972-56B9-4C42-BB9D-ECF730E59294}"/>
    <cellStyle name="Normal 3 8 2 2 6 2" xfId="6149" xr:uid="{C7B9CF07-D2C8-4805-AF34-31E5BC55B5B4}"/>
    <cellStyle name="Normal 3 8 2 2 6 3" xfId="7452" xr:uid="{3B0DDCA4-1F48-46CA-93B0-395C4D458B07}"/>
    <cellStyle name="Normal 3 8 2 2 7" xfId="3825" xr:uid="{9DCB0B5C-02AC-4811-BD7A-40C485371E16}"/>
    <cellStyle name="Normal 3 8 2 2 8" xfId="5130" xr:uid="{968ABE32-9B2C-4714-A7FF-7B74C6B20D47}"/>
    <cellStyle name="Normal 3 8 2 2 9" xfId="6432" xr:uid="{EE0381AC-39BA-4C50-AEE1-FBEADDEBF28B}"/>
    <cellStyle name="Normal 3 8 2 3" xfId="3443" xr:uid="{674C9D59-715E-492F-A955-8D053C361483}"/>
    <cellStyle name="Normal 3 8 2 3 2" xfId="3708" xr:uid="{E2CA6EA0-C2D0-4FF4-8419-F505D58A1287}"/>
    <cellStyle name="Normal 3 8 2 3 2 2" xfId="4179" xr:uid="{CB8DE1E4-4A54-4734-B88F-57ABE02DE673}"/>
    <cellStyle name="Normal 3 8 2 3 2 3" xfId="5484" xr:uid="{295AA09C-B7EF-40BB-8F0B-577E79978311}"/>
    <cellStyle name="Normal 3 8 2 3 2 4" xfId="6786" xr:uid="{D57784C8-42F7-4F1C-89C0-CAE61A697DD5}"/>
    <cellStyle name="Normal 3 8 2 3 2 5" xfId="8089" xr:uid="{1576AE78-1C3A-4011-B860-AFE820D12A15}"/>
    <cellStyle name="Normal 3 8 2 3 3" xfId="4415" xr:uid="{E9D04296-2A9E-4B6D-9591-F880AC344050}"/>
    <cellStyle name="Normal 3 8 2 3 3 2" xfId="5720" xr:uid="{AB26FBDD-81B9-4380-9B91-3F91B876B903}"/>
    <cellStyle name="Normal 3 8 2 3 3 3" xfId="7022" xr:uid="{9352E9AF-42A3-4A16-81CB-99A87222BC6D}"/>
    <cellStyle name="Normal 3 8 2 3 4" xfId="4695" xr:uid="{7C418FB8-E57D-4F67-8AA4-97462163149B}"/>
    <cellStyle name="Normal 3 8 2 3 4 2" xfId="5997" xr:uid="{7B02BAD7-0D19-4076-A06E-9F0982459925}"/>
    <cellStyle name="Normal 3 8 2 3 4 3" xfId="7300" xr:uid="{49ABD733-F2D7-40FB-A4FC-054A8C47A5E2}"/>
    <cellStyle name="Normal 3 8 2 3 5" xfId="4972" xr:uid="{43B8370A-8DFF-4DCF-9E03-68CD7DF166E9}"/>
    <cellStyle name="Normal 3 8 2 3 5 2" xfId="6274" xr:uid="{B4515D62-3BF8-478C-962A-EC750FD43385}"/>
    <cellStyle name="Normal 3 8 2 3 5 3" xfId="7577" xr:uid="{23F10223-44F8-4F53-8D0A-A1D09874BB5B}"/>
    <cellStyle name="Normal 3 8 2 3 6" xfId="3950" xr:uid="{D0BF0980-2656-4C4B-8343-B475EDB59AD4}"/>
    <cellStyle name="Normal 3 8 2 3 7" xfId="5255" xr:uid="{7F6C7127-B0FA-485F-B243-59795EA5CA02}"/>
    <cellStyle name="Normal 3 8 2 3 8" xfId="6557" xr:uid="{D87014C6-A576-4970-B1F1-9D475C48613B}"/>
    <cellStyle name="Normal 3 8 2 3 9" xfId="7860" xr:uid="{11E91DD5-1778-4AE1-B446-5482FC5E7C03}"/>
    <cellStyle name="Normal 3 8 2 4" xfId="2943" xr:uid="{A5926E68-6E3A-4F69-A50C-5F3732548537}"/>
    <cellStyle name="Normal 3 8 2 4 2" xfId="3612" xr:uid="{426E6E58-B351-40DF-B238-9CB13D60576D}"/>
    <cellStyle name="Normal 3 8 2 4 2 2" xfId="4099" xr:uid="{2FE4200E-17CA-4E1C-A74A-0E0FD7D19453}"/>
    <cellStyle name="Normal 3 8 2 4 2 3" xfId="5404" xr:uid="{BD7508F7-9C31-4722-8A1D-55B81B41A0FC}"/>
    <cellStyle name="Normal 3 8 2 4 2 4" xfId="6706" xr:uid="{80060228-3969-4EAB-BD90-093913D68549}"/>
    <cellStyle name="Normal 3 8 2 4 2 5" xfId="8009" xr:uid="{9AEF0700-08C5-47B4-845E-4E74DDBBFD75}"/>
    <cellStyle name="Normal 3 8 2 4 3" xfId="4335" xr:uid="{FB112BA4-C954-4BDD-A548-25414560BBCC}"/>
    <cellStyle name="Normal 3 8 2 4 3 2" xfId="5640" xr:uid="{12E12C90-6AF2-4FA2-979B-914DFE45F3A4}"/>
    <cellStyle name="Normal 3 8 2 4 3 3" xfId="6942" xr:uid="{7084CB19-DE74-41DF-B4B7-4B599E26173F}"/>
    <cellStyle name="Normal 3 8 2 4 4" xfId="4615" xr:uid="{697407EE-692C-49D4-BB98-7EBBA74AFEDE}"/>
    <cellStyle name="Normal 3 8 2 4 4 2" xfId="5917" xr:uid="{67B4AA53-24C3-4352-BEF6-351236D3159B}"/>
    <cellStyle name="Normal 3 8 2 4 4 3" xfId="7220" xr:uid="{D6736341-9F6F-4617-A047-B9A7BD6286AA}"/>
    <cellStyle name="Normal 3 8 2 4 5" xfId="4892" xr:uid="{C1D6E1E5-D1D6-4903-BDD1-9114ECB6F32D}"/>
    <cellStyle name="Normal 3 8 2 4 5 2" xfId="6194" xr:uid="{210CF84D-276A-4FE1-A836-FE607FDF74B8}"/>
    <cellStyle name="Normal 3 8 2 4 5 3" xfId="7497" xr:uid="{17D3BEF6-1DB7-4F10-993A-430DF7FE9640}"/>
    <cellStyle name="Normal 3 8 2 4 6" xfId="3870" xr:uid="{E23AFEC4-6837-402D-8949-18F537E8581A}"/>
    <cellStyle name="Normal 3 8 2 4 7" xfId="5175" xr:uid="{F7BA0CEE-BF3D-457A-A16E-F0C09029D7B2}"/>
    <cellStyle name="Normal 3 8 2 4 8" xfId="6477" xr:uid="{C7590E69-8641-4363-9B69-9707695DE1B7}"/>
    <cellStyle name="Normal 3 8 2 4 9" xfId="7780" xr:uid="{A2EE47D7-2A7C-418B-9E5A-33313BD81C89}"/>
    <cellStyle name="Normal 3 8 2 5" xfId="3522" xr:uid="{979A876D-B891-40C7-82DA-3DA04C5FC453}"/>
    <cellStyle name="Normal 3 8 2 5 2" xfId="4471" xr:uid="{60917A7E-46F8-4241-985E-4DB4CF2C71D6}"/>
    <cellStyle name="Normal 3 8 2 5 2 2" xfId="5774" xr:uid="{8716043B-B31B-40E1-A5E6-EF34599989B1}"/>
    <cellStyle name="Normal 3 8 2 5 2 3" xfId="7077" xr:uid="{24532C26-BFCF-4A8E-8090-AA13B7B970FB}"/>
    <cellStyle name="Normal 3 8 2 5 3" xfId="4749" xr:uid="{6273042C-E02C-46B2-8F81-2D06DA6E3008}"/>
    <cellStyle name="Normal 3 8 2 5 3 2" xfId="6051" xr:uid="{393A3399-0EF9-44DB-8F87-626800D3109E}"/>
    <cellStyle name="Normal 3 8 2 5 3 3" xfId="7354" xr:uid="{2FD29723-D0F7-485D-9A3B-F5BB550EA928}"/>
    <cellStyle name="Normal 3 8 2 5 4" xfId="5026" xr:uid="{A1E09467-AD4E-4770-8D8D-DB4ADD816189}"/>
    <cellStyle name="Normal 3 8 2 5 4 2" xfId="6328" xr:uid="{FE46D3D7-005B-4ADF-A7C6-8028DD93BF20}"/>
    <cellStyle name="Normal 3 8 2 5 4 3" xfId="7631" xr:uid="{5FDC1D00-49DA-43E0-BF7C-A5153E7F2D03}"/>
    <cellStyle name="Normal 3 8 2 5 5" xfId="4009" xr:uid="{E5C45937-D351-4150-9DC0-5857DA1FA7C3}"/>
    <cellStyle name="Normal 3 8 2 5 6" xfId="5314" xr:uid="{C539E37F-2B56-4E87-8111-2A65712554BA}"/>
    <cellStyle name="Normal 3 8 2 5 7" xfId="6616" xr:uid="{12F62C28-5401-42A4-958B-F5C2E4BB5360}"/>
    <cellStyle name="Normal 3 8 2 5 8" xfId="7919" xr:uid="{CC1B1FBA-4A37-47E5-AA57-3974077B2601}"/>
    <cellStyle name="Normal 3 8 2 6" xfId="4245" xr:uid="{3C371294-4310-4358-8487-7C94C9BD6C61}"/>
    <cellStyle name="Normal 3 8 2 6 2" xfId="5550" xr:uid="{2772490A-AFDB-427B-BEAF-ABB4F40161B3}"/>
    <cellStyle name="Normal 3 8 2 6 3" xfId="6852" xr:uid="{7B04B597-99C3-4400-9D0A-43A7CE4829CF}"/>
    <cellStyle name="Normal 3 8 2 7" xfId="4525" xr:uid="{066C902B-E0BB-4150-9FCA-D49B589280A5}"/>
    <cellStyle name="Normal 3 8 2 7 2" xfId="5827" xr:uid="{358303D3-D211-4DAA-87DD-86542CE680BA}"/>
    <cellStyle name="Normal 3 8 2 7 3" xfId="7130" xr:uid="{FD2749C4-94EE-4893-A0E3-BCC6E9E78C63}"/>
    <cellStyle name="Normal 3 8 2 8" xfId="4802" xr:uid="{501CA1B2-323B-4378-9AA8-C45A6D775549}"/>
    <cellStyle name="Normal 3 8 2 8 2" xfId="6104" xr:uid="{AC82656B-D8B0-48BE-B349-0ED3CEAAB0FD}"/>
    <cellStyle name="Normal 3 8 2 8 3" xfId="7407" xr:uid="{B0294302-E3D2-4637-A2C0-EF9106A2862B}"/>
    <cellStyle name="Normal 3 8 2 9" xfId="3780" xr:uid="{A2014149-0AC5-42ED-89BD-B8AE9603993E}"/>
    <cellStyle name="Normal 3 8 3" xfId="2881" xr:uid="{2A6C37F5-3EAB-4641-9972-109045CFDB2E}"/>
    <cellStyle name="Normal 3 8 3 10" xfId="7718" xr:uid="{9FF6B4DE-4121-4AFD-83F3-4A1D3A1BC2D5}"/>
    <cellStyle name="Normal 3 8 3 2" xfId="2966" xr:uid="{AFE56341-50A2-420E-881F-FFFAAFB96C76}"/>
    <cellStyle name="Normal 3 8 3 2 2" xfId="3635" xr:uid="{561A7084-8F92-4AFE-B823-304C3BC04B2F}"/>
    <cellStyle name="Normal 3 8 3 2 2 2" xfId="4122" xr:uid="{3AD5C2E5-779C-4282-8C50-B9DED9C27C5F}"/>
    <cellStyle name="Normal 3 8 3 2 2 3" xfId="5427" xr:uid="{7CEAD761-CF99-421A-B66D-4D8B0119B28B}"/>
    <cellStyle name="Normal 3 8 3 2 2 4" xfId="6729" xr:uid="{51EA3B88-BDFD-4B8E-BF0F-BE2FEE89FDAC}"/>
    <cellStyle name="Normal 3 8 3 2 2 5" xfId="8032" xr:uid="{84AD9CD3-B910-4D28-8336-BEEA49B3C76D}"/>
    <cellStyle name="Normal 3 8 3 2 3" xfId="4358" xr:uid="{34C205A7-4655-4F73-BAFE-771F4905EED2}"/>
    <cellStyle name="Normal 3 8 3 2 3 2" xfId="5663" xr:uid="{692A5A41-0BA7-4D1B-8C16-BEE5FE2957D4}"/>
    <cellStyle name="Normal 3 8 3 2 3 3" xfId="6965" xr:uid="{38CE85F0-FEC7-4FDE-935B-0F568F7C50D1}"/>
    <cellStyle name="Normal 3 8 3 2 4" xfId="4638" xr:uid="{1AEF89A2-0F3A-4D9C-9408-9924140B0F72}"/>
    <cellStyle name="Normal 3 8 3 2 4 2" xfId="5940" xr:uid="{2E7E69A8-F987-418A-A7C4-75336327277D}"/>
    <cellStyle name="Normal 3 8 3 2 4 3" xfId="7243" xr:uid="{CC3B1F70-270C-454E-AB8F-6418EB4B0024}"/>
    <cellStyle name="Normal 3 8 3 2 5" xfId="4915" xr:uid="{16760974-D6D3-4446-859E-7CBE3F810F25}"/>
    <cellStyle name="Normal 3 8 3 2 5 2" xfId="6217" xr:uid="{E1CFE218-0326-43D2-8ADA-71E2F251D00C}"/>
    <cellStyle name="Normal 3 8 3 2 5 3" xfId="7520" xr:uid="{C2C2111C-DF9D-479C-BB1C-B74DAE412E17}"/>
    <cellStyle name="Normal 3 8 3 2 6" xfId="3893" xr:uid="{72F6D2B7-E82A-4F71-8338-448814AACB8B}"/>
    <cellStyle name="Normal 3 8 3 2 7" xfId="5198" xr:uid="{B7AE6817-CB72-40D3-BD51-421BEB291CBF}"/>
    <cellStyle name="Normal 3 8 3 2 8" xfId="6500" xr:uid="{BAC1A955-D2A8-431C-8C28-174B6B8E9E55}"/>
    <cellStyle name="Normal 3 8 3 2 9" xfId="7803" xr:uid="{8BA2B14E-0A38-47D9-9780-44F339A510F3}"/>
    <cellStyle name="Normal 3 8 3 3" xfId="3550" xr:uid="{6CCE2FCA-0C88-41D9-88FA-C698D5BBAA6A}"/>
    <cellStyle name="Normal 3 8 3 3 2" xfId="4037" xr:uid="{86AB9366-F3B8-41CC-9855-15E5ECDCA068}"/>
    <cellStyle name="Normal 3 8 3 3 3" xfId="5342" xr:uid="{A2F63CF8-21E5-43BB-8850-5E72CD42E11C}"/>
    <cellStyle name="Normal 3 8 3 3 4" xfId="6644" xr:uid="{1A89B017-ACA9-43EF-B402-0B5988BC1127}"/>
    <cellStyle name="Normal 3 8 3 3 5" xfId="7947" xr:uid="{289C6CC6-C192-43B9-8606-76E11BD61731}"/>
    <cellStyle name="Normal 3 8 3 4" xfId="4273" xr:uid="{634B685E-B161-4E0A-B0A3-BFCBDD6DDEF4}"/>
    <cellStyle name="Normal 3 8 3 4 2" xfId="5578" xr:uid="{DD24F5A4-0140-4594-B353-5DE82808A552}"/>
    <cellStyle name="Normal 3 8 3 4 3" xfId="6880" xr:uid="{A11975B7-DA2B-4A12-B8B7-2AB23C5A7C2D}"/>
    <cellStyle name="Normal 3 8 3 5" xfId="4553" xr:uid="{13A78484-CED8-4AB6-95C7-A2BF6DAB395B}"/>
    <cellStyle name="Normal 3 8 3 5 2" xfId="5855" xr:uid="{7CC96A8B-9B98-4305-B077-0CB6860C7E12}"/>
    <cellStyle name="Normal 3 8 3 5 3" xfId="7158" xr:uid="{DC176893-9C31-40E8-8B30-3497382FD49D}"/>
    <cellStyle name="Normal 3 8 3 6" xfId="4830" xr:uid="{803052A4-6FF2-4E25-95AA-62436AA290A3}"/>
    <cellStyle name="Normal 3 8 3 6 2" xfId="6132" xr:uid="{87C2333B-3397-492F-B5C4-F905E72EDA46}"/>
    <cellStyle name="Normal 3 8 3 6 3" xfId="7435" xr:uid="{01CB3BA3-C1B2-4B58-8B1C-B2E01E750A05}"/>
    <cellStyle name="Normal 3 8 3 7" xfId="3808" xr:uid="{F12B6634-40B7-4099-8262-40FBCCC7E881}"/>
    <cellStyle name="Normal 3 8 3 8" xfId="5113" xr:uid="{A46DE69B-5F73-4F8D-ADBC-09E6E6C07FD9}"/>
    <cellStyle name="Normal 3 8 3 9" xfId="6415" xr:uid="{37B0FC29-D499-41C2-8098-3D254E2D9C74}"/>
    <cellStyle name="Normal 3 8 4" xfId="3022" xr:uid="{490F8661-2274-477D-8A62-38B0B8A8D80D}"/>
    <cellStyle name="Normal 3 8 4 2" xfId="3691" xr:uid="{9DD60BA5-4A4A-42A8-9FD2-601FBE28019B}"/>
    <cellStyle name="Normal 3 8 4 2 2" xfId="4162" xr:uid="{41CD95D4-BA3F-4127-B847-25AF19BD7221}"/>
    <cellStyle name="Normal 3 8 4 2 3" xfId="5467" xr:uid="{F1A73CFF-C54D-4333-B5C0-3A94418DE5B5}"/>
    <cellStyle name="Normal 3 8 4 2 4" xfId="6769" xr:uid="{E9C4680D-EF2D-47CE-86B5-9A9C107B8E1E}"/>
    <cellStyle name="Normal 3 8 4 2 5" xfId="8072" xr:uid="{7DAE0821-AC22-4F7C-A018-47E8472DBFEE}"/>
    <cellStyle name="Normal 3 8 4 3" xfId="4398" xr:uid="{812939E1-7DF0-4C91-A79F-D90B345E49F1}"/>
    <cellStyle name="Normal 3 8 4 3 2" xfId="5703" xr:uid="{69CF625C-02F6-4AE9-9A43-F2642B7297AD}"/>
    <cellStyle name="Normal 3 8 4 3 3" xfId="7005" xr:uid="{A8D74E15-E1F3-4724-AA2E-6D4EE8A2320E}"/>
    <cellStyle name="Normal 3 8 4 4" xfId="4678" xr:uid="{04ECEFD3-FAEF-41C3-BC6F-F2B00B289159}"/>
    <cellStyle name="Normal 3 8 4 4 2" xfId="5980" xr:uid="{845B94D5-E47A-4406-A5DD-9B8954D58505}"/>
    <cellStyle name="Normal 3 8 4 4 3" xfId="7283" xr:uid="{2A6D70A9-F70C-45A0-A5B2-6A77348C46EE}"/>
    <cellStyle name="Normal 3 8 4 5" xfId="4955" xr:uid="{ED17BC33-0D73-4C79-AF14-E398F47578E1}"/>
    <cellStyle name="Normal 3 8 4 5 2" xfId="6257" xr:uid="{52C11623-694F-4D0B-B586-2EB6618FAC3C}"/>
    <cellStyle name="Normal 3 8 4 5 3" xfId="7560" xr:uid="{87C00A65-F10E-4CFD-A270-991C2BAA0994}"/>
    <cellStyle name="Normal 3 8 4 6" xfId="3933" xr:uid="{169CCE82-FFB0-4A39-A8DD-3B000DE4B1A2}"/>
    <cellStyle name="Normal 3 8 4 7" xfId="5238" xr:uid="{28BA01CB-2C06-4264-AC8C-F269B790A2AA}"/>
    <cellStyle name="Normal 3 8 4 8" xfId="6540" xr:uid="{28F0C524-3972-4EC7-A841-985AE9373501}"/>
    <cellStyle name="Normal 3 8 4 9" xfId="7843" xr:uid="{4C621908-23DA-4BDB-8F2F-EA8BD0F2B968}"/>
    <cellStyle name="Normal 3 8 5" xfId="2926" xr:uid="{0B0E2B2C-3A3B-4C12-8B19-70D50DDFA4C7}"/>
    <cellStyle name="Normal 3 8 5 2" xfId="3595" xr:uid="{186A2956-2B57-4DA0-BFE5-9620666BBD34}"/>
    <cellStyle name="Normal 3 8 5 2 2" xfId="4082" xr:uid="{D14390D4-7224-4C46-A4AA-9F3DA28C57E2}"/>
    <cellStyle name="Normal 3 8 5 2 3" xfId="5387" xr:uid="{8422D20E-46D0-4B47-96CB-287CA9863BA5}"/>
    <cellStyle name="Normal 3 8 5 2 4" xfId="6689" xr:uid="{919F7D18-71E8-4130-B549-141F8121AB40}"/>
    <cellStyle name="Normal 3 8 5 2 5" xfId="7992" xr:uid="{6C4BEEB7-4C68-4360-98A1-A1F2362FD688}"/>
    <cellStyle name="Normal 3 8 5 3" xfId="4318" xr:uid="{180C6424-A98E-4E29-BBF9-31C48940B77B}"/>
    <cellStyle name="Normal 3 8 5 3 2" xfId="5623" xr:uid="{A2DAC597-56DE-40E9-ABEB-826BC32B3571}"/>
    <cellStyle name="Normal 3 8 5 3 3" xfId="6925" xr:uid="{AB07EDE1-611C-4583-8DD7-B8A2638FCE96}"/>
    <cellStyle name="Normal 3 8 5 4" xfId="4598" xr:uid="{5D57E77F-E130-438C-809F-4E950A5CC886}"/>
    <cellStyle name="Normal 3 8 5 4 2" xfId="5900" xr:uid="{43041C6C-5FF7-4018-A61D-0F293F29A4FB}"/>
    <cellStyle name="Normal 3 8 5 4 3" xfId="7203" xr:uid="{1CCE43FB-56CA-4677-81CC-11ED1ABA08C0}"/>
    <cellStyle name="Normal 3 8 5 5" xfId="4875" xr:uid="{9F2C8687-677C-4EF8-AB79-3D263B24A4A4}"/>
    <cellStyle name="Normal 3 8 5 5 2" xfId="6177" xr:uid="{4DC12507-33C3-47DD-AD0F-179A47DDE626}"/>
    <cellStyle name="Normal 3 8 5 5 3" xfId="7480" xr:uid="{6A1D8168-679B-402E-9133-E28E55C3F81D}"/>
    <cellStyle name="Normal 3 8 5 6" xfId="3853" xr:uid="{FBD9F81B-3D6B-4C91-BDCD-F71CA1D3AF98}"/>
    <cellStyle name="Normal 3 8 5 7" xfId="5158" xr:uid="{FCDAF5E2-FA79-4A88-AD1C-122646E56B88}"/>
    <cellStyle name="Normal 3 8 5 8" xfId="6460" xr:uid="{8BEBB510-E521-4B36-8B63-DFF779E28FE4}"/>
    <cellStyle name="Normal 3 8 5 9" xfId="7763" xr:uid="{8C8ED101-0435-48B2-B30F-DB5E4CAAB8FA}"/>
    <cellStyle name="Normal 3 8 6" xfId="3505" xr:uid="{E133F36B-E891-49F4-8CB9-372603913109}"/>
    <cellStyle name="Normal 3 8 6 2" xfId="4454" xr:uid="{46FD56A1-7FE4-4625-8FDD-D8BA84DFA0C2}"/>
    <cellStyle name="Normal 3 8 6 2 2" xfId="5757" xr:uid="{8F3C9577-54FC-4314-B2BC-7AE0A7C6BDA4}"/>
    <cellStyle name="Normal 3 8 6 2 3" xfId="7060" xr:uid="{527E0211-7614-4F3C-8AA1-23C1BA8D2BF7}"/>
    <cellStyle name="Normal 3 8 6 3" xfId="4732" xr:uid="{EC88F1BF-AE35-46F0-8803-BBB41DF481A1}"/>
    <cellStyle name="Normal 3 8 6 3 2" xfId="6034" xr:uid="{CBDCDF34-6295-4AF4-AFAB-EA05FB5EABE2}"/>
    <cellStyle name="Normal 3 8 6 3 3" xfId="7337" xr:uid="{CFFD1DB1-913D-4B27-921A-2D0FF0373AC2}"/>
    <cellStyle name="Normal 3 8 6 4" xfId="5009" xr:uid="{1E6B137F-8561-403E-9AFC-0F871F54C976}"/>
    <cellStyle name="Normal 3 8 6 4 2" xfId="6311" xr:uid="{D3143BCA-42CD-41E9-84B8-69C7E30F3944}"/>
    <cellStyle name="Normal 3 8 6 4 3" xfId="7614" xr:uid="{3E01E2A1-CA32-49A1-BBEA-DFEA4AA8EA55}"/>
    <cellStyle name="Normal 3 8 6 5" xfId="3992" xr:uid="{A1DF6E2A-617C-4F29-B704-7D3E51A257FA}"/>
    <cellStyle name="Normal 3 8 6 6" xfId="5297" xr:uid="{7A033B3E-554F-48E5-B429-1E6D3D956A7D}"/>
    <cellStyle name="Normal 3 8 6 7" xfId="6599" xr:uid="{4D143C9C-44AE-483B-8624-9E7763ECCE0D}"/>
    <cellStyle name="Normal 3 8 6 8" xfId="7902" xr:uid="{98A83AD7-2086-4527-BA10-E9427F269956}"/>
    <cellStyle name="Normal 3 8 7" xfId="4228" xr:uid="{218813F3-E49A-4B64-87DB-1A62CFB6EECB}"/>
    <cellStyle name="Normal 3 8 7 2" xfId="5533" xr:uid="{981DC991-23BE-482C-8743-25F1AA09C6BC}"/>
    <cellStyle name="Normal 3 8 7 3" xfId="6835" xr:uid="{69D63A82-D024-42DC-9CAD-CDD483E6E87A}"/>
    <cellStyle name="Normal 3 8 8" xfId="4507" xr:uid="{67B9E0DA-3441-457D-B140-1FAF613C46ED}"/>
    <cellStyle name="Normal 3 8 8 2" xfId="5810" xr:uid="{11EE5006-306F-43A2-BD27-1F0A6A1BE403}"/>
    <cellStyle name="Normal 3 8 8 3" xfId="7113" xr:uid="{1154C5FF-358F-4A53-99AE-08BFFB8680BB}"/>
    <cellStyle name="Normal 3 8 9" xfId="4785" xr:uid="{79C12762-43E2-4BDD-A997-6573BA7748C5}"/>
    <cellStyle name="Normal 3 8 9 2" xfId="6087" xr:uid="{1C2520CB-1C7B-4448-9A96-0889596CBEA6}"/>
    <cellStyle name="Normal 3 8 9 3" xfId="7390" xr:uid="{39729A6A-A8FB-4B4C-BB68-2314C8B40266}"/>
    <cellStyle name="Normal 3 9" xfId="33" xr:uid="{5474E802-80EF-4D9E-94BE-8DC78A61FB01}"/>
    <cellStyle name="Normal 3 9 10" xfId="5066" xr:uid="{F79C8022-B535-4512-9763-6DD2C8DB0674}"/>
    <cellStyle name="Normal 3 9 11" xfId="6368" xr:uid="{37E7AA91-D98D-4653-8805-4528208ECB32}"/>
    <cellStyle name="Normal 3 9 12" xfId="7671" xr:uid="{2AA3B10B-033C-47C5-BF08-077E1DEFA0E9}"/>
    <cellStyle name="Normal 3 9 2" xfId="2879" xr:uid="{09A09BFC-747E-4D28-BF41-A004A76914DF}"/>
    <cellStyle name="Normal 3 9 2 10" xfId="7716" xr:uid="{55CAF236-9212-4163-B0A8-A285E5081FCF}"/>
    <cellStyle name="Normal 3 9 2 2" xfId="2964" xr:uid="{58893BA2-97F6-4D37-A070-74A269E4BF6E}"/>
    <cellStyle name="Normal 3 9 2 2 2" xfId="3633" xr:uid="{58184E60-BB82-4B48-81DE-7C59722285A9}"/>
    <cellStyle name="Normal 3 9 2 2 2 2" xfId="4120" xr:uid="{197361B9-798B-4614-8222-3C2DFF2CBFAE}"/>
    <cellStyle name="Normal 3 9 2 2 2 3" xfId="5425" xr:uid="{EB3B796A-0CC7-45FD-A176-DA83C51C69EB}"/>
    <cellStyle name="Normal 3 9 2 2 2 4" xfId="6727" xr:uid="{561F3B42-7F0A-4E5C-A3D3-D0AF420F6797}"/>
    <cellStyle name="Normal 3 9 2 2 2 5" xfId="8030" xr:uid="{5CAD5B4C-00B0-4400-B169-83FA3F96B22B}"/>
    <cellStyle name="Normal 3 9 2 2 3" xfId="4356" xr:uid="{6404CB30-18DC-4938-80B5-7B3BCD1992DE}"/>
    <cellStyle name="Normal 3 9 2 2 3 2" xfId="5661" xr:uid="{D72704E5-8370-405E-A087-AD431EEDCD00}"/>
    <cellStyle name="Normal 3 9 2 2 3 3" xfId="6963" xr:uid="{6CEEC6B8-751A-4B75-8307-FE6756191DAD}"/>
    <cellStyle name="Normal 3 9 2 2 4" xfId="4636" xr:uid="{3AA38C5D-4801-41EE-9311-3834E3444237}"/>
    <cellStyle name="Normal 3 9 2 2 4 2" xfId="5938" xr:uid="{B1424F5F-BD59-4F32-894F-2C848B2AD5FE}"/>
    <cellStyle name="Normal 3 9 2 2 4 3" xfId="7241" xr:uid="{A8DACED0-0CDC-4FFD-A477-74771F0B13A4}"/>
    <cellStyle name="Normal 3 9 2 2 5" xfId="4913" xr:uid="{E49E072B-5679-44BE-B22C-5D592E631C79}"/>
    <cellStyle name="Normal 3 9 2 2 5 2" xfId="6215" xr:uid="{3E85AD70-7DBD-4A75-B4D0-9B421AC5E3C1}"/>
    <cellStyle name="Normal 3 9 2 2 5 3" xfId="7518" xr:uid="{94AE3B0C-56BB-43BB-BDDE-61DC2ECC42F9}"/>
    <cellStyle name="Normal 3 9 2 2 6" xfId="3891" xr:uid="{59CE9ACA-E8FE-4DB6-8559-3853A9452D75}"/>
    <cellStyle name="Normal 3 9 2 2 7" xfId="5196" xr:uid="{A609B09A-4277-456F-B88B-AB896F7B5833}"/>
    <cellStyle name="Normal 3 9 2 2 8" xfId="6498" xr:uid="{B1A9600C-EFC1-4DBA-959E-7F771225C76E}"/>
    <cellStyle name="Normal 3 9 2 2 9" xfId="7801" xr:uid="{61882D14-A445-4DC7-BDFA-9EEA360186CC}"/>
    <cellStyle name="Normal 3 9 2 3" xfId="3548" xr:uid="{928090B1-A035-40CA-9A84-C9997FF0BEA2}"/>
    <cellStyle name="Normal 3 9 2 3 2" xfId="4035" xr:uid="{73714C19-41D6-4C04-AF75-2313577E29EF}"/>
    <cellStyle name="Normal 3 9 2 3 3" xfId="5340" xr:uid="{9DF76241-BD45-444F-8095-66C583CABF8E}"/>
    <cellStyle name="Normal 3 9 2 3 4" xfId="6642" xr:uid="{7F890990-9A48-47BB-9EC4-9C03FC66018F}"/>
    <cellStyle name="Normal 3 9 2 3 5" xfId="7945" xr:uid="{004777DE-D667-4283-AA9F-D542F8322F59}"/>
    <cellStyle name="Normal 3 9 2 4" xfId="4271" xr:uid="{5494113B-325E-42E3-8472-FC893640430E}"/>
    <cellStyle name="Normal 3 9 2 4 2" xfId="5576" xr:uid="{92C06551-05BC-46BA-8F46-0CD9974442AA}"/>
    <cellStyle name="Normal 3 9 2 4 3" xfId="6878" xr:uid="{12EDE668-72E3-4CEE-B53C-1BF1BC39571A}"/>
    <cellStyle name="Normal 3 9 2 5" xfId="4551" xr:uid="{B3EFB7EC-5AB6-4826-99B4-12CB208FEE18}"/>
    <cellStyle name="Normal 3 9 2 5 2" xfId="5853" xr:uid="{56178E9F-4B0C-489E-A60E-8187C279E96A}"/>
    <cellStyle name="Normal 3 9 2 5 3" xfId="7156" xr:uid="{84A21A7A-5973-4AA2-A690-40ACFC67A76C}"/>
    <cellStyle name="Normal 3 9 2 6" xfId="4828" xr:uid="{9D11962C-3D4C-4A11-AF54-DC37311D518E}"/>
    <cellStyle name="Normal 3 9 2 6 2" xfId="6130" xr:uid="{12E5C9B3-E720-458D-994F-13F5520168D3}"/>
    <cellStyle name="Normal 3 9 2 6 3" xfId="7433" xr:uid="{4DEA432C-6457-4E3A-B5A8-6832D6DB71C1}"/>
    <cellStyle name="Normal 3 9 2 7" xfId="3806" xr:uid="{C9404EAD-679D-4BCD-83E7-DAF5EDC3D06F}"/>
    <cellStyle name="Normal 3 9 2 8" xfId="5111" xr:uid="{1CEC3377-3C47-4153-A72C-7ACC3D41BAB6}"/>
    <cellStyle name="Normal 3 9 2 9" xfId="6413" xr:uid="{A7EEE79D-3E62-423B-A87F-B81D4994D737}"/>
    <cellStyle name="Normal 3 9 3" xfId="3020" xr:uid="{330F775B-D10F-4B3F-B787-95506BC9D1F2}"/>
    <cellStyle name="Normal 3 9 3 2" xfId="3689" xr:uid="{EE795DE7-6555-4372-98BD-6B6263B6979F}"/>
    <cellStyle name="Normal 3 9 3 2 2" xfId="4160" xr:uid="{B1AD825A-8B14-4844-8822-AC7B7F165C20}"/>
    <cellStyle name="Normal 3 9 3 2 3" xfId="5465" xr:uid="{F7A89AD6-7BF5-4F42-B31A-BED813704BC6}"/>
    <cellStyle name="Normal 3 9 3 2 4" xfId="6767" xr:uid="{88156EC0-1685-4DFB-AD9A-4FBEF8B6D345}"/>
    <cellStyle name="Normal 3 9 3 2 5" xfId="8070" xr:uid="{39BC3F46-1A5D-49D2-9D59-D478075FB597}"/>
    <cellStyle name="Normal 3 9 3 3" xfId="4396" xr:uid="{5E30A33A-E3BE-4DAD-BF8F-1F2332AE7B7C}"/>
    <cellStyle name="Normal 3 9 3 3 2" xfId="5701" xr:uid="{908901AB-A921-4D54-8C59-2663F9A7A5D7}"/>
    <cellStyle name="Normal 3 9 3 3 3" xfId="7003" xr:uid="{CC2496C9-6705-4F0D-995A-3EB15E8D98C0}"/>
    <cellStyle name="Normal 3 9 3 4" xfId="4676" xr:uid="{29CAEDE1-25C2-4B1C-BFA7-24F871522C13}"/>
    <cellStyle name="Normal 3 9 3 4 2" xfId="5978" xr:uid="{1E89B4C2-E7A1-484D-8555-A3D15C7251DD}"/>
    <cellStyle name="Normal 3 9 3 4 3" xfId="7281" xr:uid="{0B0FBD24-68E2-42AD-9DA3-2B3DBBDA3210}"/>
    <cellStyle name="Normal 3 9 3 5" xfId="4953" xr:uid="{B69E7E65-29A1-4A1F-AF6C-721CBB14203B}"/>
    <cellStyle name="Normal 3 9 3 5 2" xfId="6255" xr:uid="{9ACC01DF-B2AA-4C14-B127-D5EE8E49F127}"/>
    <cellStyle name="Normal 3 9 3 5 3" xfId="7558" xr:uid="{E5C713AA-41C6-4A8A-8545-5CE3BA73EFB9}"/>
    <cellStyle name="Normal 3 9 3 6" xfId="3931" xr:uid="{C1E66872-812A-4F0E-B03C-0C957ADC22D1}"/>
    <cellStyle name="Normal 3 9 3 7" xfId="5236" xr:uid="{4BE4CA53-125D-4F77-A1A2-20944E5E0561}"/>
    <cellStyle name="Normal 3 9 3 8" xfId="6538" xr:uid="{3AA66876-BD5D-4BBF-8794-C8F0C711D962}"/>
    <cellStyle name="Normal 3 9 3 9" xfId="7841" xr:uid="{653C444B-B8AE-4E28-9587-8420000E6A13}"/>
    <cellStyle name="Normal 3 9 4" xfId="2924" xr:uid="{BAC23DD2-8035-4E02-BEDA-BC8AE034543F}"/>
    <cellStyle name="Normal 3 9 4 2" xfId="3593" xr:uid="{23ABD6F3-84EB-4393-B461-5D2B2F099B98}"/>
    <cellStyle name="Normal 3 9 4 2 2" xfId="4080" xr:uid="{B390BAA2-8B59-4A4B-B7F7-BD32496592E1}"/>
    <cellStyle name="Normal 3 9 4 2 3" xfId="5385" xr:uid="{1EC4E39A-34B8-4B85-9F85-E82769016448}"/>
    <cellStyle name="Normal 3 9 4 2 4" xfId="6687" xr:uid="{449F30CE-0D35-4383-8B76-D780F2A5DCD3}"/>
    <cellStyle name="Normal 3 9 4 2 5" xfId="7990" xr:uid="{9B6B146F-D6A2-44BD-BF9C-66CE163360B7}"/>
    <cellStyle name="Normal 3 9 4 3" xfId="4316" xr:uid="{B8D1568D-AA0C-4E7D-A8D3-A62076A3AB18}"/>
    <cellStyle name="Normal 3 9 4 3 2" xfId="5621" xr:uid="{462516C5-A507-493E-B84A-32743661186D}"/>
    <cellStyle name="Normal 3 9 4 3 3" xfId="6923" xr:uid="{E4ACE339-0B2B-4DA3-96A7-0C28D294C650}"/>
    <cellStyle name="Normal 3 9 4 4" xfId="4596" xr:uid="{C2196EC1-4535-48C2-A9A3-34411E6356AA}"/>
    <cellStyle name="Normal 3 9 4 4 2" xfId="5898" xr:uid="{1A61D087-DF0F-4CFB-B946-6A4AC0EC8C50}"/>
    <cellStyle name="Normal 3 9 4 4 3" xfId="7201" xr:uid="{8C081179-972C-4E52-BB77-6D74D91C3686}"/>
    <cellStyle name="Normal 3 9 4 5" xfId="4873" xr:uid="{E9E23024-B07A-4807-845E-0007C15B650D}"/>
    <cellStyle name="Normal 3 9 4 5 2" xfId="6175" xr:uid="{0325D0FA-C4F5-4C6C-AD17-B725EACE866B}"/>
    <cellStyle name="Normal 3 9 4 5 3" xfId="7478" xr:uid="{7881186D-B1E9-44EA-B5E1-DA16399FAF1C}"/>
    <cellStyle name="Normal 3 9 4 6" xfId="3851" xr:uid="{FA351C6C-5B1C-4203-82A0-D8EECA53B9CE}"/>
    <cellStyle name="Normal 3 9 4 7" xfId="5156" xr:uid="{1D8145ED-5B9E-4F9D-95D8-31A3CC576D77}"/>
    <cellStyle name="Normal 3 9 4 8" xfId="6458" xr:uid="{99B98C79-5FDF-43E3-8647-667158958F22}"/>
    <cellStyle name="Normal 3 9 4 9" xfId="7761" xr:uid="{77FAA009-EB06-4ADB-9DEC-0987B83A7CF9}"/>
    <cellStyle name="Normal 3 9 5" xfId="3503" xr:uid="{3F0E68A4-505F-4743-A141-2A4ADDEC93C6}"/>
    <cellStyle name="Normal 3 9 5 2" xfId="4452" xr:uid="{E9DF869B-7F56-4EF8-A083-93F756E728E6}"/>
    <cellStyle name="Normal 3 9 5 2 2" xfId="5755" xr:uid="{2DC08DE2-9E8C-418F-8704-64B9FE5F8229}"/>
    <cellStyle name="Normal 3 9 5 2 3" xfId="7058" xr:uid="{2C878398-85E6-4449-BDEB-04EF2CD74F52}"/>
    <cellStyle name="Normal 3 9 5 3" xfId="4730" xr:uid="{82FA4934-CC48-480D-AB41-C45E7413287A}"/>
    <cellStyle name="Normal 3 9 5 3 2" xfId="6032" xr:uid="{F53FAB2E-400E-41D7-9564-764212341958}"/>
    <cellStyle name="Normal 3 9 5 3 3" xfId="7335" xr:uid="{AFA329F6-986C-444F-88C1-73A8FFD4CA54}"/>
    <cellStyle name="Normal 3 9 5 4" xfId="5007" xr:uid="{435F43D0-3E1E-4DBC-8C0A-713A933C5D17}"/>
    <cellStyle name="Normal 3 9 5 4 2" xfId="6309" xr:uid="{9A41F582-115C-460B-9A2B-6BFB38CC2CB3}"/>
    <cellStyle name="Normal 3 9 5 4 3" xfId="7612" xr:uid="{909CE40C-4E0D-4E95-9200-0284D65F66BA}"/>
    <cellStyle name="Normal 3 9 5 5" xfId="3990" xr:uid="{C22BC4F9-D62C-4E98-96DF-8CC0DA384D7B}"/>
    <cellStyle name="Normal 3 9 5 6" xfId="5295" xr:uid="{EECD05E0-BACC-4F26-AA4B-1AFA7A9A41D9}"/>
    <cellStyle name="Normal 3 9 5 7" xfId="6597" xr:uid="{53259DA2-CF07-4D27-A2B8-DE671AFF1A67}"/>
    <cellStyle name="Normal 3 9 5 8" xfId="7900" xr:uid="{7DC0E902-FA1A-4FC3-B2BD-B822B17252C9}"/>
    <cellStyle name="Normal 3 9 6" xfId="4226" xr:uid="{02518607-6D13-4883-B21A-EF3B92A3721A}"/>
    <cellStyle name="Normal 3 9 6 2" xfId="5531" xr:uid="{77B78AF6-3284-4021-A165-CC00BA73615C}"/>
    <cellStyle name="Normal 3 9 6 3" xfId="6833" xr:uid="{3BDC8692-B1D5-4020-B455-9C35B2AECC0D}"/>
    <cellStyle name="Normal 3 9 7" xfId="4505" xr:uid="{C75C2A59-0FC5-4B48-8EA0-7752E98BC23B}"/>
    <cellStyle name="Normal 3 9 7 2" xfId="5808" xr:uid="{B6DA20CB-4783-443B-AAD5-BBA2189EBF78}"/>
    <cellStyle name="Normal 3 9 7 3" xfId="7111" xr:uid="{534B1690-7725-451A-A11F-965E8FFD602F}"/>
    <cellStyle name="Normal 3 9 8" xfId="4783" xr:uid="{9407F8E0-6138-400F-8596-15E0F3E95762}"/>
    <cellStyle name="Normal 3 9 8 2" xfId="6085" xr:uid="{2E9C2204-2D39-4162-8308-777EFE3B6685}"/>
    <cellStyle name="Normal 3 9 8 3" xfId="7388" xr:uid="{B9368E3B-CDB2-485F-868B-E714AD80C2CB}"/>
    <cellStyle name="Normal 3 9 9" xfId="3761" xr:uid="{39CFEAF1-3AB0-4692-AD02-A2CBCFE02837}"/>
    <cellStyle name="Normal 4" xfId="16" xr:uid="{00000000-0005-0000-0000-000008000000}"/>
    <cellStyle name="Normal 4 10" xfId="2873" xr:uid="{E2251F7F-12F7-4CE2-A147-A830E9DA3C2B}"/>
    <cellStyle name="Normal 4 10 10" xfId="7710" xr:uid="{C524D855-6F5E-43E4-8560-87CD0CA30F8A}"/>
    <cellStyle name="Normal 4 10 2" xfId="3019" xr:uid="{1A5C66E6-D6DF-431B-893B-6C67E12334D5}"/>
    <cellStyle name="Normal 4 10 2 2" xfId="3688" xr:uid="{DC636C2D-E8E4-41D5-9557-A97C83ED6599}"/>
    <cellStyle name="Normal 4 10 2 2 2" xfId="4159" xr:uid="{52C73DA4-A517-4BB4-8B89-4D6A539FA10D}"/>
    <cellStyle name="Normal 4 10 2 2 3" xfId="5464" xr:uid="{9EFE23EE-2096-444C-92BC-67D6500721DF}"/>
    <cellStyle name="Normal 4 10 2 2 4" xfId="6766" xr:uid="{CBED1DDB-4F51-4831-84D6-468D9ED5AA1C}"/>
    <cellStyle name="Normal 4 10 2 2 5" xfId="8069" xr:uid="{4F77A793-124C-4E87-A38D-388AF42A622B}"/>
    <cellStyle name="Normal 4 10 2 3" xfId="4395" xr:uid="{A5F4C5C8-DF60-4C55-AECD-D78C3A232D0C}"/>
    <cellStyle name="Normal 4 10 2 3 2" xfId="5700" xr:uid="{97DF8B18-BF3A-44B6-ADD5-155AE3C8DCDE}"/>
    <cellStyle name="Normal 4 10 2 3 3" xfId="7002" xr:uid="{6BFF5544-5A80-48AA-A008-957C50B5D4C6}"/>
    <cellStyle name="Normal 4 10 2 4" xfId="4675" xr:uid="{1FDBCCC8-F34A-414D-9BAE-0716CB705D66}"/>
    <cellStyle name="Normal 4 10 2 4 2" xfId="5977" xr:uid="{3D745409-B39C-425D-9D10-EDA26D2DF0E2}"/>
    <cellStyle name="Normal 4 10 2 4 3" xfId="7280" xr:uid="{4ED7B56C-A6FB-4E3B-ABCE-B4658DA2C6CF}"/>
    <cellStyle name="Normal 4 10 2 5" xfId="4952" xr:uid="{B5576BA8-7B6D-42CA-9D8C-DD9D25C7C7FE}"/>
    <cellStyle name="Normal 4 10 2 5 2" xfId="6254" xr:uid="{ADDC850E-F791-44C0-8FB6-CB89456083BC}"/>
    <cellStyle name="Normal 4 10 2 5 3" xfId="7557" xr:uid="{472D456A-2B3C-4A98-A175-69C9D0521F11}"/>
    <cellStyle name="Normal 4 10 2 6" xfId="3930" xr:uid="{50F7F0B6-22B4-4945-8816-BF48C14644D9}"/>
    <cellStyle name="Normal 4 10 2 7" xfId="5235" xr:uid="{49DB44F9-1B11-41B6-A952-D765C14013BD}"/>
    <cellStyle name="Normal 4 10 2 8" xfId="6537" xr:uid="{A884A261-2901-4179-A619-2E66C71FB585}"/>
    <cellStyle name="Normal 4 10 2 9" xfId="7840" xr:uid="{09350D74-5EC2-4E24-B2A2-F6AAB62F2B74}"/>
    <cellStyle name="Normal 4 10 3" xfId="3542" xr:uid="{39EA222C-770B-41E7-A4CC-C117C50904EE}"/>
    <cellStyle name="Normal 4 10 3 2" xfId="4029" xr:uid="{8151833B-17AC-459F-8A21-2D9082A3C852}"/>
    <cellStyle name="Normal 4 10 3 3" xfId="5334" xr:uid="{D6CD316C-4708-4134-ABB5-D4BEBD8DDDE3}"/>
    <cellStyle name="Normal 4 10 3 4" xfId="6636" xr:uid="{6CC4457D-E01D-478C-817B-A02EB44CF064}"/>
    <cellStyle name="Normal 4 10 3 5" xfId="7939" xr:uid="{47DAF7F2-FC5D-4256-AC3E-DF40A89863D2}"/>
    <cellStyle name="Normal 4 10 4" xfId="4265" xr:uid="{B549B6CE-FE98-4A94-BE6B-A3BC219FEECB}"/>
    <cellStyle name="Normal 4 10 4 2" xfId="5570" xr:uid="{6EA3D990-78B9-4E71-9F4C-2659639A0C09}"/>
    <cellStyle name="Normal 4 10 4 3" xfId="6872" xr:uid="{CDBC8CEC-237F-406C-8FBC-BAB3EB248381}"/>
    <cellStyle name="Normal 4 10 5" xfId="4545" xr:uid="{CBA242AC-4FCE-4B20-9D91-8C7EEC8CDF50}"/>
    <cellStyle name="Normal 4 10 5 2" xfId="5847" xr:uid="{283DCF1E-9EA8-408B-8E3C-F2EE8C952D6C}"/>
    <cellStyle name="Normal 4 10 5 3" xfId="7150" xr:uid="{817A6832-4A61-4FA1-B199-476712A0F54C}"/>
    <cellStyle name="Normal 4 10 6" xfId="4822" xr:uid="{1C1A04A7-1B22-4591-8683-C39E296BD0C0}"/>
    <cellStyle name="Normal 4 10 6 2" xfId="6124" xr:uid="{C01F6119-4EB0-42F1-82B9-797813825023}"/>
    <cellStyle name="Normal 4 10 6 3" xfId="7427" xr:uid="{7C57F6C6-2775-4666-8B83-829062FB095A}"/>
    <cellStyle name="Normal 4 10 7" xfId="3800" xr:uid="{DE6B4231-7FEE-4D77-9ED2-BC84B9A335BD}"/>
    <cellStyle name="Normal 4 10 8" xfId="5105" xr:uid="{7FF4AFEB-B971-4060-8ED3-999457B98B3C}"/>
    <cellStyle name="Normal 4 10 9" xfId="6407" xr:uid="{CEAA9E57-151E-4733-A070-9FF8AD783A7D}"/>
    <cellStyle name="Normal 4 11" xfId="3484" xr:uid="{E1E9D421-EAA4-4FD4-91B6-26A35DFAACCA}"/>
    <cellStyle name="Normal 4 11 2" xfId="3731" xr:uid="{6C3D6F15-8596-4BBF-9E70-FE8E148C2BD0}"/>
    <cellStyle name="Normal 4 11 2 2" xfId="4202" xr:uid="{E4905B39-9FFF-4A82-8BC1-D6ED98DD9E21}"/>
    <cellStyle name="Normal 4 11 2 3" xfId="5507" xr:uid="{923A844C-8D73-4A58-9EC3-303AD2CA8F2E}"/>
    <cellStyle name="Normal 4 11 2 4" xfId="6809" xr:uid="{ECB969F9-804C-4AEE-A4FB-BD8CC3F3922D}"/>
    <cellStyle name="Normal 4 11 2 5" xfId="8112" xr:uid="{D004CE6D-199A-4C47-B9E2-C7FA3AE9B982}"/>
    <cellStyle name="Normal 4 11 3" xfId="4438" xr:uid="{23803737-444F-4BEF-BE94-EDEE7876A054}"/>
    <cellStyle name="Normal 4 11 3 2" xfId="5743" xr:uid="{A6C97913-BAA1-4F0F-9734-E4B985F66CA0}"/>
    <cellStyle name="Normal 4 11 3 3" xfId="7045" xr:uid="{250F40E1-7CD1-48B9-9A3D-179B3FD6CFCD}"/>
    <cellStyle name="Normal 4 11 4" xfId="4718" xr:uid="{C722024E-120E-4BF2-8190-EEA9E040FDC9}"/>
    <cellStyle name="Normal 4 11 4 2" xfId="6020" xr:uid="{877629F0-84C1-4207-B342-8350D749D020}"/>
    <cellStyle name="Normal 4 11 4 3" xfId="7323" xr:uid="{023381F3-1473-4CF0-8BAE-7F1C6B703256}"/>
    <cellStyle name="Normal 4 11 5" xfId="4995" xr:uid="{D04905E3-877A-4A7D-945A-E1D4485B5A36}"/>
    <cellStyle name="Normal 4 11 5 2" xfId="6297" xr:uid="{0E87440D-B7D8-43D3-88D1-0F0EF7AF7902}"/>
    <cellStyle name="Normal 4 11 5 3" xfId="7600" xr:uid="{C14B22A7-2EF6-4807-926E-55796B1BC250}"/>
    <cellStyle name="Normal 4 11 6" xfId="3973" xr:uid="{18B928EC-0AF5-4C5D-A462-208BE11F4808}"/>
    <cellStyle name="Normal 4 11 7" xfId="5278" xr:uid="{C378A380-7CC5-438F-94E0-5D3F6D141568}"/>
    <cellStyle name="Normal 4 11 8" xfId="6580" xr:uid="{D648A02F-1FB2-49FC-93EC-48F996E277F2}"/>
    <cellStyle name="Normal 4 11 9" xfId="7883" xr:uid="{6DCE86E8-10A0-49DF-AAC0-076D7D732EC7}"/>
    <cellStyle name="Normal 4 12" xfId="2918" xr:uid="{776488AA-3726-479F-9BB8-4CE8059F9DA4}"/>
    <cellStyle name="Normal 4 12 2" xfId="3587" xr:uid="{FED39AA4-4B50-4DAA-B527-5CA2B810B28A}"/>
    <cellStyle name="Normal 4 12 2 2" xfId="4074" xr:uid="{A56E53E3-1679-4840-8479-0CE90FA185E4}"/>
    <cellStyle name="Normal 4 12 2 3" xfId="5379" xr:uid="{2CE1E517-477E-47A3-B8DB-AAD6911D60ED}"/>
    <cellStyle name="Normal 4 12 2 4" xfId="6681" xr:uid="{07EFF1E6-7DFB-4040-9645-6F216D11D8F5}"/>
    <cellStyle name="Normal 4 12 2 5" xfId="7984" xr:uid="{07BD01F7-7A33-4AEC-AB89-FD3B1E20AB92}"/>
    <cellStyle name="Normal 4 12 3" xfId="4310" xr:uid="{5190A82F-7C72-4638-AC67-73E70555C44F}"/>
    <cellStyle name="Normal 4 12 3 2" xfId="5615" xr:uid="{216CB1A0-71D5-4186-8D21-E7C1CBE7E569}"/>
    <cellStyle name="Normal 4 12 3 3" xfId="6917" xr:uid="{54CE65A2-F124-490B-A7BC-D4E363ED2450}"/>
    <cellStyle name="Normal 4 12 4" xfId="4590" xr:uid="{7F33B982-7500-4732-850D-F50A54A491A7}"/>
    <cellStyle name="Normal 4 12 4 2" xfId="5892" xr:uid="{C32986A7-665B-4C54-9787-D663BC80B642}"/>
    <cellStyle name="Normal 4 12 4 3" xfId="7195" xr:uid="{D40DD4DE-E080-4DF0-84D3-4C06B9877BFD}"/>
    <cellStyle name="Normal 4 12 5" xfId="4867" xr:uid="{B46A0CB6-60AD-4ADE-ADD2-356957346DDA}"/>
    <cellStyle name="Normal 4 12 5 2" xfId="6169" xr:uid="{8E9A50E4-FF7C-422D-823F-8CAEEF85D404}"/>
    <cellStyle name="Normal 4 12 5 3" xfId="7472" xr:uid="{6A5C6FFD-1BDE-48E3-BC90-06BD49DACEA9}"/>
    <cellStyle name="Normal 4 12 6" xfId="3845" xr:uid="{A127B2A2-3911-449C-A4BC-75F2B90F8C81}"/>
    <cellStyle name="Normal 4 12 7" xfId="5150" xr:uid="{702BB635-DFB4-439E-B312-67ECCD373BAD}"/>
    <cellStyle name="Normal 4 12 8" xfId="6452" xr:uid="{EB86B211-AE41-473F-8091-115F7561B1EE}"/>
    <cellStyle name="Normal 4 12 9" xfId="7755" xr:uid="{B1836A0E-A3BB-4B2D-95C1-2F2C1901EF59}"/>
    <cellStyle name="Normal 4 13" xfId="3492" xr:uid="{BA64252E-E332-442C-AF6B-08C40B5879B8}"/>
    <cellStyle name="Normal 4 13 2" xfId="4446" xr:uid="{D8407ADE-2E24-4C1A-A288-51848809D574}"/>
    <cellStyle name="Normal 4 13 2 2" xfId="5749" xr:uid="{2B57F037-7811-48F5-BF77-E2DEE4DED7D9}"/>
    <cellStyle name="Normal 4 13 2 3" xfId="7052" xr:uid="{6CA835C7-F057-48C7-8541-A29C4F3E7B54}"/>
    <cellStyle name="Normal 4 13 3" xfId="4724" xr:uid="{15E1B0DF-BCC7-4269-9061-650395DEE779}"/>
    <cellStyle name="Normal 4 13 3 2" xfId="6026" xr:uid="{442761F4-0BFE-4382-AE45-E6F6EC5A9484}"/>
    <cellStyle name="Normal 4 13 3 3" xfId="7329" xr:uid="{35C82553-ED94-464A-B093-21FF359D3114}"/>
    <cellStyle name="Normal 4 13 4" xfId="5001" xr:uid="{2DCDC02D-74FD-436D-8442-7DE942543E1F}"/>
    <cellStyle name="Normal 4 13 4 2" xfId="6303" xr:uid="{58D461CD-D0E2-49FC-A3B7-B5BF81F80E42}"/>
    <cellStyle name="Normal 4 13 4 3" xfId="7606" xr:uid="{39170BB7-35B7-4407-9FB7-192535396056}"/>
    <cellStyle name="Normal 4 13 5" xfId="3979" xr:uid="{5C96B18D-D524-47CF-9547-ACA76C03EB1D}"/>
    <cellStyle name="Normal 4 13 6" xfId="5284" xr:uid="{DF814C35-7D81-4AE3-BD62-CB7491BABDDA}"/>
    <cellStyle name="Normal 4 13 7" xfId="6586" xr:uid="{1F090049-C688-483F-B627-93A9FD512471}"/>
    <cellStyle name="Normal 4 13 8" xfId="7889" xr:uid="{7C622E8F-9715-4E8D-9ABB-AF38CBEEDF07}"/>
    <cellStyle name="Normal 4 14" xfId="22" xr:uid="{8086ED49-FE76-4531-AB0E-FA4CAA2327F8}"/>
    <cellStyle name="Normal 4 14 2" xfId="3750" xr:uid="{FC54FA68-A916-47DC-AC76-5522962A890F}"/>
    <cellStyle name="Normal 4 14 3" xfId="5055" xr:uid="{B1B161E1-AA8E-4C50-9D63-0155A170A752}"/>
    <cellStyle name="Normal 4 14 4" xfId="6357" xr:uid="{E9B43BF5-6B4A-4956-8D7D-AEBA35B67E35}"/>
    <cellStyle name="Normal 4 14 5" xfId="7660" xr:uid="{779D265C-93FE-40B0-83B4-45D3D402DB97}"/>
    <cellStyle name="Normal 4 15" xfId="4215" xr:uid="{D3D4919D-0A2F-47D8-B679-DA9FFD3979E9}"/>
    <cellStyle name="Normal 4 15 2" xfId="5520" xr:uid="{3906646D-3DA8-47D4-8B73-77FE9506C04D}"/>
    <cellStyle name="Normal 4 15 3" xfId="6822" xr:uid="{D8640C58-B69D-4D2F-B641-8156FA0640DD}"/>
    <cellStyle name="Normal 4 16" xfId="4494" xr:uid="{08143937-E1F8-413F-9426-703BF405833E}"/>
    <cellStyle name="Normal 4 16 2" xfId="5797" xr:uid="{D99C03C5-B935-4E9B-A279-B72F2920F6FE}"/>
    <cellStyle name="Normal 4 16 3" xfId="7100" xr:uid="{888D646C-3256-4186-B43B-60AC657F0D61}"/>
    <cellStyle name="Normal 4 17" xfId="4772" xr:uid="{CD7B521C-1064-40D2-9961-B39BE3E25F3D}"/>
    <cellStyle name="Normal 4 17 2" xfId="6074" xr:uid="{D78E554F-F8BC-4C8C-AF5F-0D74665E3695}"/>
    <cellStyle name="Normal 4 17 3" xfId="7377" xr:uid="{925C2897-8272-4CB8-93AA-FAC20B0097C5}"/>
    <cellStyle name="Normal 4 18" xfId="3744" xr:uid="{AC8004E2-E06C-4B7B-A775-A405C32EDF76}"/>
    <cellStyle name="Normal 4 19" xfId="5049" xr:uid="{C9D5E5D4-9B7C-4907-8930-3118B4282277}"/>
    <cellStyle name="Normal 4 2" xfId="2265" xr:uid="{DBDC362A-64F5-4967-9F60-3B8CD9F30DA6}"/>
    <cellStyle name="Normal 4 2 10" xfId="3770" xr:uid="{F2403E5E-7517-4E9C-BE69-DAB585AA0B4D}"/>
    <cellStyle name="Normal 4 2 11" xfId="5075" xr:uid="{72F1745A-4DF7-48C1-B2F8-656240D18673}"/>
    <cellStyle name="Normal 4 2 12" xfId="6377" xr:uid="{EFDFA2C4-6D29-4B5B-82A9-3280B7A07484}"/>
    <cellStyle name="Normal 4 2 13" xfId="7680" xr:uid="{E8A04C6C-3089-40A3-9374-64C303E3B8CD}"/>
    <cellStyle name="Normal 4 2 2" xfId="2858" xr:uid="{502E47E9-B174-4F23-BE74-4F364B9F3BE8}"/>
    <cellStyle name="Normal 4 2 2 10" xfId="5092" xr:uid="{3FF95EA0-14C1-4401-A873-1B7DB72B7300}"/>
    <cellStyle name="Normal 4 2 2 11" xfId="6394" xr:uid="{2A037DA4-4BC2-4D61-8BE3-F95DE1106C09}"/>
    <cellStyle name="Normal 4 2 2 12" xfId="7697" xr:uid="{DBB7546D-4585-4185-8163-6820FE5B19FA}"/>
    <cellStyle name="Normal 4 2 2 2" xfId="2905" xr:uid="{3E08A31E-B6E3-4B83-9DDA-3B7749DE1773}"/>
    <cellStyle name="Normal 4 2 2 2 10" xfId="7742" xr:uid="{74302CE9-76EB-40E8-82A4-5167FE0810BB}"/>
    <cellStyle name="Normal 4 2 2 2 2" xfId="3006" xr:uid="{42844626-037F-49BD-9784-6E723DC45654}"/>
    <cellStyle name="Normal 4 2 2 2 2 2" xfId="3675" xr:uid="{54CFD1C2-093A-44C9-A844-289FE1B511BF}"/>
    <cellStyle name="Normal 4 2 2 2 2 2 2" xfId="4146" xr:uid="{3291ECE3-FC92-47E9-B460-3FE0B9925865}"/>
    <cellStyle name="Normal 4 2 2 2 2 2 3" xfId="5451" xr:uid="{2BE248AA-BB38-4EC9-A4BF-12223E8D3838}"/>
    <cellStyle name="Normal 4 2 2 2 2 2 4" xfId="6753" xr:uid="{136CD7C6-D009-441D-B97F-0CFD34535CEA}"/>
    <cellStyle name="Normal 4 2 2 2 2 2 5" xfId="8056" xr:uid="{4B194054-71E7-4155-BEAD-477DB4E8A430}"/>
    <cellStyle name="Normal 4 2 2 2 2 3" xfId="4382" xr:uid="{23A86BDB-5E1B-41D0-A6EE-0EEF21DD8EC1}"/>
    <cellStyle name="Normal 4 2 2 2 2 3 2" xfId="5687" xr:uid="{B7FD66DE-9C04-45AD-8813-4162D0EA7E5F}"/>
    <cellStyle name="Normal 4 2 2 2 2 3 3" xfId="6989" xr:uid="{9E85527E-E355-4043-94A3-623CAEAA4BEE}"/>
    <cellStyle name="Normal 4 2 2 2 2 4" xfId="4662" xr:uid="{7A9AB7AD-D3C1-4608-95CA-A377ECF43C67}"/>
    <cellStyle name="Normal 4 2 2 2 2 4 2" xfId="5964" xr:uid="{2C4B07A5-6753-4F9D-801D-D5203D3DF6CF}"/>
    <cellStyle name="Normal 4 2 2 2 2 4 3" xfId="7267" xr:uid="{BEAFBA1D-0F51-4FA1-BAC7-211BE29A6F5D}"/>
    <cellStyle name="Normal 4 2 2 2 2 5" xfId="4939" xr:uid="{3222D656-1BDB-46AE-9E54-9EB8B558FF81}"/>
    <cellStyle name="Normal 4 2 2 2 2 5 2" xfId="6241" xr:uid="{E998CDC9-4588-4E23-8038-B67DDD7EC8D4}"/>
    <cellStyle name="Normal 4 2 2 2 2 5 3" xfId="7544" xr:uid="{7823066A-9E73-4527-B1E7-92055FDCDC50}"/>
    <cellStyle name="Normal 4 2 2 2 2 6" xfId="3917" xr:uid="{F8C85778-C6B3-4515-856C-865FF5E388C1}"/>
    <cellStyle name="Normal 4 2 2 2 2 7" xfId="5222" xr:uid="{CCC8BE7A-7A7D-480B-BA40-65044A37BCB2}"/>
    <cellStyle name="Normal 4 2 2 2 2 8" xfId="6524" xr:uid="{D1B2BD5B-F1CB-4405-AD2A-95A1A93EA340}"/>
    <cellStyle name="Normal 4 2 2 2 2 9" xfId="7827" xr:uid="{E8DCAF7F-6FF1-432E-A8C0-C723BA5FBF1C}"/>
    <cellStyle name="Normal 4 2 2 2 3" xfId="3574" xr:uid="{DF14BEFE-7DC0-43AB-8B39-12BC4C643D9A}"/>
    <cellStyle name="Normal 4 2 2 2 3 2" xfId="4061" xr:uid="{3A5796C3-E044-4413-8156-E2EAD4796968}"/>
    <cellStyle name="Normal 4 2 2 2 3 3" xfId="5366" xr:uid="{21BD1D1E-6B35-475C-97CF-1D25DEE0999B}"/>
    <cellStyle name="Normal 4 2 2 2 3 4" xfId="6668" xr:uid="{07BC9ED4-9108-4264-A7F9-581ED0DB6778}"/>
    <cellStyle name="Normal 4 2 2 2 3 5" xfId="7971" xr:uid="{5F99D73C-4675-4ED4-AF96-82DAC234A721}"/>
    <cellStyle name="Normal 4 2 2 2 4" xfId="4297" xr:uid="{7E4A9C15-89B5-4397-9B26-4D720FCE61DF}"/>
    <cellStyle name="Normal 4 2 2 2 4 2" xfId="5602" xr:uid="{6C6AB3ED-61B8-44E7-9B2A-29D327D66700}"/>
    <cellStyle name="Normal 4 2 2 2 4 3" xfId="6904" xr:uid="{500B02D3-62B7-496B-B2F7-D424A22C2DF7}"/>
    <cellStyle name="Normal 4 2 2 2 5" xfId="4577" xr:uid="{AE198863-487E-4DE6-8426-F0AEFDD7155A}"/>
    <cellStyle name="Normal 4 2 2 2 5 2" xfId="5879" xr:uid="{863D1F26-F377-4F89-AC9A-B817CD5564C0}"/>
    <cellStyle name="Normal 4 2 2 2 5 3" xfId="7182" xr:uid="{05DD23BC-EF00-43E8-8177-5D1C3EEEB106}"/>
    <cellStyle name="Normal 4 2 2 2 6" xfId="4854" xr:uid="{33BDE6DB-F63F-4535-8C1E-6B0689F6F154}"/>
    <cellStyle name="Normal 4 2 2 2 6 2" xfId="6156" xr:uid="{7A1D0F67-3A47-4B97-817C-F8005D6FFE5A}"/>
    <cellStyle name="Normal 4 2 2 2 6 3" xfId="7459" xr:uid="{C443A210-B60E-436B-A8FE-0824CE057D84}"/>
    <cellStyle name="Normal 4 2 2 2 7" xfId="3832" xr:uid="{21FFD38F-EB22-49F0-ABEA-7123694BC791}"/>
    <cellStyle name="Normal 4 2 2 2 8" xfId="5137" xr:uid="{6B8EFB39-74F0-4ECB-BBDC-DD275E19EDB0}"/>
    <cellStyle name="Normal 4 2 2 2 9" xfId="6439" xr:uid="{12705DAA-D1F2-4663-A0A7-9C1361598CD4}"/>
    <cellStyle name="Normal 4 2 2 3" xfId="3450" xr:uid="{8A145DD6-8681-439E-A9C6-50BC7D1C8EE6}"/>
    <cellStyle name="Normal 4 2 2 3 2" xfId="3715" xr:uid="{2215DDA7-181D-4DE5-B5C9-757B742671F6}"/>
    <cellStyle name="Normal 4 2 2 3 2 2" xfId="4186" xr:uid="{EDEE875A-1895-4A4B-96AB-AADF400FEC63}"/>
    <cellStyle name="Normal 4 2 2 3 2 3" xfId="5491" xr:uid="{DD17A719-DA7A-45DC-A8D0-B70189F15F54}"/>
    <cellStyle name="Normal 4 2 2 3 2 4" xfId="6793" xr:uid="{39455F8F-2786-40E8-85E6-9A3F07E36BA2}"/>
    <cellStyle name="Normal 4 2 2 3 2 5" xfId="8096" xr:uid="{51EE32F2-0EC1-443A-B485-135B8B5722A6}"/>
    <cellStyle name="Normal 4 2 2 3 3" xfId="4422" xr:uid="{0E90834B-BDD9-4755-A3C3-F85DC8DBE20E}"/>
    <cellStyle name="Normal 4 2 2 3 3 2" xfId="5727" xr:uid="{BD599DC7-27DC-40DE-8001-DE52940FA8A6}"/>
    <cellStyle name="Normal 4 2 2 3 3 3" xfId="7029" xr:uid="{594BF4BD-9763-4580-9270-1D0494134509}"/>
    <cellStyle name="Normal 4 2 2 3 4" xfId="4702" xr:uid="{F56E5C39-B045-4EF1-ADE4-43166E55AA07}"/>
    <cellStyle name="Normal 4 2 2 3 4 2" xfId="6004" xr:uid="{C83E1182-91BD-4614-98EF-471A137E35AC}"/>
    <cellStyle name="Normal 4 2 2 3 4 3" xfId="7307" xr:uid="{3DEAF3FB-7B47-411F-8D7C-F004FB2BCD53}"/>
    <cellStyle name="Normal 4 2 2 3 5" xfId="4979" xr:uid="{E5317FE4-CC0D-451C-ABD4-00A5E6A9811A}"/>
    <cellStyle name="Normal 4 2 2 3 5 2" xfId="6281" xr:uid="{92627344-1BC8-43A0-9E47-00F398528839}"/>
    <cellStyle name="Normal 4 2 2 3 5 3" xfId="7584" xr:uid="{59215C9C-C90F-46FC-8F08-C13EC58BAD75}"/>
    <cellStyle name="Normal 4 2 2 3 6" xfId="3957" xr:uid="{17114E9D-7BD8-499D-B478-85B0FD63BB36}"/>
    <cellStyle name="Normal 4 2 2 3 7" xfId="5262" xr:uid="{58E85C3B-EE06-4A45-9A64-17D3ACB86F72}"/>
    <cellStyle name="Normal 4 2 2 3 8" xfId="6564" xr:uid="{208AF4EB-40D4-4BC5-BD4B-1BC1B344A6A7}"/>
    <cellStyle name="Normal 4 2 2 3 9" xfId="7867" xr:uid="{6CC757C9-DE54-4B5F-A79E-E3C8562932BF}"/>
    <cellStyle name="Normal 4 2 2 4" xfId="2950" xr:uid="{C95DDB79-805C-4C12-A415-C6FAA93F53B4}"/>
    <cellStyle name="Normal 4 2 2 4 2" xfId="3619" xr:uid="{DD3BD707-27A4-49A9-BF52-05B761F4D9B7}"/>
    <cellStyle name="Normal 4 2 2 4 2 2" xfId="4106" xr:uid="{0A11774B-CA67-430C-83D5-487C4EAA7081}"/>
    <cellStyle name="Normal 4 2 2 4 2 3" xfId="5411" xr:uid="{0C0A6FEB-C73C-45CE-8A56-429BE390C18F}"/>
    <cellStyle name="Normal 4 2 2 4 2 4" xfId="6713" xr:uid="{43B0B100-762B-4B36-9A66-38E781A3E529}"/>
    <cellStyle name="Normal 4 2 2 4 2 5" xfId="8016" xr:uid="{FF4ED3AB-1782-42E8-AE29-5673F3A8C49A}"/>
    <cellStyle name="Normal 4 2 2 4 3" xfId="4342" xr:uid="{455BC2B6-CA8E-43FA-B17B-782F161F1096}"/>
    <cellStyle name="Normal 4 2 2 4 3 2" xfId="5647" xr:uid="{8782E717-FF0A-40FB-BAAA-32A5FE152FFA}"/>
    <cellStyle name="Normal 4 2 2 4 3 3" xfId="6949" xr:uid="{D78ED783-77CD-43B2-8D0C-FC55756925AA}"/>
    <cellStyle name="Normal 4 2 2 4 4" xfId="4622" xr:uid="{2B2166C8-94AE-4700-8CA2-F6F52F7A7C14}"/>
    <cellStyle name="Normal 4 2 2 4 4 2" xfId="5924" xr:uid="{95D7A223-4D7A-423C-AAC9-6373EB026264}"/>
    <cellStyle name="Normal 4 2 2 4 4 3" xfId="7227" xr:uid="{324FC1D5-02BA-4AD4-A317-59158CBF73D1}"/>
    <cellStyle name="Normal 4 2 2 4 5" xfId="4899" xr:uid="{8B1DC300-D228-45D5-B6A2-B63C0035D273}"/>
    <cellStyle name="Normal 4 2 2 4 5 2" xfId="6201" xr:uid="{6066CB13-BA90-4BF0-BD8F-62D002842DA4}"/>
    <cellStyle name="Normal 4 2 2 4 5 3" xfId="7504" xr:uid="{34B75120-A091-4E73-A281-E018EC9B3DAE}"/>
    <cellStyle name="Normal 4 2 2 4 6" xfId="3877" xr:uid="{00F690DC-8F6F-4420-8157-C73DEFB2B602}"/>
    <cellStyle name="Normal 4 2 2 4 7" xfId="5182" xr:uid="{2361D15A-785E-4503-8FE1-E4ABABB5BC5C}"/>
    <cellStyle name="Normal 4 2 2 4 8" xfId="6484" xr:uid="{82BA0C3E-82F0-4EDF-BE5B-EC27CBC0CE22}"/>
    <cellStyle name="Normal 4 2 2 4 9" xfId="7787" xr:uid="{4163A6DA-0DEF-45A1-913B-BCB47EA026F9}"/>
    <cellStyle name="Normal 4 2 2 5" xfId="3529" xr:uid="{B95641FF-C168-45AD-B8C9-C4F9D814D317}"/>
    <cellStyle name="Normal 4 2 2 5 2" xfId="4478" xr:uid="{EE2387B1-F0B9-4645-BF5B-2E31FDB763AB}"/>
    <cellStyle name="Normal 4 2 2 5 2 2" xfId="5781" xr:uid="{B8562433-AAFF-4892-83D6-18B0CB1A1068}"/>
    <cellStyle name="Normal 4 2 2 5 2 3" xfId="7084" xr:uid="{2E4CA78D-8A71-47E5-8566-FBFC8424D88A}"/>
    <cellStyle name="Normal 4 2 2 5 3" xfId="4756" xr:uid="{460B231C-D9D9-4D29-A641-AC3C7A550BAD}"/>
    <cellStyle name="Normal 4 2 2 5 3 2" xfId="6058" xr:uid="{65C1BBC0-5B81-4C8B-86F0-54C29DDC7616}"/>
    <cellStyle name="Normal 4 2 2 5 3 3" xfId="7361" xr:uid="{0AEB38D9-E202-49C7-B158-7091D73AE4A3}"/>
    <cellStyle name="Normal 4 2 2 5 4" xfId="5033" xr:uid="{F450CB04-2B57-4D79-A54A-FE054FC941A8}"/>
    <cellStyle name="Normal 4 2 2 5 4 2" xfId="6335" xr:uid="{32CFC3F4-7E7F-4828-B75E-1D313189B2D2}"/>
    <cellStyle name="Normal 4 2 2 5 4 3" xfId="7638" xr:uid="{0418FD34-7217-45EE-9574-2D3F4E9970C5}"/>
    <cellStyle name="Normal 4 2 2 5 5" xfId="4016" xr:uid="{E6304E96-BDA1-4363-B500-FEA6889676CC}"/>
    <cellStyle name="Normal 4 2 2 5 6" xfId="5321" xr:uid="{E2A3B9A0-F5A5-496A-9A4E-3C0B5AEAB9B6}"/>
    <cellStyle name="Normal 4 2 2 5 7" xfId="6623" xr:uid="{63630AC0-87D7-4CEA-B0C6-049511C31B12}"/>
    <cellStyle name="Normal 4 2 2 5 8" xfId="7926" xr:uid="{D628C748-BE0F-4CD7-A88E-2316D7696F95}"/>
    <cellStyle name="Normal 4 2 2 6" xfId="4252" xr:uid="{2196C65E-9518-45CC-9D83-00E16BF9FE8D}"/>
    <cellStyle name="Normal 4 2 2 6 2" xfId="5557" xr:uid="{2AE341A4-610A-456B-B817-B4E27BB83A7C}"/>
    <cellStyle name="Normal 4 2 2 6 3" xfId="6859" xr:uid="{482A0A12-569F-440B-BFF9-1F123E0C37A4}"/>
    <cellStyle name="Normal 4 2 2 7" xfId="4532" xr:uid="{93335F33-F50B-41BF-AC9E-638FC213D8E2}"/>
    <cellStyle name="Normal 4 2 2 7 2" xfId="5834" xr:uid="{866033B7-7CDA-4905-9353-E78D186AC7F8}"/>
    <cellStyle name="Normal 4 2 2 7 3" xfId="7137" xr:uid="{6BA8C518-0B27-41B0-BEBA-0658CF6CEACD}"/>
    <cellStyle name="Normal 4 2 2 8" xfId="4809" xr:uid="{DB558B8E-EA5A-4B44-B4A5-276ADE7FBD55}"/>
    <cellStyle name="Normal 4 2 2 8 2" xfId="6111" xr:uid="{FF3D3575-2E62-4B79-8417-0112B3C9B63D}"/>
    <cellStyle name="Normal 4 2 2 8 3" xfId="7414" xr:uid="{6AB1FBF3-1970-4FF2-9072-4FAD754A12C8}"/>
    <cellStyle name="Normal 4 2 2 9" xfId="3787" xr:uid="{18705947-3D31-4F02-AE7B-0C145DB533ED}"/>
    <cellStyle name="Normal 4 2 3" xfId="2888" xr:uid="{32807B66-8F0E-4006-9465-31D3322D1FA5}"/>
    <cellStyle name="Normal 4 2 3 10" xfId="7725" xr:uid="{17BABDD1-31CC-4E8F-B22F-7D841EDA31CE}"/>
    <cellStyle name="Normal 4 2 3 2" xfId="2989" xr:uid="{D2CD65BD-F44D-476A-8304-1002F84EE031}"/>
    <cellStyle name="Normal 4 2 3 2 2" xfId="3658" xr:uid="{7F9D4086-4BC7-4361-8FF1-EDBC554D495F}"/>
    <cellStyle name="Normal 4 2 3 2 2 2" xfId="4129" xr:uid="{C6CEC405-F40D-4690-B062-55B90645A653}"/>
    <cellStyle name="Normal 4 2 3 2 2 3" xfId="5434" xr:uid="{F644722E-0970-4CC5-875A-745299A5F5E0}"/>
    <cellStyle name="Normal 4 2 3 2 2 4" xfId="6736" xr:uid="{A64572EF-E9B5-48B2-886E-2A62F810163A}"/>
    <cellStyle name="Normal 4 2 3 2 2 5" xfId="8039" xr:uid="{097CA6A8-2A67-4CCF-AB97-4B030AD6713C}"/>
    <cellStyle name="Normal 4 2 3 2 3" xfId="4365" xr:uid="{FB61CF1E-57A9-41D5-8C53-9BBE497B343E}"/>
    <cellStyle name="Normal 4 2 3 2 3 2" xfId="5670" xr:uid="{2924BEA3-5021-4846-8943-1FD18C74E852}"/>
    <cellStyle name="Normal 4 2 3 2 3 3" xfId="6972" xr:uid="{60EAFBEE-03B2-4A4A-B98E-97EAB3822ADA}"/>
    <cellStyle name="Normal 4 2 3 2 4" xfId="4645" xr:uid="{F7BDFDA5-31F0-4B51-BE88-4172A0C1715A}"/>
    <cellStyle name="Normal 4 2 3 2 4 2" xfId="5947" xr:uid="{7D0DA37B-7204-48DF-94F2-4E6692C55D43}"/>
    <cellStyle name="Normal 4 2 3 2 4 3" xfId="7250" xr:uid="{EA500A88-487C-46AF-A97E-F510F8C054AF}"/>
    <cellStyle name="Normal 4 2 3 2 5" xfId="4922" xr:uid="{DFA4B22D-3B4C-425D-ACDB-3B0D73AA0736}"/>
    <cellStyle name="Normal 4 2 3 2 5 2" xfId="6224" xr:uid="{BF5BA73D-E8DB-4B6F-B3A4-392974CF2FC9}"/>
    <cellStyle name="Normal 4 2 3 2 5 3" xfId="7527" xr:uid="{C4DEBBE0-30B3-4BF0-8F0B-FC46162749CB}"/>
    <cellStyle name="Normal 4 2 3 2 6" xfId="3900" xr:uid="{2F6A9710-F75D-4162-A8DF-1868BE440B5C}"/>
    <cellStyle name="Normal 4 2 3 2 7" xfId="5205" xr:uid="{AFEBE661-CDF9-4377-8B2E-321369B1EE6B}"/>
    <cellStyle name="Normal 4 2 3 2 8" xfId="6507" xr:uid="{7AECD9D2-4DD4-4E18-81C6-82702D2B7D81}"/>
    <cellStyle name="Normal 4 2 3 2 9" xfId="7810" xr:uid="{8385E993-9D2B-40D5-8D55-5C051259A92E}"/>
    <cellStyle name="Normal 4 2 3 3" xfId="3557" xr:uid="{A82876CE-3AC7-40AF-942A-CC71D7FE0E16}"/>
    <cellStyle name="Normal 4 2 3 3 2" xfId="4044" xr:uid="{6D4DF9E8-2927-4730-9130-C50EE467827E}"/>
    <cellStyle name="Normal 4 2 3 3 3" xfId="5349" xr:uid="{E18DB70E-0ED7-465B-9ECD-54704372004B}"/>
    <cellStyle name="Normal 4 2 3 3 4" xfId="6651" xr:uid="{CFCCA573-0973-45F2-A4B2-88FC696C9A88}"/>
    <cellStyle name="Normal 4 2 3 3 5" xfId="7954" xr:uid="{44E8B2A3-1DAA-4594-B216-D958FC6F41C6}"/>
    <cellStyle name="Normal 4 2 3 4" xfId="4280" xr:uid="{3CB98CEA-1DBD-4720-B281-6D67A5843E89}"/>
    <cellStyle name="Normal 4 2 3 4 2" xfId="5585" xr:uid="{19BABCF0-133F-4E7F-80E3-A804E83655DE}"/>
    <cellStyle name="Normal 4 2 3 4 3" xfId="6887" xr:uid="{F1038939-11CE-414E-890C-30EE91CBE2B8}"/>
    <cellStyle name="Normal 4 2 3 5" xfId="4560" xr:uid="{48CA55B1-A6FA-40F9-B478-DA966D0DD12E}"/>
    <cellStyle name="Normal 4 2 3 5 2" xfId="5862" xr:uid="{3B8FBF21-BF99-4D85-86BA-F3151C599756}"/>
    <cellStyle name="Normal 4 2 3 5 3" xfId="7165" xr:uid="{57D37BA6-ECF0-4F20-918D-DB5556A2FE45}"/>
    <cellStyle name="Normal 4 2 3 6" xfId="4837" xr:uid="{A4831836-0F67-44AD-A3CC-770E593DCC68}"/>
    <cellStyle name="Normal 4 2 3 6 2" xfId="6139" xr:uid="{28C5708F-BF37-4BCF-8C12-0D950FA38E4F}"/>
    <cellStyle name="Normal 4 2 3 6 3" xfId="7442" xr:uid="{FDC434CF-C690-4AEC-9EFF-EC44964E6C75}"/>
    <cellStyle name="Normal 4 2 3 7" xfId="3815" xr:uid="{94C07D01-6BF3-4508-8F31-7531CFD3FA4A}"/>
    <cellStyle name="Normal 4 2 3 8" xfId="5120" xr:uid="{8B779E97-0FE5-4585-9920-1DEBAEF84F75}"/>
    <cellStyle name="Normal 4 2 3 9" xfId="6422" xr:uid="{F39D6A9F-EB03-4707-BE02-E169935E3EE5}"/>
    <cellStyle name="Normal 4 2 4" xfId="3426" xr:uid="{394C2112-16E4-407C-8D72-54B8B4347EA6}"/>
    <cellStyle name="Normal 4 2 4 2" xfId="3698" xr:uid="{71AE0EC5-12FA-47C6-AC62-AAFF5AA9056E}"/>
    <cellStyle name="Normal 4 2 4 2 2" xfId="4169" xr:uid="{1BCC62CC-8C88-42CF-B5A2-7993ADBADE1A}"/>
    <cellStyle name="Normal 4 2 4 2 3" xfId="5474" xr:uid="{3F3A1217-33FA-4BBF-86EC-F21E67736F25}"/>
    <cellStyle name="Normal 4 2 4 2 4" xfId="6776" xr:uid="{1D5EBA37-1B3D-47FD-A538-AFA6E9B3005E}"/>
    <cellStyle name="Normal 4 2 4 2 5" xfId="8079" xr:uid="{62E15047-1E6D-4DDB-84BF-CFA1C35E6178}"/>
    <cellStyle name="Normal 4 2 4 3" xfId="4405" xr:uid="{3FB90C54-3C3E-46B6-8085-AFEADF07867F}"/>
    <cellStyle name="Normal 4 2 4 3 2" xfId="5710" xr:uid="{C73CE7DF-FF8C-425E-98B9-828B9D55F155}"/>
    <cellStyle name="Normal 4 2 4 3 3" xfId="7012" xr:uid="{D4D5BD3D-374E-4187-B953-21B97E300EE8}"/>
    <cellStyle name="Normal 4 2 4 4" xfId="4685" xr:uid="{85FBB283-FDF5-48A8-AAC2-59C6A99D29AE}"/>
    <cellStyle name="Normal 4 2 4 4 2" xfId="5987" xr:uid="{D1EB47A4-8392-4A57-A171-3B37333D6DE4}"/>
    <cellStyle name="Normal 4 2 4 4 3" xfId="7290" xr:uid="{4FCF524B-CC02-4516-97BF-AC91D4802BD7}"/>
    <cellStyle name="Normal 4 2 4 5" xfId="4962" xr:uid="{AE33800F-90C5-44EB-8F6D-674A7382849C}"/>
    <cellStyle name="Normal 4 2 4 5 2" xfId="6264" xr:uid="{605FC5B9-52AE-47BE-BFCE-EED5DB56102F}"/>
    <cellStyle name="Normal 4 2 4 5 3" xfId="7567" xr:uid="{4BB95C76-64B6-441E-A898-7D09DA824078}"/>
    <cellStyle name="Normal 4 2 4 6" xfId="3940" xr:uid="{2C261E01-1590-4DF3-A477-BD462C78C3F8}"/>
    <cellStyle name="Normal 4 2 4 7" xfId="5245" xr:uid="{26C7C4B4-A7D4-45DF-A7B7-958FD78FCDA9}"/>
    <cellStyle name="Normal 4 2 4 8" xfId="6547" xr:uid="{ADACD0D2-C52C-44EF-B304-4D5332E8DCC7}"/>
    <cellStyle name="Normal 4 2 4 9" xfId="7850" xr:uid="{C857718E-4AFD-4284-A6A4-73E5CF79200B}"/>
    <cellStyle name="Normal 4 2 5" xfId="2933" xr:uid="{7422A233-B604-4CEF-8DB3-3B38D3B76A4F}"/>
    <cellStyle name="Normal 4 2 5 2" xfId="3602" xr:uid="{B3A4FAF7-0A25-4FD0-99A6-9D242DCD9793}"/>
    <cellStyle name="Normal 4 2 5 2 2" xfId="4089" xr:uid="{8B3BDEDF-2F19-4959-9033-D74B565DFB68}"/>
    <cellStyle name="Normal 4 2 5 2 3" xfId="5394" xr:uid="{F3A476E9-3F0A-4697-9614-405B70C66F14}"/>
    <cellStyle name="Normal 4 2 5 2 4" xfId="6696" xr:uid="{981FD66F-CDDA-4B13-9A4A-0112B388E475}"/>
    <cellStyle name="Normal 4 2 5 2 5" xfId="7999" xr:uid="{6E000C87-5939-4E35-88CB-896B49FA05CD}"/>
    <cellStyle name="Normal 4 2 5 3" xfId="4325" xr:uid="{65614BF9-221C-48A4-9F7E-6BB6C8F830E4}"/>
    <cellStyle name="Normal 4 2 5 3 2" xfId="5630" xr:uid="{02FE2AF0-941E-4621-9908-82AF9E7B54B6}"/>
    <cellStyle name="Normal 4 2 5 3 3" xfId="6932" xr:uid="{6C76027C-3110-41F0-943B-EEA47766C784}"/>
    <cellStyle name="Normal 4 2 5 4" xfId="4605" xr:uid="{1E410FBD-602C-4E5B-9133-2ECCC07E238F}"/>
    <cellStyle name="Normal 4 2 5 4 2" xfId="5907" xr:uid="{85A5A593-66BF-4796-BD4F-58A394289D06}"/>
    <cellStyle name="Normal 4 2 5 4 3" xfId="7210" xr:uid="{76A06E0E-69B1-4BB7-973A-CC86CEA47BBB}"/>
    <cellStyle name="Normal 4 2 5 5" xfId="4882" xr:uid="{D743402C-7356-431A-BEF0-EBDE7EE3DD88}"/>
    <cellStyle name="Normal 4 2 5 5 2" xfId="6184" xr:uid="{E211DEA2-39AD-4FD1-B644-C391144DCF28}"/>
    <cellStyle name="Normal 4 2 5 5 3" xfId="7487" xr:uid="{4DFA84BE-A63A-403A-B10C-BA45D2D0007D}"/>
    <cellStyle name="Normal 4 2 5 6" xfId="3860" xr:uid="{9E97C310-C133-4295-ABD3-17C27F3C14E6}"/>
    <cellStyle name="Normal 4 2 5 7" xfId="5165" xr:uid="{EA70ADB8-0F18-4BCF-86EB-FC366AFE577A}"/>
    <cellStyle name="Normal 4 2 5 8" xfId="6467" xr:uid="{DB4F54F3-3017-45FB-80C1-4724AB531FD1}"/>
    <cellStyle name="Normal 4 2 5 9" xfId="7770" xr:uid="{D7AA73A7-5032-4551-80E8-53A110C15199}"/>
    <cellStyle name="Normal 4 2 6" xfId="3512" xr:uid="{4499489B-EA7A-4C79-88EE-8A8C8CDEE43E}"/>
    <cellStyle name="Normal 4 2 6 2" xfId="4461" xr:uid="{B8D2AC57-069F-41A9-BF72-AFD108421937}"/>
    <cellStyle name="Normal 4 2 6 2 2" xfId="5764" xr:uid="{4178379E-588F-45E9-BD95-626071202D83}"/>
    <cellStyle name="Normal 4 2 6 2 3" xfId="7067" xr:uid="{58A923C7-7FBB-480B-BBB3-810D2BF6CE1B}"/>
    <cellStyle name="Normal 4 2 6 3" xfId="4739" xr:uid="{B95895B7-1DCB-412A-B606-1DE76E3256C0}"/>
    <cellStyle name="Normal 4 2 6 3 2" xfId="6041" xr:uid="{00C6D97A-9CE8-4A11-8825-C2173233B5EF}"/>
    <cellStyle name="Normal 4 2 6 3 3" xfId="7344" xr:uid="{AE1F850B-5256-4D95-8193-9575F5151649}"/>
    <cellStyle name="Normal 4 2 6 4" xfId="5016" xr:uid="{27249849-C212-4362-9007-6993946FB8B6}"/>
    <cellStyle name="Normal 4 2 6 4 2" xfId="6318" xr:uid="{5B5D53BC-81AF-46B5-AC1F-3679DAA08A0C}"/>
    <cellStyle name="Normal 4 2 6 4 3" xfId="7621" xr:uid="{536C6C7D-FD0B-4F48-B6F4-E1A8ACD6EA60}"/>
    <cellStyle name="Normal 4 2 6 5" xfId="3999" xr:uid="{133D2CC5-1D39-48C7-A7E1-D6FC0B159A10}"/>
    <cellStyle name="Normal 4 2 6 6" xfId="5304" xr:uid="{154DF3DC-8B81-4632-9071-848FABE029B5}"/>
    <cellStyle name="Normal 4 2 6 7" xfId="6606" xr:uid="{402B0A59-0E40-4869-A357-3DF5D37D7660}"/>
    <cellStyle name="Normal 4 2 6 8" xfId="7909" xr:uid="{1EB022B0-BFCD-4EC6-B5B7-A4E7808E4EAD}"/>
    <cellStyle name="Normal 4 2 7" xfId="4235" xr:uid="{A418FA71-27AC-406B-ACF9-4291ABC5D594}"/>
    <cellStyle name="Normal 4 2 7 2" xfId="5540" xr:uid="{7B7B6AD7-89F9-409D-B82A-FFB9D4A76139}"/>
    <cellStyle name="Normal 4 2 7 3" xfId="6842" xr:uid="{76E45219-F3B1-47E9-B1BD-3938D5CF5FF7}"/>
    <cellStyle name="Normal 4 2 8" xfId="4514" xr:uid="{CBA5B573-B3E1-414C-AACB-A6B00D7434AD}"/>
    <cellStyle name="Normal 4 2 8 2" xfId="5817" xr:uid="{0F718286-347D-4D19-B77E-F96F337509BC}"/>
    <cellStyle name="Normal 4 2 8 3" xfId="7120" xr:uid="{E673264C-C1B3-4A8F-872C-F2BB18FA55D3}"/>
    <cellStyle name="Normal 4 2 9" xfId="4792" xr:uid="{0EDEFB67-DDB0-4DF7-993C-0A9DBCD72C0E}"/>
    <cellStyle name="Normal 4 2 9 2" xfId="6094" xr:uid="{5AC468FC-574F-45EC-B150-A125C0EF48DC}"/>
    <cellStyle name="Normal 4 2 9 3" xfId="7397" xr:uid="{A5F8F736-006F-4489-A509-D61836696BC7}"/>
    <cellStyle name="Normal 4 20" xfId="6351" xr:uid="{6693BC18-6EAA-4EF1-809B-81CB3B706BF3}"/>
    <cellStyle name="Normal 4 21" xfId="7654" xr:uid="{4CAB15FC-9186-462A-A0DB-958C0FB54AAD}"/>
    <cellStyle name="Normal 4 3" xfId="2543" xr:uid="{918D0AE9-E5FF-4630-BA05-01194FA592A7}"/>
    <cellStyle name="Normal 4 3 10" xfId="3774" xr:uid="{D392E401-FB54-4A2A-84AD-4840051D2B45}"/>
    <cellStyle name="Normal 4 3 11" xfId="5079" xr:uid="{1E4DB986-984E-4AD6-8CA1-BDE2B6323982}"/>
    <cellStyle name="Normal 4 3 12" xfId="6381" xr:uid="{6EF0D810-C158-4DD6-B19A-F3F39D66616C}"/>
    <cellStyle name="Normal 4 3 13" xfId="7684" xr:uid="{70898831-1D77-443B-9C41-711B8E2BA89E}"/>
    <cellStyle name="Normal 4 3 2" xfId="2862" xr:uid="{9308B8F3-7CE6-46C1-A75D-049C6385FC8D}"/>
    <cellStyle name="Normal 4 3 2 10" xfId="5096" xr:uid="{7EE995C2-203B-494F-BAF5-0CD2C29667EB}"/>
    <cellStyle name="Normal 4 3 2 11" xfId="6398" xr:uid="{A7F2D258-6440-44AE-8496-B6823098C30F}"/>
    <cellStyle name="Normal 4 3 2 12" xfId="7701" xr:uid="{87E52F92-7DC8-4408-8FEF-DDB8431CCB0A}"/>
    <cellStyle name="Normal 4 3 2 2" xfId="2909" xr:uid="{641F7540-879F-45AA-9C0A-C59E50BF4057}"/>
    <cellStyle name="Normal 4 3 2 2 10" xfId="7746" xr:uid="{AB377551-F3CD-4C93-85F1-0045D53FFDB1}"/>
    <cellStyle name="Normal 4 3 2 2 2" xfId="3010" xr:uid="{F6C4FED6-3C1A-4E38-8D52-2356BFED5434}"/>
    <cellStyle name="Normal 4 3 2 2 2 2" xfId="3679" xr:uid="{9BB7E6B7-70F9-47A6-94F7-5F831ABB233A}"/>
    <cellStyle name="Normal 4 3 2 2 2 2 2" xfId="4150" xr:uid="{0882E8BB-8E8B-4211-8376-1AF33062F86C}"/>
    <cellStyle name="Normal 4 3 2 2 2 2 3" xfId="5455" xr:uid="{5CAC25EF-F3B1-4B47-92CF-36B4E0B5843A}"/>
    <cellStyle name="Normal 4 3 2 2 2 2 4" xfId="6757" xr:uid="{7E07E374-9D8E-4CBF-BE3E-84C35725A163}"/>
    <cellStyle name="Normal 4 3 2 2 2 2 5" xfId="8060" xr:uid="{8EDCE8E8-560C-4701-9FF9-5EEE930C793F}"/>
    <cellStyle name="Normal 4 3 2 2 2 3" xfId="4386" xr:uid="{969D83D6-AA4A-487F-9E8E-83946F56B309}"/>
    <cellStyle name="Normal 4 3 2 2 2 3 2" xfId="5691" xr:uid="{110A9C66-3920-4635-AEC3-E45140A41D34}"/>
    <cellStyle name="Normal 4 3 2 2 2 3 3" xfId="6993" xr:uid="{351218E2-FB9C-4E2B-8151-749DC58EE8B8}"/>
    <cellStyle name="Normal 4 3 2 2 2 4" xfId="4666" xr:uid="{9A736BDB-FFB1-4D95-A371-FF11C44C5775}"/>
    <cellStyle name="Normal 4 3 2 2 2 4 2" xfId="5968" xr:uid="{278AA371-52FA-4D83-A9AB-C8E206A51891}"/>
    <cellStyle name="Normal 4 3 2 2 2 4 3" xfId="7271" xr:uid="{320895FC-FD9F-48A6-B788-24217CA3D05A}"/>
    <cellStyle name="Normal 4 3 2 2 2 5" xfId="4943" xr:uid="{4C300183-6392-47AC-A30A-3B749B7453CF}"/>
    <cellStyle name="Normal 4 3 2 2 2 5 2" xfId="6245" xr:uid="{8CB4D187-E4C4-4531-852C-03596F959E41}"/>
    <cellStyle name="Normal 4 3 2 2 2 5 3" xfId="7548" xr:uid="{F2554E05-7ABD-4CF4-AE66-69C98FD1A2BC}"/>
    <cellStyle name="Normal 4 3 2 2 2 6" xfId="3921" xr:uid="{979032CE-FD31-4B60-AE6D-F8D626946ED7}"/>
    <cellStyle name="Normal 4 3 2 2 2 7" xfId="5226" xr:uid="{384FC2A2-E47E-4559-BDE3-BDA172A1CA59}"/>
    <cellStyle name="Normal 4 3 2 2 2 8" xfId="6528" xr:uid="{C94964B2-6AE0-4793-999F-7EF9D3477A42}"/>
    <cellStyle name="Normal 4 3 2 2 2 9" xfId="7831" xr:uid="{3CFC3B7A-0645-4E30-98EA-AAB5FC6C4E41}"/>
    <cellStyle name="Normal 4 3 2 2 3" xfId="3578" xr:uid="{3502D45F-E9A4-483F-A01F-19140A102337}"/>
    <cellStyle name="Normal 4 3 2 2 3 2" xfId="4065" xr:uid="{4B965D41-E495-46AA-8496-C833A01C4B05}"/>
    <cellStyle name="Normal 4 3 2 2 3 3" xfId="5370" xr:uid="{80EDCAD6-6806-4650-BE06-94CBCC50CDF7}"/>
    <cellStyle name="Normal 4 3 2 2 3 4" xfId="6672" xr:uid="{CF5AB9EA-7770-4C7D-9A51-81352DE3FABC}"/>
    <cellStyle name="Normal 4 3 2 2 3 5" xfId="7975" xr:uid="{D7578D1B-A66A-4A72-922E-DB862E14CD22}"/>
    <cellStyle name="Normal 4 3 2 2 4" xfId="4301" xr:uid="{0AEE440F-A769-4D10-9544-71C421CC0DC4}"/>
    <cellStyle name="Normal 4 3 2 2 4 2" xfId="5606" xr:uid="{B029F061-3828-4EDA-816F-EC64F79E676D}"/>
    <cellStyle name="Normal 4 3 2 2 4 3" xfId="6908" xr:uid="{D319D53F-404A-4F08-84C9-C4FBAAFDA7F3}"/>
    <cellStyle name="Normal 4 3 2 2 5" xfId="4581" xr:uid="{ABC8371C-0BA3-4A75-ABF0-AFB75299C657}"/>
    <cellStyle name="Normal 4 3 2 2 5 2" xfId="5883" xr:uid="{A6C17541-91B5-4C72-B596-F277A75909F1}"/>
    <cellStyle name="Normal 4 3 2 2 5 3" xfId="7186" xr:uid="{B752BAD3-4D53-419B-B16F-251D910E34E3}"/>
    <cellStyle name="Normal 4 3 2 2 6" xfId="4858" xr:uid="{6249756A-D95F-4965-B0A4-CE0ED8B79692}"/>
    <cellStyle name="Normal 4 3 2 2 6 2" xfId="6160" xr:uid="{5A8958F8-00F3-4E19-A364-C2290658A004}"/>
    <cellStyle name="Normal 4 3 2 2 6 3" xfId="7463" xr:uid="{C6FA5753-AB1C-42BA-A221-F5F6E9F9827C}"/>
    <cellStyle name="Normal 4 3 2 2 7" xfId="3836" xr:uid="{1D623768-D33A-4CB9-BBEC-733BE12F845B}"/>
    <cellStyle name="Normal 4 3 2 2 8" xfId="5141" xr:uid="{EBFE3EA9-178B-4A20-8DE5-6E3E9F2B5F28}"/>
    <cellStyle name="Normal 4 3 2 2 9" xfId="6443" xr:uid="{524409C7-BA7F-4585-8473-11E868F88336}"/>
    <cellStyle name="Normal 4 3 2 3" xfId="3454" xr:uid="{40666BB9-5300-4A90-A041-C2B05E0212C7}"/>
    <cellStyle name="Normal 4 3 2 3 2" xfId="3719" xr:uid="{27CD0467-DAC3-4379-9F87-015AC64E0485}"/>
    <cellStyle name="Normal 4 3 2 3 2 2" xfId="4190" xr:uid="{A076266E-B3E2-4521-8180-91B1CC676E9E}"/>
    <cellStyle name="Normal 4 3 2 3 2 3" xfId="5495" xr:uid="{41945AC8-99E3-4AB0-9315-A6859FEABE28}"/>
    <cellStyle name="Normal 4 3 2 3 2 4" xfId="6797" xr:uid="{7B7298FD-8B14-4542-8A43-310FC16255B7}"/>
    <cellStyle name="Normal 4 3 2 3 2 5" xfId="8100" xr:uid="{415BDE1F-0235-471D-B00C-F6D820636801}"/>
    <cellStyle name="Normal 4 3 2 3 3" xfId="4426" xr:uid="{23B3CDCC-2189-44B8-9B83-2515DCC5AA6A}"/>
    <cellStyle name="Normal 4 3 2 3 3 2" xfId="5731" xr:uid="{254C7C98-B0A4-4CA8-A404-F46ABD1FB548}"/>
    <cellStyle name="Normal 4 3 2 3 3 3" xfId="7033" xr:uid="{A5A9C4E7-77E8-4357-BF48-647F24B37069}"/>
    <cellStyle name="Normal 4 3 2 3 4" xfId="4706" xr:uid="{707DC412-F991-4661-A34C-B96BBD757650}"/>
    <cellStyle name="Normal 4 3 2 3 4 2" xfId="6008" xr:uid="{CAAAC19B-087A-4CF5-B11A-10FD999AFC3C}"/>
    <cellStyle name="Normal 4 3 2 3 4 3" xfId="7311" xr:uid="{20C6BAF8-7212-41E3-8E5A-3C5D2CE57575}"/>
    <cellStyle name="Normal 4 3 2 3 5" xfId="4983" xr:uid="{4A7AEC2A-EBB4-45E9-BFED-6EF650B1D717}"/>
    <cellStyle name="Normal 4 3 2 3 5 2" xfId="6285" xr:uid="{6B997C7C-F7D9-4D3D-9B9E-E2DA44A36C8D}"/>
    <cellStyle name="Normal 4 3 2 3 5 3" xfId="7588" xr:uid="{7C900AC0-189B-4B2D-9C49-432E215A8B9F}"/>
    <cellStyle name="Normal 4 3 2 3 6" xfId="3961" xr:uid="{EBA60D04-2853-4E83-B11B-6F342E9AE619}"/>
    <cellStyle name="Normal 4 3 2 3 7" xfId="5266" xr:uid="{62A0954C-A328-4B66-A3F5-B279F16BEB16}"/>
    <cellStyle name="Normal 4 3 2 3 8" xfId="6568" xr:uid="{E3305C07-5C1E-4BB4-B85B-A4CC8469F35B}"/>
    <cellStyle name="Normal 4 3 2 3 9" xfId="7871" xr:uid="{535724BF-510E-4047-BEBC-971AC4B32393}"/>
    <cellStyle name="Normal 4 3 2 4" xfId="2954" xr:uid="{A9FD7A50-AF92-46E9-B0DE-DEF8A5AB0621}"/>
    <cellStyle name="Normal 4 3 2 4 2" xfId="3623" xr:uid="{1861C970-CC5A-4BEB-AD97-887F2A8BE552}"/>
    <cellStyle name="Normal 4 3 2 4 2 2" xfId="4110" xr:uid="{2BF53A3A-F0E2-4343-949F-36AB6E0EC5C3}"/>
    <cellStyle name="Normal 4 3 2 4 2 3" xfId="5415" xr:uid="{680C2FC2-EDD7-45A5-9E62-AF40623498E9}"/>
    <cellStyle name="Normal 4 3 2 4 2 4" xfId="6717" xr:uid="{44EBEF31-2104-42D7-A136-F7D56EFF9047}"/>
    <cellStyle name="Normal 4 3 2 4 2 5" xfId="8020" xr:uid="{928C73BF-82BC-4E69-8CE4-476CE249D364}"/>
    <cellStyle name="Normal 4 3 2 4 3" xfId="4346" xr:uid="{E4239C21-68E7-4041-A1FD-C9430CC5ED0E}"/>
    <cellStyle name="Normal 4 3 2 4 3 2" xfId="5651" xr:uid="{533A2BBB-9DCA-4BCD-BD8E-225808A54DC2}"/>
    <cellStyle name="Normal 4 3 2 4 3 3" xfId="6953" xr:uid="{4E99C710-684C-4678-9A9E-36DD32F05969}"/>
    <cellStyle name="Normal 4 3 2 4 4" xfId="4626" xr:uid="{4859B7E1-650D-47BF-B17A-4E70F187CD60}"/>
    <cellStyle name="Normal 4 3 2 4 4 2" xfId="5928" xr:uid="{2B7856AB-7031-49E7-B1BF-7C15E0B6FB0B}"/>
    <cellStyle name="Normal 4 3 2 4 4 3" xfId="7231" xr:uid="{73282A3A-70D0-4208-BA61-D9A9CBDC81A1}"/>
    <cellStyle name="Normal 4 3 2 4 5" xfId="4903" xr:uid="{39AEE28D-79D8-4FD9-A9AC-BCC8FDD141EE}"/>
    <cellStyle name="Normal 4 3 2 4 5 2" xfId="6205" xr:uid="{3D3A7957-1CEE-4A21-959C-47624FFF3733}"/>
    <cellStyle name="Normal 4 3 2 4 5 3" xfId="7508" xr:uid="{56E7A8BE-01CE-4C9A-9257-9F9598B944AA}"/>
    <cellStyle name="Normal 4 3 2 4 6" xfId="3881" xr:uid="{FC79378F-7994-4AD4-B047-5D3ACCCB7665}"/>
    <cellStyle name="Normal 4 3 2 4 7" xfId="5186" xr:uid="{014676BA-C1F4-4C7A-8ECA-10532C5D6629}"/>
    <cellStyle name="Normal 4 3 2 4 8" xfId="6488" xr:uid="{96F9D2D1-6683-489D-B296-089BF9B29A91}"/>
    <cellStyle name="Normal 4 3 2 4 9" xfId="7791" xr:uid="{ED81BF1B-1DD7-43B5-9516-97E3153AEC86}"/>
    <cellStyle name="Normal 4 3 2 5" xfId="3533" xr:uid="{2A1BC6D7-965B-4D75-8A88-2EC268E535D0}"/>
    <cellStyle name="Normal 4 3 2 5 2" xfId="4482" xr:uid="{8E9434C7-D1EC-4124-9F3C-8EC9BC4462C8}"/>
    <cellStyle name="Normal 4 3 2 5 2 2" xfId="5785" xr:uid="{46737FD6-8C85-4F93-BD1E-28EC87E66228}"/>
    <cellStyle name="Normal 4 3 2 5 2 3" xfId="7088" xr:uid="{45AD524E-1CC9-458F-9491-20156757F65A}"/>
    <cellStyle name="Normal 4 3 2 5 3" xfId="4760" xr:uid="{886A73EE-E751-45F7-A287-0CA9E8A67D50}"/>
    <cellStyle name="Normal 4 3 2 5 3 2" xfId="6062" xr:uid="{8F0E2738-1C1B-4A4D-9703-319374BF65E5}"/>
    <cellStyle name="Normal 4 3 2 5 3 3" xfId="7365" xr:uid="{14EE3D4B-C6E9-46E9-8FD4-91424DE33C69}"/>
    <cellStyle name="Normal 4 3 2 5 4" xfId="5037" xr:uid="{C773B7BB-DB5C-454F-9630-F7388C8B528F}"/>
    <cellStyle name="Normal 4 3 2 5 4 2" xfId="6339" xr:uid="{A1FDB714-A812-4C1B-9F50-F879DC00F36A}"/>
    <cellStyle name="Normal 4 3 2 5 4 3" xfId="7642" xr:uid="{193965D1-494B-4CAC-97F4-1C4C3C8AB27F}"/>
    <cellStyle name="Normal 4 3 2 5 5" xfId="4020" xr:uid="{4B06BAFA-CAAB-41DD-A2BE-9DD4C4C12EE3}"/>
    <cellStyle name="Normal 4 3 2 5 6" xfId="5325" xr:uid="{346ACF83-218D-4F86-B185-5399EEA7EB29}"/>
    <cellStyle name="Normal 4 3 2 5 7" xfId="6627" xr:uid="{F4B9EB3C-05E5-4716-B0D1-0817044DB106}"/>
    <cellStyle name="Normal 4 3 2 5 8" xfId="7930" xr:uid="{5416EB85-51AE-4A7C-85B4-9CDA457BC333}"/>
    <cellStyle name="Normal 4 3 2 6" xfId="4256" xr:uid="{7A9A75AE-4E0E-4C72-8393-72DDED64DB1D}"/>
    <cellStyle name="Normal 4 3 2 6 2" xfId="5561" xr:uid="{2283FDC4-21B2-48AE-AB80-BE49EE270FB2}"/>
    <cellStyle name="Normal 4 3 2 6 3" xfId="6863" xr:uid="{223810B6-BFA4-46AB-861F-56D83F4C59E1}"/>
    <cellStyle name="Normal 4 3 2 7" xfId="4536" xr:uid="{0FAF9742-F3D3-485C-934F-E9F1B6B3E3F9}"/>
    <cellStyle name="Normal 4 3 2 7 2" xfId="5838" xr:uid="{53A61299-66EC-4F3B-9955-38885F3EFD06}"/>
    <cellStyle name="Normal 4 3 2 7 3" xfId="7141" xr:uid="{9120E3AD-2635-437C-AE85-8728E3E538B0}"/>
    <cellStyle name="Normal 4 3 2 8" xfId="4813" xr:uid="{BF41787F-1EC6-422A-B36E-D0F6414FC573}"/>
    <cellStyle name="Normal 4 3 2 8 2" xfId="6115" xr:uid="{8C218B44-FDF4-4CA0-8061-2BA6EE2A7A1C}"/>
    <cellStyle name="Normal 4 3 2 8 3" xfId="7418" xr:uid="{6F27F069-B653-49DA-B5FC-984DE769FF6A}"/>
    <cellStyle name="Normal 4 3 2 9" xfId="3791" xr:uid="{8804FC65-AA88-4694-B905-DAE6D23982DD}"/>
    <cellStyle name="Normal 4 3 3" xfId="2892" xr:uid="{6C5564FB-3250-4620-823E-01C2904A3432}"/>
    <cellStyle name="Normal 4 3 3 10" xfId="7729" xr:uid="{349D0736-D030-46B9-AAC4-A3A833972020}"/>
    <cellStyle name="Normal 4 3 3 2" xfId="2993" xr:uid="{C673568D-B830-421D-9F57-682A545B10F2}"/>
    <cellStyle name="Normal 4 3 3 2 2" xfId="3662" xr:uid="{7993FE68-3A7B-45CD-8A86-C8FF0BCD0CE9}"/>
    <cellStyle name="Normal 4 3 3 2 2 2" xfId="4133" xr:uid="{FB9839D6-564E-4808-8745-41B6EFE2A475}"/>
    <cellStyle name="Normal 4 3 3 2 2 3" xfId="5438" xr:uid="{355B2135-9E17-49A6-A359-AC1E6CD4A1F9}"/>
    <cellStyle name="Normal 4 3 3 2 2 4" xfId="6740" xr:uid="{28B68F04-4FA3-456C-BD99-550878CBDDF2}"/>
    <cellStyle name="Normal 4 3 3 2 2 5" xfId="8043" xr:uid="{CF923373-417C-4AD4-8209-FC0AC3F2C7CB}"/>
    <cellStyle name="Normal 4 3 3 2 3" xfId="4369" xr:uid="{77D9F347-9DC2-4BC8-95C1-799AFD18365E}"/>
    <cellStyle name="Normal 4 3 3 2 3 2" xfId="5674" xr:uid="{6A99DBAC-B714-455B-916D-D0FBFF78C5B3}"/>
    <cellStyle name="Normal 4 3 3 2 3 3" xfId="6976" xr:uid="{43F6C59C-5B98-4F80-B721-CB2C842A219A}"/>
    <cellStyle name="Normal 4 3 3 2 4" xfId="4649" xr:uid="{7BEDCF63-57AE-40BD-A894-11236868930D}"/>
    <cellStyle name="Normal 4 3 3 2 4 2" xfId="5951" xr:uid="{2CD3C2B7-3479-447A-92DE-A64339593F51}"/>
    <cellStyle name="Normal 4 3 3 2 4 3" xfId="7254" xr:uid="{23C0F83A-06CE-4598-A2BD-E0AB8B3EED62}"/>
    <cellStyle name="Normal 4 3 3 2 5" xfId="4926" xr:uid="{B0737F3E-E92C-4F28-B46A-2CA4085AB354}"/>
    <cellStyle name="Normal 4 3 3 2 5 2" xfId="6228" xr:uid="{85D083E5-34A9-465B-AF4D-5648D8AD67A1}"/>
    <cellStyle name="Normal 4 3 3 2 5 3" xfId="7531" xr:uid="{FC77A4FF-C350-4F5C-9F70-DE58FC2009FD}"/>
    <cellStyle name="Normal 4 3 3 2 6" xfId="3904" xr:uid="{337195C7-0025-4046-A72B-9F3C1F39D90C}"/>
    <cellStyle name="Normal 4 3 3 2 7" xfId="5209" xr:uid="{36C6D901-AA3B-4B29-867E-D9F1731F470B}"/>
    <cellStyle name="Normal 4 3 3 2 8" xfId="6511" xr:uid="{75BA4E2C-6285-408E-A472-88728E514835}"/>
    <cellStyle name="Normal 4 3 3 2 9" xfId="7814" xr:uid="{8664615F-8A2C-4921-8A04-8BD51DE8F45E}"/>
    <cellStyle name="Normal 4 3 3 3" xfId="3561" xr:uid="{EBFA198F-0452-4CF7-B47B-FF3047664F36}"/>
    <cellStyle name="Normal 4 3 3 3 2" xfId="4048" xr:uid="{769F1C79-C9FB-4CD6-92BB-6F2C89139F82}"/>
    <cellStyle name="Normal 4 3 3 3 3" xfId="5353" xr:uid="{B4FF75E4-279A-4FFA-B402-58DC7E663C50}"/>
    <cellStyle name="Normal 4 3 3 3 4" xfId="6655" xr:uid="{0B1403FB-8C5C-4C8A-B90A-238F43B68D85}"/>
    <cellStyle name="Normal 4 3 3 3 5" xfId="7958" xr:uid="{69DBB436-9420-49CE-9173-6EA58E70C729}"/>
    <cellStyle name="Normal 4 3 3 4" xfId="4284" xr:uid="{D070D4DB-6809-441B-884D-A0F105016A33}"/>
    <cellStyle name="Normal 4 3 3 4 2" xfId="5589" xr:uid="{F997EAB9-28DC-4F35-BDCE-7E44D4F4E54F}"/>
    <cellStyle name="Normal 4 3 3 4 3" xfId="6891" xr:uid="{66501656-BD5C-4DC6-BA99-B48E9D7E76D5}"/>
    <cellStyle name="Normal 4 3 3 5" xfId="4564" xr:uid="{FD2C7492-7DA3-4438-8A39-B90253C9295E}"/>
    <cellStyle name="Normal 4 3 3 5 2" xfId="5866" xr:uid="{9B8FBDDD-519B-4206-AE7E-6A251983057E}"/>
    <cellStyle name="Normal 4 3 3 5 3" xfId="7169" xr:uid="{B66A4802-60AE-425F-B967-0D7297ABB72B}"/>
    <cellStyle name="Normal 4 3 3 6" xfId="4841" xr:uid="{D7FA1CD7-C19D-482B-BF11-6844C29F9328}"/>
    <cellStyle name="Normal 4 3 3 6 2" xfId="6143" xr:uid="{CDBD4F9A-27CA-4F9E-ABF9-F1074D9329F6}"/>
    <cellStyle name="Normal 4 3 3 6 3" xfId="7446" xr:uid="{41F70031-B71B-4B68-8872-854E19588036}"/>
    <cellStyle name="Normal 4 3 3 7" xfId="3819" xr:uid="{387BB816-9DBC-46E2-9976-1FCB1EBFDB83}"/>
    <cellStyle name="Normal 4 3 3 8" xfId="5124" xr:uid="{0243ACBB-57BC-4A80-BEA8-5EE0004EB340}"/>
    <cellStyle name="Normal 4 3 3 9" xfId="6426" xr:uid="{6CA9CE75-0954-4057-BCA1-85BCE35E47E6}"/>
    <cellStyle name="Normal 4 3 4" xfId="3436" xr:uid="{9D31176D-BE12-49D1-828B-B3658E91ABDD}"/>
    <cellStyle name="Normal 4 3 4 2" xfId="3702" xr:uid="{8B3D2050-B085-477E-9C06-E5213BFE71A6}"/>
    <cellStyle name="Normal 4 3 4 2 2" xfId="4173" xr:uid="{A032D4F7-B017-4C30-B7BF-609311918150}"/>
    <cellStyle name="Normal 4 3 4 2 3" xfId="5478" xr:uid="{4B9A1C55-011D-45AC-B02A-3CE347241BDA}"/>
    <cellStyle name="Normal 4 3 4 2 4" xfId="6780" xr:uid="{EBCDDC7C-7C20-4789-843E-7A00929A18BE}"/>
    <cellStyle name="Normal 4 3 4 2 5" xfId="8083" xr:uid="{05ABC46B-E752-49BF-A60A-8828C77DA0EA}"/>
    <cellStyle name="Normal 4 3 4 3" xfId="4409" xr:uid="{26C77E51-E04D-452D-8A97-A84091FA9B3A}"/>
    <cellStyle name="Normal 4 3 4 3 2" xfId="5714" xr:uid="{4E6D84D4-DBE7-4B97-BAC6-65EA70CD01E5}"/>
    <cellStyle name="Normal 4 3 4 3 3" xfId="7016" xr:uid="{BCADB475-6C30-4928-8A03-FC47E3F25EE5}"/>
    <cellStyle name="Normal 4 3 4 4" xfId="4689" xr:uid="{2402F4A7-9273-4B2C-8AEF-F68416412C6B}"/>
    <cellStyle name="Normal 4 3 4 4 2" xfId="5991" xr:uid="{C2B774DB-CC04-46F4-B6C6-469F7E329744}"/>
    <cellStyle name="Normal 4 3 4 4 3" xfId="7294" xr:uid="{452F5B93-DC45-4BE1-867E-9C34A1E836A2}"/>
    <cellStyle name="Normal 4 3 4 5" xfId="4966" xr:uid="{759BF295-64ED-4FDA-9E9C-7181589CDE7E}"/>
    <cellStyle name="Normal 4 3 4 5 2" xfId="6268" xr:uid="{F764C3B1-FFD0-4525-A196-B2E0FFB8A08B}"/>
    <cellStyle name="Normal 4 3 4 5 3" xfId="7571" xr:uid="{DB6C0160-FECB-47AD-B8CF-7B0BCCC96619}"/>
    <cellStyle name="Normal 4 3 4 6" xfId="3944" xr:uid="{850BF624-0E13-4E0B-B147-7AC9012492B6}"/>
    <cellStyle name="Normal 4 3 4 7" xfId="5249" xr:uid="{BC70F68C-F1D3-4AA7-8E11-858FDBC69FA6}"/>
    <cellStyle name="Normal 4 3 4 8" xfId="6551" xr:uid="{13C5B651-3455-4904-ADC1-6CD71FDA1146}"/>
    <cellStyle name="Normal 4 3 4 9" xfId="7854" xr:uid="{87B3D8CC-6014-45CF-B2AC-6DA472041AC7}"/>
    <cellStyle name="Normal 4 3 5" xfId="2937" xr:uid="{5A091B88-F41A-4AF7-91C4-1F079688941A}"/>
    <cellStyle name="Normal 4 3 5 2" xfId="3606" xr:uid="{6B8C2F25-0AB1-45B2-AE85-87D20184DFAC}"/>
    <cellStyle name="Normal 4 3 5 2 2" xfId="4093" xr:uid="{F310BB9B-D017-4BFE-BA80-13F26506427A}"/>
    <cellStyle name="Normal 4 3 5 2 3" xfId="5398" xr:uid="{CB77C657-498B-4582-B7E1-BBBD6EDD9705}"/>
    <cellStyle name="Normal 4 3 5 2 4" xfId="6700" xr:uid="{87F316E6-F061-4CC8-975A-A49493FF1F9D}"/>
    <cellStyle name="Normal 4 3 5 2 5" xfId="8003" xr:uid="{4ABB5226-DC82-48B3-A6A1-1F71EE06E39A}"/>
    <cellStyle name="Normal 4 3 5 3" xfId="4329" xr:uid="{D509FFF7-F5B8-4180-89A1-49B0F9604884}"/>
    <cellStyle name="Normal 4 3 5 3 2" xfId="5634" xr:uid="{CB7D2F57-ECDF-4927-AB2D-DFCD6131F3FA}"/>
    <cellStyle name="Normal 4 3 5 3 3" xfId="6936" xr:uid="{8E752806-2FF7-4048-BFD5-F0FEF3023EF0}"/>
    <cellStyle name="Normal 4 3 5 4" xfId="4609" xr:uid="{0731DEA1-24D4-4155-A5D3-BCEFF303A483}"/>
    <cellStyle name="Normal 4 3 5 4 2" xfId="5911" xr:uid="{C3866B2C-53DF-4C87-A9CD-C1798DA68EF9}"/>
    <cellStyle name="Normal 4 3 5 4 3" xfId="7214" xr:uid="{6BC3C8D5-D46A-49A4-AFB6-9848AF12FEC7}"/>
    <cellStyle name="Normal 4 3 5 5" xfId="4886" xr:uid="{A3BDEB96-F7D1-4A9D-8DC7-D1FE0205226B}"/>
    <cellStyle name="Normal 4 3 5 5 2" xfId="6188" xr:uid="{C4A6A8B8-4F8D-44CF-98BE-01FC8B51C11E}"/>
    <cellStyle name="Normal 4 3 5 5 3" xfId="7491" xr:uid="{D5920587-F198-4C85-84DC-EFC5C76C5EA7}"/>
    <cellStyle name="Normal 4 3 5 6" xfId="3864" xr:uid="{31AAC40B-52D1-4C31-A420-B1A6A404C009}"/>
    <cellStyle name="Normal 4 3 5 7" xfId="5169" xr:uid="{2CF76D98-A17B-4AE9-BB19-984A51D4235B}"/>
    <cellStyle name="Normal 4 3 5 8" xfId="6471" xr:uid="{4CB22FD5-54B6-456B-95F8-937DEA942A4E}"/>
    <cellStyle name="Normal 4 3 5 9" xfId="7774" xr:uid="{DA50F0CB-3FA3-4A05-A7D0-42CDD532005E}"/>
    <cellStyle name="Normal 4 3 6" xfId="3516" xr:uid="{7C95A12E-99DA-4C3A-82F2-8515CBB4FDA4}"/>
    <cellStyle name="Normal 4 3 6 2" xfId="4465" xr:uid="{484C40B8-636E-4FBA-9479-1A93CA6FBA53}"/>
    <cellStyle name="Normal 4 3 6 2 2" xfId="5768" xr:uid="{C103B59D-00E7-4318-B566-FDE965D2D807}"/>
    <cellStyle name="Normal 4 3 6 2 3" xfId="7071" xr:uid="{60D16D35-DD4D-4128-8A6C-C821681ECB49}"/>
    <cellStyle name="Normal 4 3 6 3" xfId="4743" xr:uid="{4C64A924-735E-485A-AF83-210035F63D86}"/>
    <cellStyle name="Normal 4 3 6 3 2" xfId="6045" xr:uid="{FD303DD6-F3DD-4968-B6F1-1A3FC2D8663F}"/>
    <cellStyle name="Normal 4 3 6 3 3" xfId="7348" xr:uid="{4A4062ED-44B9-4FB7-839B-418E11DA5D26}"/>
    <cellStyle name="Normal 4 3 6 4" xfId="5020" xr:uid="{35C7A96C-5D03-4691-B918-85BDBBC5D95F}"/>
    <cellStyle name="Normal 4 3 6 4 2" xfId="6322" xr:uid="{0AAFC1CF-81AA-4625-9832-6370146DEB7D}"/>
    <cellStyle name="Normal 4 3 6 4 3" xfId="7625" xr:uid="{39BAC35C-B69D-4F1B-9192-F3D22E2E3C79}"/>
    <cellStyle name="Normal 4 3 6 5" xfId="4003" xr:uid="{4D5124B9-AE22-4F26-B569-E113BE8207AF}"/>
    <cellStyle name="Normal 4 3 6 6" xfId="5308" xr:uid="{E17F2D1A-277C-46BF-812D-591D8EF31730}"/>
    <cellStyle name="Normal 4 3 6 7" xfId="6610" xr:uid="{FB69AB53-9A12-4323-B6D0-EE6B1CB9F988}"/>
    <cellStyle name="Normal 4 3 6 8" xfId="7913" xr:uid="{2294A589-D383-4428-B9F4-EC54F5D9BBCF}"/>
    <cellStyle name="Normal 4 3 7" xfId="4239" xr:uid="{8D39AE8F-EFD3-418A-9A63-88312EE91008}"/>
    <cellStyle name="Normal 4 3 7 2" xfId="5544" xr:uid="{17422ABF-1274-424E-A90F-F76025EB6DFC}"/>
    <cellStyle name="Normal 4 3 7 3" xfId="6846" xr:uid="{F5FC0464-0CBD-42C2-A192-EF10A917136B}"/>
    <cellStyle name="Normal 4 3 8" xfId="4519" xr:uid="{E5921B02-6DAB-48AB-8D73-7F9982B5B01F}"/>
    <cellStyle name="Normal 4 3 8 2" xfId="5821" xr:uid="{68E89949-669D-4367-A1E2-9FE81C77692A}"/>
    <cellStyle name="Normal 4 3 8 3" xfId="7124" xr:uid="{5FA342E1-0BAC-4851-8AAF-28BF81BC2571}"/>
    <cellStyle name="Normal 4 3 9" xfId="4796" xr:uid="{74AD8B7D-7410-45BE-9C6C-A52E4D565FDC}"/>
    <cellStyle name="Normal 4 3 9 2" xfId="6098" xr:uid="{EA88F572-47CB-4941-BCF8-4DCD8C98CFE4}"/>
    <cellStyle name="Normal 4 3 9 3" xfId="7401" xr:uid="{B4E7731C-A73C-48A0-A55C-FA6BE08C0423}"/>
    <cellStyle name="Normal 4 4" xfId="2547" xr:uid="{683AFC97-582C-4E34-8067-EC09875A9AB9}"/>
    <cellStyle name="Normal 4 4 10" xfId="3777" xr:uid="{7FDCDD4A-D3A0-42F1-BABE-957E7258EF80}"/>
    <cellStyle name="Normal 4 4 11" xfId="5082" xr:uid="{032F9265-F91C-435E-AD5F-1C400A368CAA}"/>
    <cellStyle name="Normal 4 4 12" xfId="6384" xr:uid="{BF9A00F8-28CD-4D52-8855-3EDC33F5C422}"/>
    <cellStyle name="Normal 4 4 13" xfId="7687" xr:uid="{A88F87EB-1C2E-4D5F-87DE-4C45C33C6D51}"/>
    <cellStyle name="Normal 4 4 2" xfId="2865" xr:uid="{8216E676-0380-4418-BBFC-D0237243BF10}"/>
    <cellStyle name="Normal 4 4 2 10" xfId="5099" xr:uid="{7C40A658-1920-407C-82C8-CA913A9CFB4D}"/>
    <cellStyle name="Normal 4 4 2 11" xfId="6401" xr:uid="{283D89AE-09D5-4F1D-BFA0-FB0E71387A29}"/>
    <cellStyle name="Normal 4 4 2 12" xfId="7704" xr:uid="{A25D7224-BC8F-4C7E-B04D-D6CEC59ED3A7}"/>
    <cellStyle name="Normal 4 4 2 2" xfId="2912" xr:uid="{D1C3E5ED-8916-4F22-A0A3-ABA9B2E6149C}"/>
    <cellStyle name="Normal 4 4 2 2 10" xfId="7749" xr:uid="{A356DA5D-35DF-41CF-938F-03E13A70420A}"/>
    <cellStyle name="Normal 4 4 2 2 2" xfId="3013" xr:uid="{538B5F16-6918-4B66-BF89-2DBE9395F28D}"/>
    <cellStyle name="Normal 4 4 2 2 2 2" xfId="3682" xr:uid="{335B424C-FD44-4748-84AD-75C32F4C7FE9}"/>
    <cellStyle name="Normal 4 4 2 2 2 2 2" xfId="4153" xr:uid="{A0B09306-CC34-4AAD-A604-FCCBD1F5DE08}"/>
    <cellStyle name="Normal 4 4 2 2 2 2 3" xfId="5458" xr:uid="{CCDDFEF4-0748-4104-9BE4-0AED8A94CB42}"/>
    <cellStyle name="Normal 4 4 2 2 2 2 4" xfId="6760" xr:uid="{23D86956-2CCA-466F-AD33-EF0659D20116}"/>
    <cellStyle name="Normal 4 4 2 2 2 2 5" xfId="8063" xr:uid="{1D53EBB7-0B6B-4203-B48D-E6FC017C0BF6}"/>
    <cellStyle name="Normal 4 4 2 2 2 3" xfId="4389" xr:uid="{360ED440-53F1-4EC7-8512-0136829ECFB4}"/>
    <cellStyle name="Normal 4 4 2 2 2 3 2" xfId="5694" xr:uid="{8F458E8D-7E3A-4C8C-AFFF-75BAED250B93}"/>
    <cellStyle name="Normal 4 4 2 2 2 3 3" xfId="6996" xr:uid="{52362778-FB3A-4C65-9960-4E3CF8F4C25B}"/>
    <cellStyle name="Normal 4 4 2 2 2 4" xfId="4669" xr:uid="{9F75D3FC-704D-44EB-A3B9-C23DE3049DCE}"/>
    <cellStyle name="Normal 4 4 2 2 2 4 2" xfId="5971" xr:uid="{B383AB00-3E41-4175-95A5-8FA0A0EA685F}"/>
    <cellStyle name="Normal 4 4 2 2 2 4 3" xfId="7274" xr:uid="{AB03D506-D63F-4446-AAFC-58ABE7CF489C}"/>
    <cellStyle name="Normal 4 4 2 2 2 5" xfId="4946" xr:uid="{C44C73C6-70C6-4560-9F21-996606BBD187}"/>
    <cellStyle name="Normal 4 4 2 2 2 5 2" xfId="6248" xr:uid="{31459D93-FF52-4F32-9102-625A26099117}"/>
    <cellStyle name="Normal 4 4 2 2 2 5 3" xfId="7551" xr:uid="{FDA83045-617D-444F-8B4D-79A76A583D61}"/>
    <cellStyle name="Normal 4 4 2 2 2 6" xfId="3924" xr:uid="{36FF7277-E812-424B-A613-ABAD552A4A12}"/>
    <cellStyle name="Normal 4 4 2 2 2 7" xfId="5229" xr:uid="{BF6060AF-DF79-42FD-A478-FED2084D73BB}"/>
    <cellStyle name="Normal 4 4 2 2 2 8" xfId="6531" xr:uid="{D34A8639-9E0F-4ADD-A10D-350478EDFD4E}"/>
    <cellStyle name="Normal 4 4 2 2 2 9" xfId="7834" xr:uid="{0B1AC3CC-B826-4F58-99F9-07D2AEF34B38}"/>
    <cellStyle name="Normal 4 4 2 2 3" xfId="3581" xr:uid="{48EED8D4-76B9-4A46-A51F-BC81D3E1D646}"/>
    <cellStyle name="Normal 4 4 2 2 3 2" xfId="4068" xr:uid="{CB1515C2-1B8A-4026-9D19-EDEED13B2A6A}"/>
    <cellStyle name="Normal 4 4 2 2 3 3" xfId="5373" xr:uid="{6994215B-B51E-403A-BA21-DF03CC2516EE}"/>
    <cellStyle name="Normal 4 4 2 2 3 4" xfId="6675" xr:uid="{958BC37C-6330-4C02-B737-BD19DAF371F8}"/>
    <cellStyle name="Normal 4 4 2 2 3 5" xfId="7978" xr:uid="{6EC06909-8514-440F-AE32-F7A3AF38E861}"/>
    <cellStyle name="Normal 4 4 2 2 4" xfId="4304" xr:uid="{1DDB29AF-E475-4745-A6B3-83F8EAEC2BDD}"/>
    <cellStyle name="Normal 4 4 2 2 4 2" xfId="5609" xr:uid="{45C53D04-C624-40E8-8242-15933680465C}"/>
    <cellStyle name="Normal 4 4 2 2 4 3" xfId="6911" xr:uid="{0EE3F41C-0C35-42FD-BE7D-7E8D2A8F34C2}"/>
    <cellStyle name="Normal 4 4 2 2 5" xfId="4584" xr:uid="{CCF52749-2277-4429-8D2D-56796A5632D1}"/>
    <cellStyle name="Normal 4 4 2 2 5 2" xfId="5886" xr:uid="{90654530-C755-434C-B5D9-10D730193858}"/>
    <cellStyle name="Normal 4 4 2 2 5 3" xfId="7189" xr:uid="{2C6E5103-60BB-44EF-8C09-E28B28D8934D}"/>
    <cellStyle name="Normal 4 4 2 2 6" xfId="4861" xr:uid="{483380ED-9473-4B2B-9056-913140D4C94D}"/>
    <cellStyle name="Normal 4 4 2 2 6 2" xfId="6163" xr:uid="{3377864F-1AD6-42AA-A837-177A1F14D0C1}"/>
    <cellStyle name="Normal 4 4 2 2 6 3" xfId="7466" xr:uid="{10F7237F-72FE-40FB-B1C1-D5BCE92B97A0}"/>
    <cellStyle name="Normal 4 4 2 2 7" xfId="3839" xr:uid="{B5D93525-6462-4EA4-8D37-3368485F7359}"/>
    <cellStyle name="Normal 4 4 2 2 8" xfId="5144" xr:uid="{A55F6392-2F7F-45ED-8E52-B30F7AE4F4CF}"/>
    <cellStyle name="Normal 4 4 2 2 9" xfId="6446" xr:uid="{84982D98-1D8C-4540-AC89-ACFC5CC51742}"/>
    <cellStyle name="Normal 4 4 2 3" xfId="3457" xr:uid="{603BC009-A252-49E1-A966-6BBF24B62296}"/>
    <cellStyle name="Normal 4 4 2 3 2" xfId="3722" xr:uid="{244380B4-5AEC-48D0-A2EF-A95450406E38}"/>
    <cellStyle name="Normal 4 4 2 3 2 2" xfId="4193" xr:uid="{37B6DDD6-4F74-4F20-B0C5-9C5D949AF4D1}"/>
    <cellStyle name="Normal 4 4 2 3 2 3" xfId="5498" xr:uid="{BE9818ED-EAA1-4B5B-8151-8A7BCBC8E7B7}"/>
    <cellStyle name="Normal 4 4 2 3 2 4" xfId="6800" xr:uid="{00DCCC6C-D9A2-43DF-9D92-3CA128B194F7}"/>
    <cellStyle name="Normal 4 4 2 3 2 5" xfId="8103" xr:uid="{8F63ACDF-E3F5-4306-8A75-963C2C887DB2}"/>
    <cellStyle name="Normal 4 4 2 3 3" xfId="4429" xr:uid="{A2D3FC14-CA80-472A-9579-2FF43E6282E6}"/>
    <cellStyle name="Normal 4 4 2 3 3 2" xfId="5734" xr:uid="{337D535B-2871-4377-B36D-A904651E88E4}"/>
    <cellStyle name="Normal 4 4 2 3 3 3" xfId="7036" xr:uid="{D6A12FDB-61BC-4134-B134-3520A61C4188}"/>
    <cellStyle name="Normal 4 4 2 3 4" xfId="4709" xr:uid="{38C66414-FAB1-4C6F-9616-C897B6A2E409}"/>
    <cellStyle name="Normal 4 4 2 3 4 2" xfId="6011" xr:uid="{8DE3FB37-0B35-46F3-B05D-8E7236843C74}"/>
    <cellStyle name="Normal 4 4 2 3 4 3" xfId="7314" xr:uid="{E63AE3E7-0DF8-48C0-B460-65F1F3F2566B}"/>
    <cellStyle name="Normal 4 4 2 3 5" xfId="4986" xr:uid="{7C262D69-2964-4B42-BE33-648774237A06}"/>
    <cellStyle name="Normal 4 4 2 3 5 2" xfId="6288" xr:uid="{D8F42430-9CD6-4209-A726-396E04882DE9}"/>
    <cellStyle name="Normal 4 4 2 3 5 3" xfId="7591" xr:uid="{C1573B3A-0B09-4BAA-93DE-0DC69A72BAA7}"/>
    <cellStyle name="Normal 4 4 2 3 6" xfId="3964" xr:uid="{EE0C0E5B-AD98-4589-8C40-C121E0CF1378}"/>
    <cellStyle name="Normal 4 4 2 3 7" xfId="5269" xr:uid="{AFA59077-63BB-4589-9B43-A3874A065DC3}"/>
    <cellStyle name="Normal 4 4 2 3 8" xfId="6571" xr:uid="{4082560C-3779-4CE3-A677-4140AE31A11B}"/>
    <cellStyle name="Normal 4 4 2 3 9" xfId="7874" xr:uid="{14937B12-054D-45A3-9EB0-BDA78E38C3CC}"/>
    <cellStyle name="Normal 4 4 2 4" xfId="2957" xr:uid="{B6BD8F4B-7DE3-4A49-8A75-171644DE4B45}"/>
    <cellStyle name="Normal 4 4 2 4 2" xfId="3626" xr:uid="{C6ED27FC-A2F5-473D-B52E-DA25506805BC}"/>
    <cellStyle name="Normal 4 4 2 4 2 2" xfId="4113" xr:uid="{1D32AF7C-7174-4878-8334-875343BBE464}"/>
    <cellStyle name="Normal 4 4 2 4 2 3" xfId="5418" xr:uid="{365DC68E-9DB5-4561-866B-1F0939F1762B}"/>
    <cellStyle name="Normal 4 4 2 4 2 4" xfId="6720" xr:uid="{8552C880-0137-4127-ACB6-1401D1390482}"/>
    <cellStyle name="Normal 4 4 2 4 2 5" xfId="8023" xr:uid="{2FA75AC0-B7CC-4D54-A73F-AEF03766496B}"/>
    <cellStyle name="Normal 4 4 2 4 3" xfId="4349" xr:uid="{54F3FB02-A1F8-4CF8-81E6-B1BA608FF9F6}"/>
    <cellStyle name="Normal 4 4 2 4 3 2" xfId="5654" xr:uid="{7BF14930-280E-4354-AF92-59B3BD08754F}"/>
    <cellStyle name="Normal 4 4 2 4 3 3" xfId="6956" xr:uid="{7EFD9A41-5BDE-4D19-90C8-2A7A78CE59AC}"/>
    <cellStyle name="Normal 4 4 2 4 4" xfId="4629" xr:uid="{7B0619A4-76D5-4FCD-9D84-8E627E3626B2}"/>
    <cellStyle name="Normal 4 4 2 4 4 2" xfId="5931" xr:uid="{F71AFA4B-E43C-46A9-B4A8-2BEE6577EC20}"/>
    <cellStyle name="Normal 4 4 2 4 4 3" xfId="7234" xr:uid="{97CD33EE-365E-4977-A04C-521EE8D26B02}"/>
    <cellStyle name="Normal 4 4 2 4 5" xfId="4906" xr:uid="{58316C89-5B31-4B9B-8798-70F38234925A}"/>
    <cellStyle name="Normal 4 4 2 4 5 2" xfId="6208" xr:uid="{B60604F0-2533-4DAB-A928-DBEBF4C4D454}"/>
    <cellStyle name="Normal 4 4 2 4 5 3" xfId="7511" xr:uid="{8ED4106F-6DF1-4E84-9995-9F62EF5D341B}"/>
    <cellStyle name="Normal 4 4 2 4 6" xfId="3884" xr:uid="{14BCEBC0-83CD-423A-8096-52878A40EB6F}"/>
    <cellStyle name="Normal 4 4 2 4 7" xfId="5189" xr:uid="{595F7576-1D81-4D08-A027-D54EBE5D0192}"/>
    <cellStyle name="Normal 4 4 2 4 8" xfId="6491" xr:uid="{E785A12E-B32A-4041-A8FC-C9B0EDED7475}"/>
    <cellStyle name="Normal 4 4 2 4 9" xfId="7794" xr:uid="{64053AE9-5C0E-4FFF-8540-E590CA433B31}"/>
    <cellStyle name="Normal 4 4 2 5" xfId="3536" xr:uid="{1B9216E6-0302-4DDB-842E-1C4D5D558AF7}"/>
    <cellStyle name="Normal 4 4 2 5 2" xfId="4485" xr:uid="{945920EC-BACC-4E90-9F34-DC43AB45D7F5}"/>
    <cellStyle name="Normal 4 4 2 5 2 2" xfId="5788" xr:uid="{05F78435-D269-4028-BF3F-6505183D6CA3}"/>
    <cellStyle name="Normal 4 4 2 5 2 3" xfId="7091" xr:uid="{94290FC8-73A2-413D-872C-0A8F6376CD97}"/>
    <cellStyle name="Normal 4 4 2 5 3" xfId="4763" xr:uid="{BD187D99-9E1F-4CE2-91AD-0BB988A96141}"/>
    <cellStyle name="Normal 4 4 2 5 3 2" xfId="6065" xr:uid="{52156D1C-03B4-4A5C-BFF7-2AAB8F971FE3}"/>
    <cellStyle name="Normal 4 4 2 5 3 3" xfId="7368" xr:uid="{BA3E8B3D-9BD2-4F96-ACF2-20E0FFC73BA0}"/>
    <cellStyle name="Normal 4 4 2 5 4" xfId="5040" xr:uid="{B20E7144-53B7-4C3A-A602-F6ED57C4A15D}"/>
    <cellStyle name="Normal 4 4 2 5 4 2" xfId="6342" xr:uid="{2737FF57-57D0-4CD1-9F79-F6B11476080B}"/>
    <cellStyle name="Normal 4 4 2 5 4 3" xfId="7645" xr:uid="{2D751D2F-9506-4D8E-85B6-E4EBBA6254BF}"/>
    <cellStyle name="Normal 4 4 2 5 5" xfId="4023" xr:uid="{D3FF291F-D048-4D01-97BC-8AC9EDBF7D4F}"/>
    <cellStyle name="Normal 4 4 2 5 6" xfId="5328" xr:uid="{07338EF6-637F-46A8-8D64-BA6CF6540E8D}"/>
    <cellStyle name="Normal 4 4 2 5 7" xfId="6630" xr:uid="{325839E4-9239-4B35-B7EE-ACAF3CF1B5A4}"/>
    <cellStyle name="Normal 4 4 2 5 8" xfId="7933" xr:uid="{DC501374-AF98-421A-A0AE-780D5980AEEA}"/>
    <cellStyle name="Normal 4 4 2 6" xfId="4259" xr:uid="{25ACE68B-799A-403B-BD47-4098FD03A7DD}"/>
    <cellStyle name="Normal 4 4 2 6 2" xfId="5564" xr:uid="{4CB3F57A-0814-4E21-B494-762A6CE2A49E}"/>
    <cellStyle name="Normal 4 4 2 6 3" xfId="6866" xr:uid="{FBA00BE7-001F-45FE-AB11-851D2957E702}"/>
    <cellStyle name="Normal 4 4 2 7" xfId="4539" xr:uid="{44B3382D-17F7-45A9-9484-C42E7786195D}"/>
    <cellStyle name="Normal 4 4 2 7 2" xfId="5841" xr:uid="{339D17AC-7AB1-492F-B5C1-6762AFFA488B}"/>
    <cellStyle name="Normal 4 4 2 7 3" xfId="7144" xr:uid="{69F5CE17-1108-4AC8-ABDB-F296B56AC7B4}"/>
    <cellStyle name="Normal 4 4 2 8" xfId="4816" xr:uid="{D701A093-06AF-4559-95A0-276D4D43D47C}"/>
    <cellStyle name="Normal 4 4 2 8 2" xfId="6118" xr:uid="{C7654EA5-490D-432B-9078-52422F414821}"/>
    <cellStyle name="Normal 4 4 2 8 3" xfId="7421" xr:uid="{0B5809B2-3938-4E94-9B22-756B27A00E5C}"/>
    <cellStyle name="Normal 4 4 2 9" xfId="3794" xr:uid="{772C4A4B-EDC5-445D-BE81-F80AA567B428}"/>
    <cellStyle name="Normal 4 4 3" xfId="2895" xr:uid="{31D89E02-9E55-42A5-9DC4-1228FD145ADF}"/>
    <cellStyle name="Normal 4 4 3 10" xfId="7732" xr:uid="{261739DF-5C2E-4092-9E23-C5AD093A3A6E}"/>
    <cellStyle name="Normal 4 4 3 2" xfId="2996" xr:uid="{08E4F956-9DC8-4470-AAB7-3C6C658BCCD1}"/>
    <cellStyle name="Normal 4 4 3 2 2" xfId="3665" xr:uid="{56F916F1-3B59-4C13-B7CF-6FFD72C16681}"/>
    <cellStyle name="Normal 4 4 3 2 2 2" xfId="4136" xr:uid="{CE46E7C2-3495-4DEB-B9FC-8759F53E7D3A}"/>
    <cellStyle name="Normal 4 4 3 2 2 3" xfId="5441" xr:uid="{660C9D22-70CC-42A4-964A-CB044F88B8FD}"/>
    <cellStyle name="Normal 4 4 3 2 2 4" xfId="6743" xr:uid="{2DBFBB9F-02A7-429F-BFB5-BE03D0B3B3F0}"/>
    <cellStyle name="Normal 4 4 3 2 2 5" xfId="8046" xr:uid="{060C618E-EF84-4E7F-8DC7-5C28D0368636}"/>
    <cellStyle name="Normal 4 4 3 2 3" xfId="4372" xr:uid="{D95B8E84-A5A7-46F4-8998-88240645C5A3}"/>
    <cellStyle name="Normal 4 4 3 2 3 2" xfId="5677" xr:uid="{FD0DCDA1-7FA0-4E11-B768-225F89B48799}"/>
    <cellStyle name="Normal 4 4 3 2 3 3" xfId="6979" xr:uid="{66687CE1-14D1-4517-ABD8-F4C51CCBB0C6}"/>
    <cellStyle name="Normal 4 4 3 2 4" xfId="4652" xr:uid="{5C2EFA12-2F12-4582-8B53-BE223DAC89FF}"/>
    <cellStyle name="Normal 4 4 3 2 4 2" xfId="5954" xr:uid="{64FBAEE1-BD51-4C0E-AA40-AC5CA37DAFD2}"/>
    <cellStyle name="Normal 4 4 3 2 4 3" xfId="7257" xr:uid="{7570ABD2-DAC6-45AA-9288-A24353543146}"/>
    <cellStyle name="Normal 4 4 3 2 5" xfId="4929" xr:uid="{D0093291-8142-49F5-A065-039527C8FFEF}"/>
    <cellStyle name="Normal 4 4 3 2 5 2" xfId="6231" xr:uid="{23098075-9A9A-43F3-AEDC-E9CF84EAFD2B}"/>
    <cellStyle name="Normal 4 4 3 2 5 3" xfId="7534" xr:uid="{A6197D94-4C8A-488C-A349-24A65E6D44B8}"/>
    <cellStyle name="Normal 4 4 3 2 6" xfId="3907" xr:uid="{CBDD97DF-213D-4AC9-84E4-A3E191A95865}"/>
    <cellStyle name="Normal 4 4 3 2 7" xfId="5212" xr:uid="{0D392A96-6C1A-4ADA-96C4-29E7C0388C62}"/>
    <cellStyle name="Normal 4 4 3 2 8" xfId="6514" xr:uid="{8472AC3C-7430-4D2A-B3A6-C19BA9961EB3}"/>
    <cellStyle name="Normal 4 4 3 2 9" xfId="7817" xr:uid="{2F6AA4AA-D6DE-49F3-90BB-9DF1FDD8ABDF}"/>
    <cellStyle name="Normal 4 4 3 3" xfId="3564" xr:uid="{94591AE2-72AD-46F7-A8E0-36A4C1395603}"/>
    <cellStyle name="Normal 4 4 3 3 2" xfId="4051" xr:uid="{2E3B9278-6053-4774-9522-7DDE6F4140A9}"/>
    <cellStyle name="Normal 4 4 3 3 3" xfId="5356" xr:uid="{18068689-FAA9-4689-A7AD-391E8E08C879}"/>
    <cellStyle name="Normal 4 4 3 3 4" xfId="6658" xr:uid="{ADC5800B-7D29-4CB3-93A8-09D828880C36}"/>
    <cellStyle name="Normal 4 4 3 3 5" xfId="7961" xr:uid="{0E5A9EBD-01D0-4991-912F-CA270F108EB6}"/>
    <cellStyle name="Normal 4 4 3 4" xfId="4287" xr:uid="{D6424C90-B1E1-4591-A59E-6736D196AB8E}"/>
    <cellStyle name="Normal 4 4 3 4 2" xfId="5592" xr:uid="{85F4CA03-49D6-4638-A699-65406B17E4BA}"/>
    <cellStyle name="Normal 4 4 3 4 3" xfId="6894" xr:uid="{E5FFC550-C3E0-4343-A77A-D400748D9BD6}"/>
    <cellStyle name="Normal 4 4 3 5" xfId="4567" xr:uid="{8920A8F6-6ADD-4B6A-9809-622AECE9BF1F}"/>
    <cellStyle name="Normal 4 4 3 5 2" xfId="5869" xr:uid="{5A948320-DB3B-4E74-BDED-FC329914781B}"/>
    <cellStyle name="Normal 4 4 3 5 3" xfId="7172" xr:uid="{F9525B0B-E65B-4AFB-A143-46C60C5DDD53}"/>
    <cellStyle name="Normal 4 4 3 6" xfId="4844" xr:uid="{2A37F4FD-518D-4290-8B29-6B799572F472}"/>
    <cellStyle name="Normal 4 4 3 6 2" xfId="6146" xr:uid="{1EE25E15-6BB5-487D-AE1D-1A82B26F0AE7}"/>
    <cellStyle name="Normal 4 4 3 6 3" xfId="7449" xr:uid="{B9FFFF63-8092-4A02-AA32-88DC254F7FB7}"/>
    <cellStyle name="Normal 4 4 3 7" xfId="3822" xr:uid="{D1C0310E-D8D1-49A4-BA25-D92C0BC68209}"/>
    <cellStyle name="Normal 4 4 3 8" xfId="5127" xr:uid="{66A6AD02-9A62-45D4-B098-CB11EC4077E8}"/>
    <cellStyle name="Normal 4 4 3 9" xfId="6429" xr:uid="{02C6FE61-3508-48E1-9B47-24F6166FAF9D}"/>
    <cellStyle name="Normal 4 4 4" xfId="3439" xr:uid="{2C59E7BB-97B5-4DF7-829F-EE7A50649E81}"/>
    <cellStyle name="Normal 4 4 4 2" xfId="3705" xr:uid="{98E0296E-A976-4DB9-9CA4-2839128A46C2}"/>
    <cellStyle name="Normal 4 4 4 2 2" xfId="4176" xr:uid="{E166F92C-E1BE-4A4A-A80C-AC4B41BBB1A6}"/>
    <cellStyle name="Normal 4 4 4 2 3" xfId="5481" xr:uid="{675B06FF-1C1D-4CF6-B783-81189AD52B20}"/>
    <cellStyle name="Normal 4 4 4 2 4" xfId="6783" xr:uid="{20F40AB3-D3E8-4C9E-BDBD-2D06E70E26FB}"/>
    <cellStyle name="Normal 4 4 4 2 5" xfId="8086" xr:uid="{1AF9A8D8-FA33-4F4E-8B9D-5A870D90F287}"/>
    <cellStyle name="Normal 4 4 4 3" xfId="4412" xr:uid="{4A7432D6-7B65-4C4E-AECC-344907048773}"/>
    <cellStyle name="Normal 4 4 4 3 2" xfId="5717" xr:uid="{6AD0DFC4-06D7-46F1-8CB4-4524746A7B1C}"/>
    <cellStyle name="Normal 4 4 4 3 3" xfId="7019" xr:uid="{A6E12BEB-952C-42D0-ABB6-183BB4A2A9DA}"/>
    <cellStyle name="Normal 4 4 4 4" xfId="4692" xr:uid="{697D10F2-44D2-4D26-B844-50DD5BA2BADF}"/>
    <cellStyle name="Normal 4 4 4 4 2" xfId="5994" xr:uid="{FEE5B07A-9E1F-45EB-B8F0-5B441321BEA9}"/>
    <cellStyle name="Normal 4 4 4 4 3" xfId="7297" xr:uid="{E855F655-A14D-41F6-9500-99B322348FC5}"/>
    <cellStyle name="Normal 4 4 4 5" xfId="4969" xr:uid="{036E2BDA-1436-4F3A-9698-FA4A2DC96099}"/>
    <cellStyle name="Normal 4 4 4 5 2" xfId="6271" xr:uid="{02441926-BAC1-4243-B97E-F82A89E3220B}"/>
    <cellStyle name="Normal 4 4 4 5 3" xfId="7574" xr:uid="{B3857B6A-B6D3-4B71-BC40-57449218A1E8}"/>
    <cellStyle name="Normal 4 4 4 6" xfId="3947" xr:uid="{C0FB1629-2D08-40FF-A319-C8E7C8E449F9}"/>
    <cellStyle name="Normal 4 4 4 7" xfId="5252" xr:uid="{E648998F-4346-4576-8EAE-873CB21F8686}"/>
    <cellStyle name="Normal 4 4 4 8" xfId="6554" xr:uid="{BEB8405A-FB6C-4627-829E-247EAAD5594D}"/>
    <cellStyle name="Normal 4 4 4 9" xfId="7857" xr:uid="{7A325A45-2F9A-4E59-84FC-420271F2A1EF}"/>
    <cellStyle name="Normal 4 4 5" xfId="2940" xr:uid="{D339D396-524A-4FC5-93FD-8ADCB9EC87F1}"/>
    <cellStyle name="Normal 4 4 5 2" xfId="3609" xr:uid="{8A005C51-8150-44F5-B3F9-8A689A25B884}"/>
    <cellStyle name="Normal 4 4 5 2 2" xfId="4096" xr:uid="{6F64069E-4F09-4DE1-9838-CE2E6029D876}"/>
    <cellStyle name="Normal 4 4 5 2 3" xfId="5401" xr:uid="{D20CE3DC-ECCF-4FB0-B4F5-C820DD08F026}"/>
    <cellStyle name="Normal 4 4 5 2 4" xfId="6703" xr:uid="{6AD0CF37-1849-49ED-9051-79D8D59DFB47}"/>
    <cellStyle name="Normal 4 4 5 2 5" xfId="8006" xr:uid="{314EA937-7E1D-4C26-84F0-03C701277AB8}"/>
    <cellStyle name="Normal 4 4 5 3" xfId="4332" xr:uid="{DBE7DE6D-CCCC-407A-809A-F9021E496592}"/>
    <cellStyle name="Normal 4 4 5 3 2" xfId="5637" xr:uid="{DA4A51F6-9F24-4922-9FBA-04F68C8D4791}"/>
    <cellStyle name="Normal 4 4 5 3 3" xfId="6939" xr:uid="{37A0805A-E460-40DA-AEAE-F9BD2A621F09}"/>
    <cellStyle name="Normal 4 4 5 4" xfId="4612" xr:uid="{AFFCD7C3-D6B3-46D7-A218-A5371FF85BC1}"/>
    <cellStyle name="Normal 4 4 5 4 2" xfId="5914" xr:uid="{77C94074-2895-4D9B-98FD-CE19EC853CD2}"/>
    <cellStyle name="Normal 4 4 5 4 3" xfId="7217" xr:uid="{39E4FD0B-5EA2-4407-9DA4-A9AE1E490E9E}"/>
    <cellStyle name="Normal 4 4 5 5" xfId="4889" xr:uid="{1D9D560E-B026-4EF4-B52E-92292210EBBE}"/>
    <cellStyle name="Normal 4 4 5 5 2" xfId="6191" xr:uid="{FD3A1D84-17FE-4254-95EA-EBD5B2692CE4}"/>
    <cellStyle name="Normal 4 4 5 5 3" xfId="7494" xr:uid="{E33BE594-1DD6-4DAE-9D69-C8B7C7C0C971}"/>
    <cellStyle name="Normal 4 4 5 6" xfId="3867" xr:uid="{D0043DD2-C859-4F62-8B33-1EC54D453D59}"/>
    <cellStyle name="Normal 4 4 5 7" xfId="5172" xr:uid="{87CC1F27-600D-4982-B84D-FECD93B6123E}"/>
    <cellStyle name="Normal 4 4 5 8" xfId="6474" xr:uid="{9047172F-9F77-493D-AD71-41EC6C4C44C2}"/>
    <cellStyle name="Normal 4 4 5 9" xfId="7777" xr:uid="{31F27259-133E-4088-9A0A-DE88A6647B14}"/>
    <cellStyle name="Normal 4 4 6" xfId="3519" xr:uid="{12B38230-8BF1-4B5B-A331-B6FB04606618}"/>
    <cellStyle name="Normal 4 4 6 2" xfId="4468" xr:uid="{D9CDA9C4-965A-43F3-A80C-9065DE68BBF4}"/>
    <cellStyle name="Normal 4 4 6 2 2" xfId="5771" xr:uid="{AAAD30AB-B842-4494-BED9-201765433FFA}"/>
    <cellStyle name="Normal 4 4 6 2 3" xfId="7074" xr:uid="{CC6F5754-7862-474E-8AD6-10942909A1CF}"/>
    <cellStyle name="Normal 4 4 6 3" xfId="4746" xr:uid="{03C58209-E6B7-43BC-9C7D-06AAD6F96605}"/>
    <cellStyle name="Normal 4 4 6 3 2" xfId="6048" xr:uid="{15684089-81BC-4696-981B-983A5DAF854A}"/>
    <cellStyle name="Normal 4 4 6 3 3" xfId="7351" xr:uid="{A7EA9D41-7A4B-4C3B-A131-251992B24769}"/>
    <cellStyle name="Normal 4 4 6 4" xfId="5023" xr:uid="{B5CE67D9-5D94-4045-87CE-541017240937}"/>
    <cellStyle name="Normal 4 4 6 4 2" xfId="6325" xr:uid="{7BCCED37-32A7-44D5-8E28-F53916ED4540}"/>
    <cellStyle name="Normal 4 4 6 4 3" xfId="7628" xr:uid="{92073293-F555-4842-86C4-03AC341C067D}"/>
    <cellStyle name="Normal 4 4 6 5" xfId="4006" xr:uid="{DF1570D9-3450-44D8-9B6E-EBC8C3D8BED4}"/>
    <cellStyle name="Normal 4 4 6 6" xfId="5311" xr:uid="{85770851-E8DD-4E9C-95A4-F7B1DED4A44D}"/>
    <cellStyle name="Normal 4 4 6 7" xfId="6613" xr:uid="{F33656CC-AA48-4003-94D4-64B384B48F0F}"/>
    <cellStyle name="Normal 4 4 6 8" xfId="7916" xr:uid="{C67F5F23-4450-4125-8C08-86ABEDB0E688}"/>
    <cellStyle name="Normal 4 4 7" xfId="4242" xr:uid="{841227EB-FC45-4826-A64F-F40E66E72D08}"/>
    <cellStyle name="Normal 4 4 7 2" xfId="5547" xr:uid="{02FC6767-C846-4158-ACAF-E5C210CE1D8D}"/>
    <cellStyle name="Normal 4 4 7 3" xfId="6849" xr:uid="{20F668A6-9D7D-4EA7-A6CB-FEA22564F020}"/>
    <cellStyle name="Normal 4 4 8" xfId="4522" xr:uid="{5187D7F4-E2D2-4505-8B6A-32F0E16160DA}"/>
    <cellStyle name="Normal 4 4 8 2" xfId="5824" xr:uid="{39437F3C-B568-41CF-9255-2DFC1DC92FCF}"/>
    <cellStyle name="Normal 4 4 8 3" xfId="7127" xr:uid="{67EF103E-BB68-4371-8D4E-638100881BC1}"/>
    <cellStyle name="Normal 4 4 9" xfId="4799" xr:uid="{3675C4C6-A625-4955-813B-8B0EC42166CE}"/>
    <cellStyle name="Normal 4 4 9 2" xfId="6101" xr:uid="{172A7408-1758-40F5-8316-D0247671989B}"/>
    <cellStyle name="Normal 4 4 9 3" xfId="7404" xr:uid="{DAE6AF25-85AB-445A-A780-046389A2E335}"/>
    <cellStyle name="Normal 4 5" xfId="225" xr:uid="{8CF63C10-DC47-48BD-A651-508081AEDDEF}"/>
    <cellStyle name="Normal 4 5 10" xfId="5072" xr:uid="{D9A6B9CA-4469-499E-9F6B-B77FF2717373}"/>
    <cellStyle name="Normal 4 5 11" xfId="6374" xr:uid="{FE401C5E-5BE1-4D83-B58A-CED5BE7A8DFC}"/>
    <cellStyle name="Normal 4 5 12" xfId="7677" xr:uid="{E6BE0BF6-753C-4835-B7AA-B693E0AE7A32}"/>
    <cellStyle name="Normal 4 5 2" xfId="2885" xr:uid="{A8DCCA32-5E75-40C7-B21F-3ADF6F86E9D9}"/>
    <cellStyle name="Normal 4 5 2 10" xfId="7722" xr:uid="{F23E0DAF-BD15-4C72-B930-E939779461EA}"/>
    <cellStyle name="Normal 4 5 2 2" xfId="2979" xr:uid="{B83334FF-A5A3-4233-A7C8-6A92D06CEFE8}"/>
    <cellStyle name="Normal 4 5 2 2 2" xfId="3648" xr:uid="{8D301BFA-DCF3-4A7A-A44D-12C5306B4AB8}"/>
    <cellStyle name="Normal 4 5 2 2 2 2" xfId="4126" xr:uid="{849BF680-40E0-455C-A0B2-CCE75B1C44A5}"/>
    <cellStyle name="Normal 4 5 2 2 2 3" xfId="5431" xr:uid="{DAEB5664-F3F0-4F9B-A22F-8CF1AD71A981}"/>
    <cellStyle name="Normal 4 5 2 2 2 4" xfId="6733" xr:uid="{3D1486CA-6ABE-412D-A166-DDF7B77AD9DE}"/>
    <cellStyle name="Normal 4 5 2 2 2 5" xfId="8036" xr:uid="{6B4121DA-78E4-4FED-A7EB-36AFE2F0553E}"/>
    <cellStyle name="Normal 4 5 2 2 3" xfId="4362" xr:uid="{17293A06-2A57-414E-90DA-E89CABE9F896}"/>
    <cellStyle name="Normal 4 5 2 2 3 2" xfId="5667" xr:uid="{895EC3D7-9CDA-4E1A-89FD-6C4887CB4497}"/>
    <cellStyle name="Normal 4 5 2 2 3 3" xfId="6969" xr:uid="{F4C8C34C-C31C-413A-ABA3-100767958FCE}"/>
    <cellStyle name="Normal 4 5 2 2 4" xfId="4642" xr:uid="{5424F25C-DADC-4E68-A1B1-CB88222B5E24}"/>
    <cellStyle name="Normal 4 5 2 2 4 2" xfId="5944" xr:uid="{A2D7DE6F-0550-468A-A584-B41803B7E119}"/>
    <cellStyle name="Normal 4 5 2 2 4 3" xfId="7247" xr:uid="{3E96E844-A7FD-45F0-9C8E-455E57C99B35}"/>
    <cellStyle name="Normal 4 5 2 2 5" xfId="4919" xr:uid="{E0BA0C80-07CF-4A0A-9295-636481675131}"/>
    <cellStyle name="Normal 4 5 2 2 5 2" xfId="6221" xr:uid="{49F2C077-1D59-498C-AA2B-2CA70DFA5A76}"/>
    <cellStyle name="Normal 4 5 2 2 5 3" xfId="7524" xr:uid="{69D57AE7-D038-4234-B035-8FB867D74C7B}"/>
    <cellStyle name="Normal 4 5 2 2 6" xfId="3897" xr:uid="{427CE5D6-7DC1-4AEC-BCAD-11501E26F39B}"/>
    <cellStyle name="Normal 4 5 2 2 7" xfId="5202" xr:uid="{0D2B1375-BB3A-4538-916A-63AB2487A670}"/>
    <cellStyle name="Normal 4 5 2 2 8" xfId="6504" xr:uid="{5D8D069E-EF11-425B-8CF7-1DD2F5EF9882}"/>
    <cellStyle name="Normal 4 5 2 2 9" xfId="7807" xr:uid="{37E28AA9-AAC1-4447-AEBB-0BD0414F57A5}"/>
    <cellStyle name="Normal 4 5 2 3" xfId="3554" xr:uid="{7D9911A8-E0D2-4AE2-829D-199C5E3823B4}"/>
    <cellStyle name="Normal 4 5 2 3 2" xfId="4041" xr:uid="{78138A8F-0D90-4199-AC26-4B510D39A7A9}"/>
    <cellStyle name="Normal 4 5 2 3 3" xfId="5346" xr:uid="{5FAFC9A4-8E53-47C4-8DD9-CCF727B5F770}"/>
    <cellStyle name="Normal 4 5 2 3 4" xfId="6648" xr:uid="{17AA3497-E49D-4DD1-863B-E71B00C385F7}"/>
    <cellStyle name="Normal 4 5 2 3 5" xfId="7951" xr:uid="{7EB32B20-35A3-44F8-8105-865801424C99}"/>
    <cellStyle name="Normal 4 5 2 4" xfId="4277" xr:uid="{6319DBDB-8BD8-4C5A-9F65-A5280D9DB5CB}"/>
    <cellStyle name="Normal 4 5 2 4 2" xfId="5582" xr:uid="{F1020E92-F237-4333-95E6-8E0C93F906A2}"/>
    <cellStyle name="Normal 4 5 2 4 3" xfId="6884" xr:uid="{4C68DF21-F08B-4475-8616-0DFCB8BEF566}"/>
    <cellStyle name="Normal 4 5 2 5" xfId="4557" xr:uid="{1D706B51-1EAA-44A0-A8A3-2D3D3EC03F40}"/>
    <cellStyle name="Normal 4 5 2 5 2" xfId="5859" xr:uid="{BC5E405E-EC43-459E-9DBF-B0161BE7C2D0}"/>
    <cellStyle name="Normal 4 5 2 5 3" xfId="7162" xr:uid="{D6E29AD5-227B-4C24-BEEA-DDD309CE2A84}"/>
    <cellStyle name="Normal 4 5 2 6" xfId="4834" xr:uid="{66BC1DF0-44A1-4754-AC63-189D212ABA33}"/>
    <cellStyle name="Normal 4 5 2 6 2" xfId="6136" xr:uid="{F037C381-B412-4BF6-8BAA-410E65E81582}"/>
    <cellStyle name="Normal 4 5 2 6 3" xfId="7439" xr:uid="{65428781-3080-48A9-BE1F-FA37CD8A3CFB}"/>
    <cellStyle name="Normal 4 5 2 7" xfId="3812" xr:uid="{139B6156-DD43-483E-88BC-A44851449C1A}"/>
    <cellStyle name="Normal 4 5 2 8" xfId="5117" xr:uid="{E9B6BEEC-E75C-4B15-AAB8-840C491E7699}"/>
    <cellStyle name="Normal 4 5 2 9" xfId="6419" xr:uid="{27E974A5-7769-4508-89AA-B9AC3F32F7E5}"/>
    <cellStyle name="Normal 4 5 3" xfId="3040" xr:uid="{FF07AB09-14AA-4828-B57E-B817117672A2}"/>
    <cellStyle name="Normal 4 5 3 2" xfId="3695" xr:uid="{83F37EC2-5319-4AE8-87C5-D0A028B6C2FB}"/>
    <cellStyle name="Normal 4 5 3 2 2" xfId="4166" xr:uid="{08A9B4BA-1A27-44CC-AD40-CBC0846FBF7B}"/>
    <cellStyle name="Normal 4 5 3 2 3" xfId="5471" xr:uid="{B73E6255-C60B-49CB-979C-A08DC93746E0}"/>
    <cellStyle name="Normal 4 5 3 2 4" xfId="6773" xr:uid="{0D93C49B-A1CC-406E-A8A4-F57076D4BCD2}"/>
    <cellStyle name="Normal 4 5 3 2 5" xfId="8076" xr:uid="{F8CD95CD-53A7-4374-9902-AAE51C888272}"/>
    <cellStyle name="Normal 4 5 3 3" xfId="4402" xr:uid="{A68896A6-0472-4BB4-9E54-B4B9B5E86C21}"/>
    <cellStyle name="Normal 4 5 3 3 2" xfId="5707" xr:uid="{550819DE-E6DC-46ED-9B0F-8BAEA3CBAF02}"/>
    <cellStyle name="Normal 4 5 3 3 3" xfId="7009" xr:uid="{16FAEC7E-11D3-4EB7-B541-B180E26EF9C5}"/>
    <cellStyle name="Normal 4 5 3 4" xfId="4682" xr:uid="{F126324D-633A-487B-A75C-180978E03CB2}"/>
    <cellStyle name="Normal 4 5 3 4 2" xfId="5984" xr:uid="{6182D2C8-8715-4320-838F-49D6D175628D}"/>
    <cellStyle name="Normal 4 5 3 4 3" xfId="7287" xr:uid="{069A4420-7FBE-4B93-BCB8-FD8CAF13DBC3}"/>
    <cellStyle name="Normal 4 5 3 5" xfId="4959" xr:uid="{CA793718-4592-4653-B669-38DA629BC6CE}"/>
    <cellStyle name="Normal 4 5 3 5 2" xfId="6261" xr:uid="{4AA7630B-A09A-4778-9F17-CFCEC5B910CA}"/>
    <cellStyle name="Normal 4 5 3 5 3" xfId="7564" xr:uid="{5E8DFE80-AECD-4BA2-8882-9B7F44273FC1}"/>
    <cellStyle name="Normal 4 5 3 6" xfId="3937" xr:uid="{C5E8198D-CE7D-433D-A054-5068C61C1077}"/>
    <cellStyle name="Normal 4 5 3 7" xfId="5242" xr:uid="{FB791114-7EED-4AE0-8196-A7787560F9CE}"/>
    <cellStyle name="Normal 4 5 3 8" xfId="6544" xr:uid="{EE822BDE-6DDA-4ADB-89E7-2AABC1B32527}"/>
    <cellStyle name="Normal 4 5 3 9" xfId="7847" xr:uid="{CDA1E9F5-9402-45BD-92DE-87053384BE2D}"/>
    <cellStyle name="Normal 4 5 4" xfId="2930" xr:uid="{127037BD-9E37-413D-9A1B-89CC01040EA9}"/>
    <cellStyle name="Normal 4 5 4 2" xfId="3599" xr:uid="{50DE78CD-2FF4-4B6C-996B-38AC7BD3C038}"/>
    <cellStyle name="Normal 4 5 4 2 2" xfId="4086" xr:uid="{0E59D31C-ED62-4DB8-BEA0-3B7DD0EC93DA}"/>
    <cellStyle name="Normal 4 5 4 2 3" xfId="5391" xr:uid="{840766BE-E9C1-4B0B-A7E8-7E314C3559B1}"/>
    <cellStyle name="Normal 4 5 4 2 4" xfId="6693" xr:uid="{18B85EAD-A34E-43E8-AD1C-4A2EAB66801B}"/>
    <cellStyle name="Normal 4 5 4 2 5" xfId="7996" xr:uid="{BDE67A65-B623-4A01-8EAD-AEA05FC4C2AF}"/>
    <cellStyle name="Normal 4 5 4 3" xfId="4322" xr:uid="{CC9149D8-D226-45FF-9B54-7A28430840F3}"/>
    <cellStyle name="Normal 4 5 4 3 2" xfId="5627" xr:uid="{8C29198B-47F0-4EDC-B344-0BE7F5486755}"/>
    <cellStyle name="Normal 4 5 4 3 3" xfId="6929" xr:uid="{523C2445-FE18-458D-A2BC-93E4406403B4}"/>
    <cellStyle name="Normal 4 5 4 4" xfId="4602" xr:uid="{B6838628-D46D-45A9-95EF-6376ECCE29CA}"/>
    <cellStyle name="Normal 4 5 4 4 2" xfId="5904" xr:uid="{30D07D13-4EEA-4B80-BE86-76EBE7B8207E}"/>
    <cellStyle name="Normal 4 5 4 4 3" xfId="7207" xr:uid="{2681850C-B69D-4274-9106-4918C24B3457}"/>
    <cellStyle name="Normal 4 5 4 5" xfId="4879" xr:uid="{5D2E7C89-34FD-4E5E-A5AA-5FAD22DA6A3C}"/>
    <cellStyle name="Normal 4 5 4 5 2" xfId="6181" xr:uid="{E9AC3DD4-5C60-45F4-A79F-875C1F86A8D2}"/>
    <cellStyle name="Normal 4 5 4 5 3" xfId="7484" xr:uid="{1A2F0F1F-EC6A-42FD-954C-3C2339228666}"/>
    <cellStyle name="Normal 4 5 4 6" xfId="3857" xr:uid="{2F8912D2-1C35-49FE-B9EB-907F0FB492B5}"/>
    <cellStyle name="Normal 4 5 4 7" xfId="5162" xr:uid="{91DF25E5-2CBA-48EE-93C0-CBABE105FA44}"/>
    <cellStyle name="Normal 4 5 4 8" xfId="6464" xr:uid="{73EEC658-20BC-441C-86A7-7EDC595E3C2C}"/>
    <cellStyle name="Normal 4 5 4 9" xfId="7767" xr:uid="{B1D9B1CF-407E-48FC-891C-7CAD9EE4EF5A}"/>
    <cellStyle name="Normal 4 5 5" xfId="3509" xr:uid="{EE80D27D-FF68-47E9-B3FD-412ABF79C8FA}"/>
    <cellStyle name="Normal 4 5 5 2" xfId="4458" xr:uid="{B05E6D1E-FB11-4C17-93A4-D1E788BF0664}"/>
    <cellStyle name="Normal 4 5 5 2 2" xfId="5761" xr:uid="{9BBA2BFA-3A18-4401-A311-E7494B62E8D0}"/>
    <cellStyle name="Normal 4 5 5 2 3" xfId="7064" xr:uid="{1FA2486C-E35A-4A51-A779-921CA7061EAA}"/>
    <cellStyle name="Normal 4 5 5 3" xfId="4736" xr:uid="{8772D62D-40D4-4920-AD5A-3F45453DC665}"/>
    <cellStyle name="Normal 4 5 5 3 2" xfId="6038" xr:uid="{4DB7D3FE-5267-4108-BF34-AC582D2E2174}"/>
    <cellStyle name="Normal 4 5 5 3 3" xfId="7341" xr:uid="{41F59B4F-F9BC-47BC-8BE1-7279EF66C4ED}"/>
    <cellStyle name="Normal 4 5 5 4" xfId="5013" xr:uid="{1ECAEBEA-0136-42A6-AE45-0972C2253775}"/>
    <cellStyle name="Normal 4 5 5 4 2" xfId="6315" xr:uid="{E4FF47E5-A96A-4B29-989A-7694B4B08016}"/>
    <cellStyle name="Normal 4 5 5 4 3" xfId="7618" xr:uid="{D7A9F93B-4600-4D53-AA4F-F579BDE5B331}"/>
    <cellStyle name="Normal 4 5 5 5" xfId="3996" xr:uid="{762D87D0-E781-4812-BA54-35372F8A55B3}"/>
    <cellStyle name="Normal 4 5 5 6" xfId="5301" xr:uid="{F8AFD77D-F006-4A6C-9F81-E16851FA3C2B}"/>
    <cellStyle name="Normal 4 5 5 7" xfId="6603" xr:uid="{A06C172A-1E04-4073-989C-274042EDEB7E}"/>
    <cellStyle name="Normal 4 5 5 8" xfId="7906" xr:uid="{322258CE-3108-4804-813C-7351D449C150}"/>
    <cellStyle name="Normal 4 5 6" xfId="4232" xr:uid="{865CA0A2-5E21-41FF-A788-1CD6136B961E}"/>
    <cellStyle name="Normal 4 5 6 2" xfId="5537" xr:uid="{F266B588-EFC3-4EE4-BA33-476E470AD133}"/>
    <cellStyle name="Normal 4 5 6 3" xfId="6839" xr:uid="{0DAD6B3E-EF39-433B-B917-4C403DF60CDD}"/>
    <cellStyle name="Normal 4 5 7" xfId="4511" xr:uid="{3AA4FA1C-073F-465B-8027-7F358998A8A8}"/>
    <cellStyle name="Normal 4 5 7 2" xfId="5814" xr:uid="{2A31451E-87E3-40D1-AF46-A87110AC29FD}"/>
    <cellStyle name="Normal 4 5 7 3" xfId="7117" xr:uid="{9C328902-5762-40A7-A2D4-176E5BC853EB}"/>
    <cellStyle name="Normal 4 5 8" xfId="4789" xr:uid="{FBB181B9-B477-4D86-A963-2B9D498404ED}"/>
    <cellStyle name="Normal 4 5 8 2" xfId="6091" xr:uid="{5C03486D-9FF0-4559-9C69-7B8A8F673D6F}"/>
    <cellStyle name="Normal 4 5 8 3" xfId="7394" xr:uid="{ADE68892-6C49-4CAE-BF76-F9EBC84B1F16}"/>
    <cellStyle name="Normal 4 5 9" xfId="3767" xr:uid="{04F14D5C-3B92-4B54-BF8B-EBE152FB1A1E}"/>
    <cellStyle name="Normal 4 6" xfId="2855" xr:uid="{FEDCF7AB-993C-4420-A4F5-5EE613D4C405}"/>
    <cellStyle name="Normal 4 6 10" xfId="5089" xr:uid="{62A23815-6457-4BDA-BB47-9B3259F0A56D}"/>
    <cellStyle name="Normal 4 6 11" xfId="6391" xr:uid="{47B56D0E-BD3A-49F8-B189-A8A439C0DBBF}"/>
    <cellStyle name="Normal 4 6 12" xfId="7694" xr:uid="{96D09590-5861-438F-B9A4-B3F49C949A7D}"/>
    <cellStyle name="Normal 4 6 2" xfId="2902" xr:uid="{9FB69464-4E72-45C4-89C2-E5A4078FD10E}"/>
    <cellStyle name="Normal 4 6 2 10" xfId="7739" xr:uid="{A96DA3AA-4372-4D80-A8F2-12E65D86CE6E}"/>
    <cellStyle name="Normal 4 6 2 2" xfId="3003" xr:uid="{87D8DE95-D539-4F64-A58C-8A135196F36E}"/>
    <cellStyle name="Normal 4 6 2 2 2" xfId="3672" xr:uid="{CB913017-4652-463F-8494-5F4C3E62647A}"/>
    <cellStyle name="Normal 4 6 2 2 2 2" xfId="4143" xr:uid="{34055E12-163A-4BFA-A0E2-330AB882244D}"/>
    <cellStyle name="Normal 4 6 2 2 2 3" xfId="5448" xr:uid="{DE5839F0-BA48-4F3F-A059-799904F931EE}"/>
    <cellStyle name="Normal 4 6 2 2 2 4" xfId="6750" xr:uid="{7D011AB2-0DF5-48F8-BD4C-E4B033B3A90F}"/>
    <cellStyle name="Normal 4 6 2 2 2 5" xfId="8053" xr:uid="{CABF7E05-4332-4F66-8BF5-6D5DF49FE3D9}"/>
    <cellStyle name="Normal 4 6 2 2 3" xfId="4379" xr:uid="{9F35D87E-474C-4FB1-AF6B-1D073CAE9C91}"/>
    <cellStyle name="Normal 4 6 2 2 3 2" xfId="5684" xr:uid="{01D6C024-1A66-470A-B56F-62D6D3E1C4D6}"/>
    <cellStyle name="Normal 4 6 2 2 3 3" xfId="6986" xr:uid="{C76680C5-BEE0-4112-B743-E20B0DDBA2EE}"/>
    <cellStyle name="Normal 4 6 2 2 4" xfId="4659" xr:uid="{727F2196-A707-4408-A124-AA3D58A5DEE3}"/>
    <cellStyle name="Normal 4 6 2 2 4 2" xfId="5961" xr:uid="{DDAC2599-AFF4-4A9F-9CB6-E9DB59909768}"/>
    <cellStyle name="Normal 4 6 2 2 4 3" xfId="7264" xr:uid="{3EB8AFD3-AF94-4F9B-B68D-DAD63FF422FB}"/>
    <cellStyle name="Normal 4 6 2 2 5" xfId="4936" xr:uid="{AB98D444-48A7-4CE5-A480-20076633D9BA}"/>
    <cellStyle name="Normal 4 6 2 2 5 2" xfId="6238" xr:uid="{FE902B4B-FD36-47D9-8471-9B1BC6B6B12C}"/>
    <cellStyle name="Normal 4 6 2 2 5 3" xfId="7541" xr:uid="{A3D5B1A9-F02F-432E-9094-252033419DFE}"/>
    <cellStyle name="Normal 4 6 2 2 6" xfId="3914" xr:uid="{A1562C57-C447-41E6-8A21-1E18D278343C}"/>
    <cellStyle name="Normal 4 6 2 2 7" xfId="5219" xr:uid="{376EA7A8-26EA-4718-8D70-FD06B64CE13A}"/>
    <cellStyle name="Normal 4 6 2 2 8" xfId="6521" xr:uid="{3DC224D9-3F19-4D7A-AED9-32E92CD20302}"/>
    <cellStyle name="Normal 4 6 2 2 9" xfId="7824" xr:uid="{B5A1BF1E-B284-4C1C-A79D-6AC6798E3669}"/>
    <cellStyle name="Normal 4 6 2 3" xfId="3571" xr:uid="{0A1A40D1-C1B0-41DA-AF95-6D0B88ADA848}"/>
    <cellStyle name="Normal 4 6 2 3 2" xfId="4058" xr:uid="{FAA11A4E-1E12-491B-9CA2-425A2231BDE9}"/>
    <cellStyle name="Normal 4 6 2 3 3" xfId="5363" xr:uid="{35065A65-2E58-490D-8C05-B34A4FA826EF}"/>
    <cellStyle name="Normal 4 6 2 3 4" xfId="6665" xr:uid="{3930847C-82CB-40F8-81F2-AB741412BAD5}"/>
    <cellStyle name="Normal 4 6 2 3 5" xfId="7968" xr:uid="{DBA07E13-AF1F-4686-AA9F-1DB30FF851EF}"/>
    <cellStyle name="Normal 4 6 2 4" xfId="4294" xr:uid="{B2947BDB-F91E-48F4-8476-EFA250B2F972}"/>
    <cellStyle name="Normal 4 6 2 4 2" xfId="5599" xr:uid="{1A77F5CA-E047-4550-9B42-262515DFF002}"/>
    <cellStyle name="Normal 4 6 2 4 3" xfId="6901" xr:uid="{671EE19C-099B-4E43-9364-12882E19ED6D}"/>
    <cellStyle name="Normal 4 6 2 5" xfId="4574" xr:uid="{F714BC90-4716-4E0E-AAD3-73F2F0C99F6F}"/>
    <cellStyle name="Normal 4 6 2 5 2" xfId="5876" xr:uid="{E52C9756-13B7-410F-AC3E-E671CD78BD0D}"/>
    <cellStyle name="Normal 4 6 2 5 3" xfId="7179" xr:uid="{B436D9BF-C012-41F1-A67C-9616A788C851}"/>
    <cellStyle name="Normal 4 6 2 6" xfId="4851" xr:uid="{4E545403-F8A3-41CF-AC85-C0A2966F587E}"/>
    <cellStyle name="Normal 4 6 2 6 2" xfId="6153" xr:uid="{75039053-F6C4-4EC3-876B-91C43E578412}"/>
    <cellStyle name="Normal 4 6 2 6 3" xfId="7456" xr:uid="{BDCC1B58-CB3C-4963-82D0-B47324AA43BA}"/>
    <cellStyle name="Normal 4 6 2 7" xfId="3829" xr:uid="{68C2AF21-214D-4AC0-8959-13FE824CF935}"/>
    <cellStyle name="Normal 4 6 2 8" xfId="5134" xr:uid="{B426DD8F-C88D-4B7C-8326-6A40C2254B1C}"/>
    <cellStyle name="Normal 4 6 2 9" xfId="6436" xr:uid="{01C3D182-B2EC-4DCD-BF19-7C9C2A4E95A8}"/>
    <cellStyle name="Normal 4 6 3" xfId="3447" xr:uid="{5403DFEF-8DF5-4821-A5AD-BE962DCD5622}"/>
    <cellStyle name="Normal 4 6 3 2" xfId="3712" xr:uid="{94C7A8FA-212A-4E84-8519-272318F7EBA8}"/>
    <cellStyle name="Normal 4 6 3 2 2" xfId="4183" xr:uid="{3D5573A3-E86F-4CB4-B11A-4BFFC053627A}"/>
    <cellStyle name="Normal 4 6 3 2 3" xfId="5488" xr:uid="{C4ED2259-F206-4310-BC23-7B7DBD2CCA6F}"/>
    <cellStyle name="Normal 4 6 3 2 4" xfId="6790" xr:uid="{669F0759-8D1A-4F63-BE21-5EAEC9F39EBF}"/>
    <cellStyle name="Normal 4 6 3 2 5" xfId="8093" xr:uid="{B2D049AD-7F77-4100-8CA2-CED48F9E5F0E}"/>
    <cellStyle name="Normal 4 6 3 3" xfId="4419" xr:uid="{1B2088F8-5976-40A8-9C03-4FD7F373F7A9}"/>
    <cellStyle name="Normal 4 6 3 3 2" xfId="5724" xr:uid="{F18627A3-04AD-49C7-B062-66D5207EE6F5}"/>
    <cellStyle name="Normal 4 6 3 3 3" xfId="7026" xr:uid="{80AB9883-9F54-4C4B-8B61-B709EA1926D8}"/>
    <cellStyle name="Normal 4 6 3 4" xfId="4699" xr:uid="{96257F91-53AF-43C0-AA44-DCBFF29CEF7E}"/>
    <cellStyle name="Normal 4 6 3 4 2" xfId="6001" xr:uid="{AAF1264E-50E5-4272-89DB-A515493CABC4}"/>
    <cellStyle name="Normal 4 6 3 4 3" xfId="7304" xr:uid="{C32E1F0E-6B0B-4FB7-8238-8419A80E1BD0}"/>
    <cellStyle name="Normal 4 6 3 5" xfId="4976" xr:uid="{4A0406B6-8C27-4711-9DA8-4FEA5E87A03D}"/>
    <cellStyle name="Normal 4 6 3 5 2" xfId="6278" xr:uid="{CFB59D12-B45D-43F3-B842-C558D12CAF4E}"/>
    <cellStyle name="Normal 4 6 3 5 3" xfId="7581" xr:uid="{25826999-3B51-41A2-8D77-46A1098E7BC6}"/>
    <cellStyle name="Normal 4 6 3 6" xfId="3954" xr:uid="{45093BAE-D41C-4A16-8689-8A0E889715BD}"/>
    <cellStyle name="Normal 4 6 3 7" xfId="5259" xr:uid="{BB108E3F-9794-4771-9E0A-96B28EEC4ED6}"/>
    <cellStyle name="Normal 4 6 3 8" xfId="6561" xr:uid="{05BFD467-0A43-4B0B-A93B-61D1BF52930B}"/>
    <cellStyle name="Normal 4 6 3 9" xfId="7864" xr:uid="{D77BC963-8A5F-46F0-8562-BA34EB4E216D}"/>
    <cellStyle name="Normal 4 6 4" xfId="2947" xr:uid="{A671DB3F-E4AD-4FC7-940F-2A343291A944}"/>
    <cellStyle name="Normal 4 6 4 2" xfId="3616" xr:uid="{300DBA71-10EE-416C-8D9C-3A6BE45C10B1}"/>
    <cellStyle name="Normal 4 6 4 2 2" xfId="4103" xr:uid="{30737AF3-BAAF-4D9D-8BA3-47B5E5DA25A3}"/>
    <cellStyle name="Normal 4 6 4 2 3" xfId="5408" xr:uid="{E87179BB-5E4D-40D4-847A-93E42BB27267}"/>
    <cellStyle name="Normal 4 6 4 2 4" xfId="6710" xr:uid="{9D9E4626-8ECA-417E-BE77-F18A3B868483}"/>
    <cellStyle name="Normal 4 6 4 2 5" xfId="8013" xr:uid="{2EAB7746-7A1B-4488-A74F-7022D6EFA1C6}"/>
    <cellStyle name="Normal 4 6 4 3" xfId="4339" xr:uid="{DC08739C-D661-484D-9F09-ED1634E4C3B3}"/>
    <cellStyle name="Normal 4 6 4 3 2" xfId="5644" xr:uid="{7EE6C719-2AF2-4E8E-B3ED-9F8AAE19BD45}"/>
    <cellStyle name="Normal 4 6 4 3 3" xfId="6946" xr:uid="{5AC0E4C4-296F-44D5-A552-898F9B0968D1}"/>
    <cellStyle name="Normal 4 6 4 4" xfId="4619" xr:uid="{A8CE9FF5-C168-4579-9305-06A12CFD1C78}"/>
    <cellStyle name="Normal 4 6 4 4 2" xfId="5921" xr:uid="{B16BD590-E51C-45FC-A7C6-8789ACEC7E77}"/>
    <cellStyle name="Normal 4 6 4 4 3" xfId="7224" xr:uid="{37B64FF6-6115-47FB-B79B-02D45F455F35}"/>
    <cellStyle name="Normal 4 6 4 5" xfId="4896" xr:uid="{5E902D69-7A85-4FF2-B8E3-D8AEEB9ED632}"/>
    <cellStyle name="Normal 4 6 4 5 2" xfId="6198" xr:uid="{D3F8FC37-AF04-4E9C-877B-CD98CA5168C2}"/>
    <cellStyle name="Normal 4 6 4 5 3" xfId="7501" xr:uid="{3055A8DA-48BD-4A7B-939F-ACD5514BE6E3}"/>
    <cellStyle name="Normal 4 6 4 6" xfId="3874" xr:uid="{1F862E2D-376A-4ACE-A8B3-D8A3182E90A0}"/>
    <cellStyle name="Normal 4 6 4 7" xfId="5179" xr:uid="{9286EA41-4D9B-480B-88B5-8FA6927196AD}"/>
    <cellStyle name="Normal 4 6 4 8" xfId="6481" xr:uid="{FD30E48F-AEB4-42CF-BE57-BD7DE419D1E4}"/>
    <cellStyle name="Normal 4 6 4 9" xfId="7784" xr:uid="{BC423544-7D78-4317-895A-498679B3AC35}"/>
    <cellStyle name="Normal 4 6 5" xfId="3526" xr:uid="{B066C5EF-CD9C-4F81-8FC7-F8B1C146D8B9}"/>
    <cellStyle name="Normal 4 6 5 2" xfId="4475" xr:uid="{58DB606A-93BD-4C20-977F-444B30C2A0EA}"/>
    <cellStyle name="Normal 4 6 5 2 2" xfId="5778" xr:uid="{C3B3DFF4-E8D0-4A12-9D91-543BCEC21000}"/>
    <cellStyle name="Normal 4 6 5 2 3" xfId="7081" xr:uid="{2FF69B25-3788-4280-81D6-B674C3A2232B}"/>
    <cellStyle name="Normal 4 6 5 3" xfId="4753" xr:uid="{EC5B9537-AE15-4F19-8B05-6064D7083AEE}"/>
    <cellStyle name="Normal 4 6 5 3 2" xfId="6055" xr:uid="{1BF258AA-3F30-4542-BA0B-96D74457DB89}"/>
    <cellStyle name="Normal 4 6 5 3 3" xfId="7358" xr:uid="{1B40E11F-08E8-4701-A828-EE6E10A5965A}"/>
    <cellStyle name="Normal 4 6 5 4" xfId="5030" xr:uid="{03EA8D17-A384-4837-882F-7FFEC2E67591}"/>
    <cellStyle name="Normal 4 6 5 4 2" xfId="6332" xr:uid="{68A8A18C-AFEC-4EEA-AC74-8B069C7969DA}"/>
    <cellStyle name="Normal 4 6 5 4 3" xfId="7635" xr:uid="{4F9D37BE-163A-4A82-B66E-63E48952DF39}"/>
    <cellStyle name="Normal 4 6 5 5" xfId="4013" xr:uid="{7FCD893F-8789-4848-B20D-7B96C2262BAB}"/>
    <cellStyle name="Normal 4 6 5 6" xfId="5318" xr:uid="{8D8400F5-58D2-4D8F-9896-FECB77D59B35}"/>
    <cellStyle name="Normal 4 6 5 7" xfId="6620" xr:uid="{4BF1FC1F-8041-4EDC-9B7E-E8B729F19CD5}"/>
    <cellStyle name="Normal 4 6 5 8" xfId="7923" xr:uid="{0495FFD0-AEFB-4690-BC97-5D1ACB75CE96}"/>
    <cellStyle name="Normal 4 6 6" xfId="4249" xr:uid="{CCF5DD26-9505-43F4-8BBB-C7CEB44A6D97}"/>
    <cellStyle name="Normal 4 6 6 2" xfId="5554" xr:uid="{609D8264-75BB-4C94-A70B-57133FCC37B3}"/>
    <cellStyle name="Normal 4 6 6 3" xfId="6856" xr:uid="{51821352-48DB-4469-B7FA-36DE4A465691}"/>
    <cellStyle name="Normal 4 6 7" xfId="4529" xr:uid="{0C5EE6FD-F664-41D5-ADAD-FBF9F9F800E3}"/>
    <cellStyle name="Normal 4 6 7 2" xfId="5831" xr:uid="{6D5C3587-7D96-408F-8813-82E3097D1CA0}"/>
    <cellStyle name="Normal 4 6 7 3" xfId="7134" xr:uid="{0F8B4FED-BC5B-4839-90EC-A608573C262A}"/>
    <cellStyle name="Normal 4 6 8" xfId="4806" xr:uid="{FB0034F9-9B05-4A05-AEBD-29FD7F55049A}"/>
    <cellStyle name="Normal 4 6 8 2" xfId="6108" xr:uid="{BD632976-6928-4827-9EED-25BE358AE56E}"/>
    <cellStyle name="Normal 4 6 8 3" xfId="7411" xr:uid="{EC187FC9-7936-4988-B3DB-89464B0CD046}"/>
    <cellStyle name="Normal 4 6 9" xfId="3784" xr:uid="{EE913246-F32C-4981-A589-80498EAACE2E}"/>
    <cellStyle name="Normal 4 7" xfId="2870" xr:uid="{4AE666D9-0D1F-48C2-8BB2-9C693BC68141}"/>
    <cellStyle name="Normal 4 8" xfId="32" xr:uid="{2E59A7FD-8ED0-4EA6-B8E1-8442B4390289}"/>
    <cellStyle name="Normal 4 8 10" xfId="6367" xr:uid="{61742396-9535-4967-BB19-022A0F8399BD}"/>
    <cellStyle name="Normal 4 8 11" xfId="7670" xr:uid="{F9144D4C-5C4B-4566-99AE-4D557E200B2C}"/>
    <cellStyle name="Normal 4 8 2" xfId="2878" xr:uid="{B045A2D8-6C32-4569-BD29-5F4F81BBA1B6}"/>
    <cellStyle name="Normal 4 8 2 2" xfId="3547" xr:uid="{8C559CCB-2076-461E-AF6B-F33154FCD945}"/>
    <cellStyle name="Normal 4 8 2 2 2" xfId="4034" xr:uid="{5F5579A3-7391-4D3F-A8B3-1ECAEEC26831}"/>
    <cellStyle name="Normal 4 8 2 2 3" xfId="5339" xr:uid="{9C79F2EA-AB94-47DD-AE21-371E5AC4107E}"/>
    <cellStyle name="Normal 4 8 2 2 4" xfId="6641" xr:uid="{E6BCEE1D-9D79-408D-B6E1-4141C1CF8878}"/>
    <cellStyle name="Normal 4 8 2 2 5" xfId="7944" xr:uid="{806FBBA9-E243-467D-9E34-FE8A15BBB850}"/>
    <cellStyle name="Normal 4 8 2 3" xfId="4270" xr:uid="{14858CE9-6AF7-4599-A91B-AD630DF62C84}"/>
    <cellStyle name="Normal 4 8 2 3 2" xfId="5575" xr:uid="{CFCE63D8-CF97-4011-B9F3-A51F6EB3EC15}"/>
    <cellStyle name="Normal 4 8 2 3 3" xfId="6877" xr:uid="{E34AD30A-A6EA-4F78-B651-9FFAFF331BF8}"/>
    <cellStyle name="Normal 4 8 2 4" xfId="4550" xr:uid="{63FF42D1-F66A-4EEB-9042-8FD669B4B451}"/>
    <cellStyle name="Normal 4 8 2 4 2" xfId="5852" xr:uid="{61DB2148-4754-4A03-B6EB-C624218BDE31}"/>
    <cellStyle name="Normal 4 8 2 4 3" xfId="7155" xr:uid="{AFF2C957-7D9A-45D8-B5E7-68782BE99F1B}"/>
    <cellStyle name="Normal 4 8 2 5" xfId="4827" xr:uid="{444A8639-2E4C-449F-967E-0C3B61C99D0C}"/>
    <cellStyle name="Normal 4 8 2 5 2" xfId="6129" xr:uid="{833A991B-EC40-429F-9874-2A645AFA826B}"/>
    <cellStyle name="Normal 4 8 2 5 3" xfId="7432" xr:uid="{CD5F0E51-C5A2-4C56-83D0-80336714D0D6}"/>
    <cellStyle name="Normal 4 8 2 6" xfId="3805" xr:uid="{B92DDC20-8ECD-4B5F-9987-E82DA8CF8748}"/>
    <cellStyle name="Normal 4 8 2 7" xfId="5110" xr:uid="{97649D36-DC73-409D-B321-45D869520B30}"/>
    <cellStyle name="Normal 4 8 2 8" xfId="6412" xr:uid="{C9337026-70DA-43C7-8796-1FE6185250D1}"/>
    <cellStyle name="Normal 4 8 2 9" xfId="7715" xr:uid="{1B8AC608-80CD-4DCA-ABE9-5602D1632817}"/>
    <cellStyle name="Normal 4 8 3" xfId="2923" xr:uid="{F834450C-FB76-4614-87A2-14233A0E8F61}"/>
    <cellStyle name="Normal 4 8 3 2" xfId="3592" xr:uid="{95336BC0-AF1C-441E-B761-6F87729A275C}"/>
    <cellStyle name="Normal 4 8 3 2 2" xfId="4079" xr:uid="{982608F4-FF2F-45D8-A702-0F8216DA26A7}"/>
    <cellStyle name="Normal 4 8 3 2 3" xfId="5384" xr:uid="{6AB80C33-CF15-4F78-9F0C-4B9EC3ABFD9D}"/>
    <cellStyle name="Normal 4 8 3 2 4" xfId="6686" xr:uid="{8539752A-5CA9-4490-BF8F-EE2BAD411878}"/>
    <cellStyle name="Normal 4 8 3 2 5" xfId="7989" xr:uid="{7ADA4368-1EA7-4C5D-8045-79F14A212514}"/>
    <cellStyle name="Normal 4 8 3 3" xfId="4315" xr:uid="{9711C586-D5B3-40CD-AE1A-84949AA52C6C}"/>
    <cellStyle name="Normal 4 8 3 3 2" xfId="5620" xr:uid="{F5B90A98-F5D3-4D99-AC6E-825DE863FB6B}"/>
    <cellStyle name="Normal 4 8 3 3 3" xfId="6922" xr:uid="{397EEB30-0635-4C9C-8A2D-7C3305A8B3B8}"/>
    <cellStyle name="Normal 4 8 3 4" xfId="4595" xr:uid="{EC8916C4-30BB-4664-B1A2-241509D75916}"/>
    <cellStyle name="Normal 4 8 3 4 2" xfId="5897" xr:uid="{EF1DD1C3-D034-49F2-854A-07E07BB94743}"/>
    <cellStyle name="Normal 4 8 3 4 3" xfId="7200" xr:uid="{2DA5CACC-E593-4348-A481-4B3DB0D426D9}"/>
    <cellStyle name="Normal 4 8 3 5" xfId="4872" xr:uid="{0BFF472D-7029-48E7-92F1-FA8C338C7B19}"/>
    <cellStyle name="Normal 4 8 3 5 2" xfId="6174" xr:uid="{A442A2E8-D8B1-490E-9827-6C1D97BD5ED7}"/>
    <cellStyle name="Normal 4 8 3 5 3" xfId="7477" xr:uid="{F1700318-30C7-44BC-AEB3-2A2A3E05E6AB}"/>
    <cellStyle name="Normal 4 8 3 6" xfId="3850" xr:uid="{D03E188E-B0FD-4237-A343-C5FD7CD7DF78}"/>
    <cellStyle name="Normal 4 8 3 7" xfId="5155" xr:uid="{42A33B58-DAA4-4FAA-A890-EE4609143039}"/>
    <cellStyle name="Normal 4 8 3 8" xfId="6457" xr:uid="{73DAB972-56D8-4C68-AFC8-91AC8B30EC1C}"/>
    <cellStyle name="Normal 4 8 3 9" xfId="7760" xr:uid="{B425EFD1-3E6A-44AE-8382-69E596140D8C}"/>
    <cellStyle name="Normal 4 8 4" xfId="3502" xr:uid="{C4359809-4B06-4ECC-85DA-A62E889FB51E}"/>
    <cellStyle name="Normal 4 8 4 2" xfId="4451" xr:uid="{FFB07CE8-53C8-4F6E-847F-02986F906C2B}"/>
    <cellStyle name="Normal 4 8 4 2 2" xfId="5754" xr:uid="{A325C8A6-44AF-470C-9EA9-7B2D504C8C9B}"/>
    <cellStyle name="Normal 4 8 4 2 3" xfId="7057" xr:uid="{B448A966-D18F-4A06-9DA1-876E37F20350}"/>
    <cellStyle name="Normal 4 8 4 3" xfId="4729" xr:uid="{8B4F3640-B39F-41E0-8CE5-6BF5D7BC2258}"/>
    <cellStyle name="Normal 4 8 4 3 2" xfId="6031" xr:uid="{E5D6079B-D6ED-4937-A332-AFCA55A44460}"/>
    <cellStyle name="Normal 4 8 4 3 3" xfId="7334" xr:uid="{E7229D22-BFAD-4E68-9D4F-72FCA598EBB4}"/>
    <cellStyle name="Normal 4 8 4 4" xfId="5006" xr:uid="{9E18BF24-765E-4CDD-BA84-71E03D7F7ECB}"/>
    <cellStyle name="Normal 4 8 4 4 2" xfId="6308" xr:uid="{E04D20D8-8331-400B-833E-823C58D08A9B}"/>
    <cellStyle name="Normal 4 8 4 4 3" xfId="7611" xr:uid="{B659567A-04DA-4F25-B829-5F6B15ECA179}"/>
    <cellStyle name="Normal 4 8 4 5" xfId="3989" xr:uid="{30EAB8BC-1639-4853-AC50-2A2031FF665B}"/>
    <cellStyle name="Normal 4 8 4 6" xfId="5294" xr:uid="{9E431AE0-E7D0-45F9-8C3E-E0B18D423C25}"/>
    <cellStyle name="Normal 4 8 4 7" xfId="6596" xr:uid="{2F3414C7-3944-4723-8A1D-DF967B117DEE}"/>
    <cellStyle name="Normal 4 8 4 8" xfId="7899" xr:uid="{C7A1BD6F-0217-450A-B184-0D6A73B14FCB}"/>
    <cellStyle name="Normal 4 8 5" xfId="4225" xr:uid="{36CCD5C8-3BAA-488F-BB85-47E11CC6600B}"/>
    <cellStyle name="Normal 4 8 5 2" xfId="5530" xr:uid="{0FD2127D-8DF2-4DF4-A872-7900444D1006}"/>
    <cellStyle name="Normal 4 8 5 3" xfId="6832" xr:uid="{B2382A01-22D9-47EB-BDC1-701E0F976C98}"/>
    <cellStyle name="Normal 4 8 6" xfId="4504" xr:uid="{1F442270-86C2-477F-B726-A4DF593D22C4}"/>
    <cellStyle name="Normal 4 8 6 2" xfId="5807" xr:uid="{4C858B52-9DB2-4DFD-805A-F58106230944}"/>
    <cellStyle name="Normal 4 8 6 3" xfId="7110" xr:uid="{7F49B951-7414-47CB-9764-BFA8F4E01831}"/>
    <cellStyle name="Normal 4 8 7" xfId="4782" xr:uid="{C6418CBA-056F-4907-A913-06DB079C0DD8}"/>
    <cellStyle name="Normal 4 8 7 2" xfId="6084" xr:uid="{6EEF7EF0-3D7D-4F9B-88EA-2422F785C6A4}"/>
    <cellStyle name="Normal 4 8 7 3" xfId="7387" xr:uid="{05A1EDAD-568D-4CF2-8BFC-2A964901B577}"/>
    <cellStyle name="Normal 4 8 8" xfId="3760" xr:uid="{A7E14CB9-98FD-4E47-B788-B6B965E23D17}"/>
    <cellStyle name="Normal 4 8 9" xfId="5065" xr:uid="{1A7FA3AA-B1FE-4061-B674-345FEB91BBE9}"/>
    <cellStyle name="Normal 4 9" xfId="27" xr:uid="{991B9F0F-1632-4E82-BA15-D4F5B44B6040}"/>
    <cellStyle name="Normal 4 9 10" xfId="7665" xr:uid="{69573245-1E9B-4F1F-8D72-18E8D1FE56BA}"/>
    <cellStyle name="Normal 4 9 2" xfId="2963" xr:uid="{1130FF09-DC98-4189-BFBA-210000AC8890}"/>
    <cellStyle name="Normal 4 9 2 2" xfId="3632" xr:uid="{63756306-B1DD-407B-B9E6-5AC0453CA823}"/>
    <cellStyle name="Normal 4 9 2 2 2" xfId="4119" xr:uid="{C5740360-3FB8-46FA-957F-5A753D0BDC2D}"/>
    <cellStyle name="Normal 4 9 2 2 3" xfId="5424" xr:uid="{EC8A44EE-591B-4212-A373-86969B354C68}"/>
    <cellStyle name="Normal 4 9 2 2 4" xfId="6726" xr:uid="{E9884EAF-4159-4E45-9D2F-0FDECFE2129F}"/>
    <cellStyle name="Normal 4 9 2 2 5" xfId="8029" xr:uid="{C23BC193-2EAF-4D25-9CF8-95C54616A869}"/>
    <cellStyle name="Normal 4 9 2 3" xfId="4355" xr:uid="{25CADC61-CE1A-46B4-8929-DF88A1C4BD9B}"/>
    <cellStyle name="Normal 4 9 2 3 2" xfId="5660" xr:uid="{4DEDB531-8530-4580-BE57-7FC2CE7B4091}"/>
    <cellStyle name="Normal 4 9 2 3 3" xfId="6962" xr:uid="{05C78031-FFC1-441D-996B-072AAFB3EF90}"/>
    <cellStyle name="Normal 4 9 2 4" xfId="4635" xr:uid="{A7975FF9-9D00-4F04-B94B-132CCBD9710F}"/>
    <cellStyle name="Normal 4 9 2 4 2" xfId="5937" xr:uid="{172092DB-BBB6-4D16-A79F-FD1C18898EE9}"/>
    <cellStyle name="Normal 4 9 2 4 3" xfId="7240" xr:uid="{64731E18-5948-41DB-A336-C4D9D6AC852D}"/>
    <cellStyle name="Normal 4 9 2 5" xfId="4912" xr:uid="{26E8D3E1-00FD-4D37-96F0-12364BB27F91}"/>
    <cellStyle name="Normal 4 9 2 5 2" xfId="6214" xr:uid="{22D07F7C-AB53-4D7A-954F-8A5A159A05C8}"/>
    <cellStyle name="Normal 4 9 2 5 3" xfId="7517" xr:uid="{4A687B30-640A-46A6-AEA4-0F5CD06A2236}"/>
    <cellStyle name="Normal 4 9 2 6" xfId="3890" xr:uid="{A09C70E6-C4BB-404A-864F-49402E97114E}"/>
    <cellStyle name="Normal 4 9 2 7" xfId="5195" xr:uid="{FAF21E22-CFDE-427F-8E04-CBA8EB8BEF7F}"/>
    <cellStyle name="Normal 4 9 2 8" xfId="6497" xr:uid="{3BA7E2C1-28D4-4F2A-B6C7-B7B22D9729F2}"/>
    <cellStyle name="Normal 4 9 2 9" xfId="7800" xr:uid="{EFFCE16B-301D-4742-848D-EEDF4EEC7FF2}"/>
    <cellStyle name="Normal 4 9 3" xfId="3497" xr:uid="{7AF635FA-A1A1-48C3-B6EE-0201F5320E85}"/>
    <cellStyle name="Normal 4 9 3 2" xfId="3984" xr:uid="{018BF354-529F-4E48-AAA3-BE7662FE2DD4}"/>
    <cellStyle name="Normal 4 9 3 3" xfId="5289" xr:uid="{FBD29CA5-B425-4850-9A4B-A3FA8042539C}"/>
    <cellStyle name="Normal 4 9 3 4" xfId="6591" xr:uid="{98AF8741-F487-43C1-A078-E2F05AC3FF53}"/>
    <cellStyle name="Normal 4 9 3 5" xfId="7894" xr:uid="{42A09BBE-1C7F-4A69-96B6-DAF1274DF570}"/>
    <cellStyle name="Normal 4 9 4" xfId="4220" xr:uid="{F03CCA38-9470-4A2F-BE9B-C775B0C23199}"/>
    <cellStyle name="Normal 4 9 4 2" xfId="5525" xr:uid="{55125B93-025D-4AF0-922A-0818753A3985}"/>
    <cellStyle name="Normal 4 9 4 3" xfId="6827" xr:uid="{FA77B30A-3FB8-48F3-9F1F-95712FE3A13B}"/>
    <cellStyle name="Normal 4 9 5" xfId="4499" xr:uid="{BDBFADAF-3AFE-4CE7-8387-A066FB2AE91D}"/>
    <cellStyle name="Normal 4 9 5 2" xfId="5802" xr:uid="{6F69895E-4DBA-45B8-B945-163A8D5F9573}"/>
    <cellStyle name="Normal 4 9 5 3" xfId="7105" xr:uid="{973B534B-47A1-413F-A16C-C4348ADA0F1B}"/>
    <cellStyle name="Normal 4 9 6" xfId="4777" xr:uid="{6B73131D-AD60-46D4-88AF-37250A7A32DF}"/>
    <cellStyle name="Normal 4 9 6 2" xfId="6079" xr:uid="{5BA3530C-8278-4743-B755-1E465E015420}"/>
    <cellStyle name="Normal 4 9 6 3" xfId="7382" xr:uid="{D5617E5C-0D01-4DC7-B6D5-AADA310A85B3}"/>
    <cellStyle name="Normal 4 9 7" xfId="3755" xr:uid="{2E722931-A783-4FEF-B02C-20200B29E067}"/>
    <cellStyle name="Normal 4 9 8" xfId="5060" xr:uid="{E38641D3-2F42-4838-9D3B-2BF4747C14A5}"/>
    <cellStyle name="Normal 4 9 9" xfId="6362" xr:uid="{E846EE80-A0EC-4CEF-B436-DF325F3F1632}"/>
    <cellStyle name="Normal 5" xfId="17" xr:uid="{00000000-0005-0000-0000-000009000000}"/>
    <cellStyle name="Normal 5 10" xfId="4216" xr:uid="{9D019EDA-6467-486F-9DC2-DEFD64E2C0E7}"/>
    <cellStyle name="Normal 5 10 2" xfId="5521" xr:uid="{D298609E-5985-4D55-9CDE-19D3C30B3BCF}"/>
    <cellStyle name="Normal 5 10 3" xfId="6823" xr:uid="{4E41C8AD-F66E-45C7-934C-CFAB7A8B539A}"/>
    <cellStyle name="Normal 5 11" xfId="4495" xr:uid="{605528B0-55E3-4504-A5A9-F4E80BF5820A}"/>
    <cellStyle name="Normal 5 11 2" xfId="5798" xr:uid="{EB977792-3D46-4FFD-AD26-D53445B264B7}"/>
    <cellStyle name="Normal 5 11 3" xfId="7101" xr:uid="{B0DB7E62-CCB5-4801-9C56-A4E7A4A67C4C}"/>
    <cellStyle name="Normal 5 12" xfId="4773" xr:uid="{92DA4F21-F216-4554-AA8B-CBF27503557B}"/>
    <cellStyle name="Normal 5 12 2" xfId="6075" xr:uid="{54736DBE-C82E-43A7-B8B9-105A20487D8C}"/>
    <cellStyle name="Normal 5 12 3" xfId="7378" xr:uid="{B2D73143-395D-4E57-91C8-73E2F67A5F7A}"/>
    <cellStyle name="Normal 5 13" xfId="3745" xr:uid="{FA042117-1EDB-4A54-8811-2B6E60A2A1F7}"/>
    <cellStyle name="Normal 5 14" xfId="5050" xr:uid="{15DB7561-23EA-43AB-A8A7-37D7ECF2731D}"/>
    <cellStyle name="Normal 5 15" xfId="6352" xr:uid="{C45D947E-302D-480D-96D0-3FA43C123C8E}"/>
    <cellStyle name="Normal 5 16" xfId="7655" xr:uid="{9A362000-595E-4D07-9963-647552F6C03C}"/>
    <cellStyle name="Normal 5 2" xfId="19" xr:uid="{00000000-0005-0000-0000-00000A000000}"/>
    <cellStyle name="Normal 5 2 2" xfId="2266" xr:uid="{EFC71671-2AB0-4883-AE8E-AEDE1E1A44DA}"/>
    <cellStyle name="Normal 5 2 3" xfId="3747" xr:uid="{1716B492-E80E-4D07-9514-D79A214E7341}"/>
    <cellStyle name="Normal 5 2 4" xfId="5052" xr:uid="{53EF2BF3-6B47-4EB1-ADAF-B5F77A9377D5}"/>
    <cellStyle name="Normal 5 2 5" xfId="6354" xr:uid="{9A648D25-0699-46BE-9D3A-5CA227F5256E}"/>
    <cellStyle name="Normal 5 2 6" xfId="7657" xr:uid="{9DD663C5-8CFD-4158-9591-A1A8D9EDEFEA}"/>
    <cellStyle name="Normal 5 3" xfId="226" xr:uid="{C2773BE0-6346-45BD-B877-369C60210B19}"/>
    <cellStyle name="Normal 5 4" xfId="28" xr:uid="{2D6A2F01-8B16-4D34-B6DC-A6CC22C77F68}"/>
    <cellStyle name="Normal 5 4 10" xfId="7666" xr:uid="{B928F2DC-5EBA-4C4D-9BC2-2B141C00897D}"/>
    <cellStyle name="Normal 5 4 2" xfId="3485" xr:uid="{5FAC8A00-2665-419C-BB0B-98949139D5B6}"/>
    <cellStyle name="Normal 5 4 2 2" xfId="3732" xr:uid="{6F5576F2-5499-4490-A097-88FCDABA4030}"/>
    <cellStyle name="Normal 5 4 2 2 2" xfId="4203" xr:uid="{D12597D1-05B1-4AF8-B106-23D094E9168F}"/>
    <cellStyle name="Normal 5 4 2 2 3" xfId="5508" xr:uid="{1546C046-2640-4923-A09D-F080EE52A6E1}"/>
    <cellStyle name="Normal 5 4 2 2 4" xfId="6810" xr:uid="{AD8758CC-7F52-4BB6-A182-76EAE9E03474}"/>
    <cellStyle name="Normal 5 4 2 2 5" xfId="8113" xr:uid="{6BE09176-1C5E-4F3C-BF28-C2FA6338B7FB}"/>
    <cellStyle name="Normal 5 4 2 3" xfId="4439" xr:uid="{C452EF51-2F3D-4E23-A300-EFD18F4AC5A8}"/>
    <cellStyle name="Normal 5 4 2 3 2" xfId="5744" xr:uid="{33BAFE2B-F7E6-4D51-AC0C-7E621E9F6E95}"/>
    <cellStyle name="Normal 5 4 2 3 3" xfId="7046" xr:uid="{CE7F1DDD-66E8-46B1-B527-DFD24CE56885}"/>
    <cellStyle name="Normal 5 4 2 4" xfId="4719" xr:uid="{AC30BF48-1125-4B79-86BD-643C7BE987FE}"/>
    <cellStyle name="Normal 5 4 2 4 2" xfId="6021" xr:uid="{42FF1033-8C22-4C14-87E6-05A69B885071}"/>
    <cellStyle name="Normal 5 4 2 4 3" xfId="7324" xr:uid="{C3A2DB85-EFD2-466B-B029-2197835BA022}"/>
    <cellStyle name="Normal 5 4 2 5" xfId="4996" xr:uid="{9371D326-952F-483C-BDBA-CE7FF0C8FAAC}"/>
    <cellStyle name="Normal 5 4 2 5 2" xfId="6298" xr:uid="{629ACCAB-33EA-4F1D-AA86-971A9455E0B7}"/>
    <cellStyle name="Normal 5 4 2 5 3" xfId="7601" xr:uid="{9339A548-A926-4B1A-B72A-37C5CDF89BE7}"/>
    <cellStyle name="Normal 5 4 2 6" xfId="3974" xr:uid="{BAE83D30-5FFC-4759-AAA2-2833CB67D365}"/>
    <cellStyle name="Normal 5 4 2 7" xfId="5279" xr:uid="{23B42520-E731-4D35-A305-3A6CA01F15AC}"/>
    <cellStyle name="Normal 5 4 2 8" xfId="6581" xr:uid="{FC0E29D6-8DE4-416C-A552-9235605707CC}"/>
    <cellStyle name="Normal 5 4 2 9" xfId="7884" xr:uid="{E73F39D1-3C0B-4EC9-8127-1C0BC85B9A86}"/>
    <cellStyle name="Normal 5 4 3" xfId="3498" xr:uid="{2D4D7C69-4DE4-4FC8-A914-E421AFAB2860}"/>
    <cellStyle name="Normal 5 4 3 2" xfId="3985" xr:uid="{57051FF7-67FD-4BE0-BCDE-C2DCB1C10FEC}"/>
    <cellStyle name="Normal 5 4 3 3" xfId="5290" xr:uid="{2B16A644-D6F6-4CB7-8274-CDFCA84F5E78}"/>
    <cellStyle name="Normal 5 4 3 4" xfId="6592" xr:uid="{57B1A571-DF1D-48C2-946A-D30934D5291A}"/>
    <cellStyle name="Normal 5 4 3 5" xfId="7895" xr:uid="{1080064F-B92C-411F-A589-EDEF115FA441}"/>
    <cellStyle name="Normal 5 4 4" xfId="4221" xr:uid="{1D47F7E6-A24D-47F2-B6B4-18B83FAAB6A9}"/>
    <cellStyle name="Normal 5 4 4 2" xfId="5526" xr:uid="{F21027B9-0750-4DCB-970E-A2F1B7009E13}"/>
    <cellStyle name="Normal 5 4 4 3" xfId="6828" xr:uid="{D18FA879-F441-47E5-BF72-31681FF436CE}"/>
    <cellStyle name="Normal 5 4 5" xfId="4500" xr:uid="{90BD197B-670B-4F7D-ACA2-2B7272B7B5C0}"/>
    <cellStyle name="Normal 5 4 5 2" xfId="5803" xr:uid="{C3ABC1F1-8AB2-4628-806F-085990BA6BA7}"/>
    <cellStyle name="Normal 5 4 5 3" xfId="7106" xr:uid="{6D782183-E12C-4D1D-9AF6-3C09584509CB}"/>
    <cellStyle name="Normal 5 4 6" xfId="4778" xr:uid="{4C974A1B-A231-4F66-98F8-FF48C970E820}"/>
    <cellStyle name="Normal 5 4 6 2" xfId="6080" xr:uid="{0EDA7418-F7F5-4228-827B-E356F0A8255E}"/>
    <cellStyle name="Normal 5 4 6 3" xfId="7383" xr:uid="{80103071-367D-4DB8-AB3F-AA8B048A95F7}"/>
    <cellStyle name="Normal 5 4 7" xfId="3756" xr:uid="{4B54F7F1-29A2-4CEF-BAFA-28527416A7F2}"/>
    <cellStyle name="Normal 5 4 8" xfId="5061" xr:uid="{A1FD30AB-8652-47F5-9F76-802BC5F79E3C}"/>
    <cellStyle name="Normal 5 4 9" xfId="6363" xr:uid="{D42BCF82-DE62-4211-8ABB-E22ECC134513}"/>
    <cellStyle name="Normal 5 5" xfId="2874" xr:uid="{9CDE6A7D-AF32-4552-B970-EE61A24273A0}"/>
    <cellStyle name="Normal 5 5 2" xfId="3543" xr:uid="{B74F021B-0F43-46BC-A2D3-0716E4A3AF8C}"/>
    <cellStyle name="Normal 5 5 2 2" xfId="4030" xr:uid="{0D5607E1-52DF-4D2C-A7AF-9E672EAFAE79}"/>
    <cellStyle name="Normal 5 5 2 3" xfId="5335" xr:uid="{5830CA41-C3B1-44FC-9E53-27F2C06DB3BD}"/>
    <cellStyle name="Normal 5 5 2 4" xfId="6637" xr:uid="{0D615469-8487-46FB-80A2-BD039EED8F38}"/>
    <cellStyle name="Normal 5 5 2 5" xfId="7940" xr:uid="{F0CA8CBD-1F46-4BD1-BB35-93DD6AE87A20}"/>
    <cellStyle name="Normal 5 5 3" xfId="4266" xr:uid="{179436E3-3A4B-4134-818C-B27924B34075}"/>
    <cellStyle name="Normal 5 5 3 2" xfId="5571" xr:uid="{21FE9889-0476-4AC8-9CD6-3169430B1747}"/>
    <cellStyle name="Normal 5 5 3 3" xfId="6873" xr:uid="{751AB593-885E-4978-BFC2-4262511C8089}"/>
    <cellStyle name="Normal 5 5 4" xfId="4546" xr:uid="{C83D620F-9881-4430-A0C3-184E08F9C246}"/>
    <cellStyle name="Normal 5 5 4 2" xfId="5848" xr:uid="{9AD5F0CC-E954-42CB-BFD3-AD84CD6C70A0}"/>
    <cellStyle name="Normal 5 5 4 3" xfId="7151" xr:uid="{533588D9-D7E1-4C06-B5A3-29CE1B38A4C5}"/>
    <cellStyle name="Normal 5 5 5" xfId="4823" xr:uid="{E46C02BA-705A-4F15-894E-ED8E72ED7A68}"/>
    <cellStyle name="Normal 5 5 5 2" xfId="6125" xr:uid="{ECE17825-DAFC-4737-A340-3BBE812315F3}"/>
    <cellStyle name="Normal 5 5 5 3" xfId="7428" xr:uid="{238DD68E-BA08-49D5-917F-2855C11F999D}"/>
    <cellStyle name="Normal 5 5 6" xfId="3801" xr:uid="{C4EB8A2C-5DF5-4BCC-8887-BE28ADB11319}"/>
    <cellStyle name="Normal 5 5 7" xfId="5106" xr:uid="{0118610E-4F1C-4794-A2A2-967333BE2C43}"/>
    <cellStyle name="Normal 5 5 8" xfId="6408" xr:uid="{4CFF2BAF-AE78-4D98-B08D-784F761E58B0}"/>
    <cellStyle name="Normal 5 5 9" xfId="7711" xr:uid="{4F097A65-C421-4BA3-805D-B490759D7CFC}"/>
    <cellStyle name="Normal 5 6" xfId="2919" xr:uid="{B16276D1-98A2-4189-986F-7A9FF9B2E12B}"/>
    <cellStyle name="Normal 5 6 2" xfId="3588" xr:uid="{DA980C1F-D20E-4C94-9DA4-E0EC327351BC}"/>
    <cellStyle name="Normal 5 6 2 2" xfId="4075" xr:uid="{5537CC37-9ECD-4919-A811-909100A425B8}"/>
    <cellStyle name="Normal 5 6 2 3" xfId="5380" xr:uid="{2475D97E-815B-4E76-A531-E7130AF6003C}"/>
    <cellStyle name="Normal 5 6 2 4" xfId="6682" xr:uid="{91CA7BB5-5C26-4E4E-B25D-36506BC3C527}"/>
    <cellStyle name="Normal 5 6 2 5" xfId="7985" xr:uid="{BEBDADB4-E82E-4BD9-8F58-F1421459D40D}"/>
    <cellStyle name="Normal 5 6 3" xfId="4311" xr:uid="{788CBBAD-FFC6-4317-BC82-1CCF8F129AB9}"/>
    <cellStyle name="Normal 5 6 3 2" xfId="5616" xr:uid="{2B331815-BCCD-41BF-BB93-539606758372}"/>
    <cellStyle name="Normal 5 6 3 3" xfId="6918" xr:uid="{7E87F5F8-EE53-4D2D-A5E3-D91509FEBE97}"/>
    <cellStyle name="Normal 5 6 4" xfId="4591" xr:uid="{901892EA-DB79-452F-B1D2-522F572BA886}"/>
    <cellStyle name="Normal 5 6 4 2" xfId="5893" xr:uid="{84A1D72D-0C74-470F-B23D-B8FB5F14D3CA}"/>
    <cellStyle name="Normal 5 6 4 3" xfId="7196" xr:uid="{B2A2874A-6EBD-49B4-8FE2-89B16CE16167}"/>
    <cellStyle name="Normal 5 6 5" xfId="4868" xr:uid="{DE527060-01C4-4731-81BE-DCA6DB655764}"/>
    <cellStyle name="Normal 5 6 5 2" xfId="6170" xr:uid="{3D550E8E-D8CF-4FFA-85CD-5816368F6BF4}"/>
    <cellStyle name="Normal 5 6 5 3" xfId="7473" xr:uid="{37096DD4-4FC4-4DFA-9901-52FE1D01FB82}"/>
    <cellStyle name="Normal 5 6 6" xfId="3846" xr:uid="{A72D8DA3-E319-4E37-AB4C-997FF7338D52}"/>
    <cellStyle name="Normal 5 6 7" xfId="5151" xr:uid="{4778D4B3-E9A3-4566-8C62-5B67ED4DCC25}"/>
    <cellStyle name="Normal 5 6 8" xfId="6453" xr:uid="{C2000FD3-8552-4CE9-9CAE-91595A5D784E}"/>
    <cellStyle name="Normal 5 6 9" xfId="7756" xr:uid="{85DCD422-1760-4299-BDD8-037E4AEE74C5}"/>
    <cellStyle name="Normal 5 7" xfId="3493" xr:uid="{41B135DA-8464-47C0-9614-72B8A4AC8E21}"/>
    <cellStyle name="Normal 5 7 2" xfId="4447" xr:uid="{09058312-A75E-4B97-8983-9F47D0B070E3}"/>
    <cellStyle name="Normal 5 7 2 2" xfId="5750" xr:uid="{59E0F654-0EEF-4C2B-8871-715855870BDA}"/>
    <cellStyle name="Normal 5 7 2 3" xfId="7053" xr:uid="{BA5F4F5B-7CC2-4145-8835-728B6B4026B1}"/>
    <cellStyle name="Normal 5 7 3" xfId="4725" xr:uid="{30683A50-FE81-41BF-9AE9-EE2AAEEC34AA}"/>
    <cellStyle name="Normal 5 7 3 2" xfId="6027" xr:uid="{B437D7C3-E83A-4471-A713-46299FA2F6BA}"/>
    <cellStyle name="Normal 5 7 3 3" xfId="7330" xr:uid="{39DBA8A9-54C2-446F-AF19-70E93EF74423}"/>
    <cellStyle name="Normal 5 7 4" xfId="5002" xr:uid="{5FF8962E-0AB6-46B8-B1F0-F0CA1440A917}"/>
    <cellStyle name="Normal 5 7 4 2" xfId="6304" xr:uid="{810F42AA-3770-4736-9ED9-03470E517754}"/>
    <cellStyle name="Normal 5 7 4 3" xfId="7607" xr:uid="{F6CF09A2-5847-49DA-9070-35B763CF0A89}"/>
    <cellStyle name="Normal 5 7 5" xfId="3980" xr:uid="{754C0376-601A-45DE-9EE7-687DFF274DDC}"/>
    <cellStyle name="Normal 5 7 6" xfId="5285" xr:uid="{F0B0892B-F3C1-4F4C-981F-E2EA1675FC87}"/>
    <cellStyle name="Normal 5 7 7" xfId="6587" xr:uid="{3DB8EBFE-FD49-499D-9C90-5AA00009B8C7}"/>
    <cellStyle name="Normal 5 7 8" xfId="7890" xr:uid="{D2183BF7-F65A-4BEA-81CD-BD9C0E7F2697}"/>
    <cellStyle name="Normal 5 8" xfId="3735" xr:uid="{545EF79B-AA68-4B74-B065-CE6B63D2B457}"/>
    <cellStyle name="Normal 5 8 2" xfId="4491" xr:uid="{E67E5205-3CC2-4E16-A973-7EF163256855}"/>
    <cellStyle name="Normal 5 8 2 2" xfId="5794" xr:uid="{A9288A72-A000-441B-9BE5-DAFEC5E825BF}"/>
    <cellStyle name="Normal 5 8 2 3" xfId="7097" xr:uid="{381B7511-F686-4E87-9E4F-E99FFDC3A373}"/>
    <cellStyle name="Normal 5 8 3" xfId="4769" xr:uid="{ABEFEF78-9795-4073-9271-AAFC6D0C776D}"/>
    <cellStyle name="Normal 5 8 3 2" xfId="6071" xr:uid="{77DD8658-21E1-44C2-A54A-39A1BF19C1EC}"/>
    <cellStyle name="Normal 5 8 3 3" xfId="7374" xr:uid="{6C84F0BF-7FDE-4A79-9BDD-9EBB779630B3}"/>
    <cellStyle name="Normal 5 8 4" xfId="5046" xr:uid="{64C6E252-9F54-4FEC-9BA0-C334A95EC16A}"/>
    <cellStyle name="Normal 5 8 4 2" xfId="6348" xr:uid="{4B865A25-C127-4A90-887C-3E30290E403C}"/>
    <cellStyle name="Normal 5 8 4 3" xfId="7651" xr:uid="{33D66779-215F-4D36-9369-839C2F58578B}"/>
    <cellStyle name="Normal 5 8 5" xfId="4206" xr:uid="{3D390606-19ED-4820-BC0F-8AD51622EBCA}"/>
    <cellStyle name="Normal 5 8 6" xfId="5511" xr:uid="{24D3DEE8-CBA8-4A98-AC3B-FE8E62B57962}"/>
    <cellStyle name="Normal 5 8 7" xfId="6813" xr:uid="{95455143-8452-4991-ADE5-BBA2A17446C3}"/>
    <cellStyle name="Normal 5 8 8" xfId="8116" xr:uid="{1F068F25-51A5-4CA0-A799-9362B16975E0}"/>
    <cellStyle name="Normal 5 9" xfId="23" xr:uid="{DAEDE8B2-8047-4188-9525-6B3EF0C60E03}"/>
    <cellStyle name="Normal 5 9 2" xfId="3751" xr:uid="{7CA4C22D-5A47-4B74-A988-A6409B142E35}"/>
    <cellStyle name="Normal 5 9 3" xfId="5056" xr:uid="{75060B93-965A-4389-9414-53545AB22DC5}"/>
    <cellStyle name="Normal 5 9 4" xfId="6358" xr:uid="{F5654C8F-0965-4E70-9D81-0E6FA12891F7}"/>
    <cellStyle name="Normal 5 9 5" xfId="7661" xr:uid="{E5E68CAD-A53F-470E-ACE7-BFEDEE2CA9FB}"/>
    <cellStyle name="Normal 6" xfId="2544" xr:uid="{314036B0-785A-4AFB-953C-3B272D73EC81}"/>
    <cellStyle name="Normal 6 2" xfId="2267" xr:uid="{A0D4D034-8A18-4339-BC30-62331279CE35}"/>
    <cellStyle name="Normal 6 3" xfId="3741" xr:uid="{B41CBBCE-0FE1-4DBA-A765-A8BB89A926BD}"/>
    <cellStyle name="Normal 6 3 2" xfId="4212" xr:uid="{A9F472A7-6BC5-41D9-9D9D-CD0272824451}"/>
    <cellStyle name="Normal 6 3 3" xfId="5517" xr:uid="{8CE699CC-3ECF-47EC-A892-9F4E9EE0C6EF}"/>
    <cellStyle name="Normal 6 3 4" xfId="6819" xr:uid="{3B80B0A5-19C9-4C82-A0F5-FAEF8ED9351D}"/>
    <cellStyle name="Normal 6 3 5" xfId="8122" xr:uid="{DFED4F95-2EF7-4537-8B66-654A6468F1B3}"/>
    <cellStyle name="Normal 7" xfId="2866" xr:uid="{1A5EBC8E-C577-4BE4-9901-2C790FF2E51B}"/>
    <cellStyle name="Normal 7 10" xfId="3795" xr:uid="{5E09644C-FB55-4019-9AEB-8EAE34DEE940}"/>
    <cellStyle name="Normal 7 11" xfId="5100" xr:uid="{26BB31D7-2F93-46BD-BFB4-4D75AC1B9BAC}"/>
    <cellStyle name="Normal 7 12" xfId="6402" xr:uid="{72858B12-3B33-418C-B4BA-7E4B2D2C31AB}"/>
    <cellStyle name="Normal 7 13" xfId="7705" xr:uid="{4CD191A7-5C10-436A-929A-F2563B205010}"/>
    <cellStyle name="Normal 7 2" xfId="2268" xr:uid="{F93289B2-2BD3-4059-ADE4-1D73F8E2B13F}"/>
    <cellStyle name="Normal 7 3" xfId="2913" xr:uid="{54EB395F-094C-473E-973F-35A06108F5E8}"/>
    <cellStyle name="Normal 7 3 10" xfId="7750" xr:uid="{47C6B34C-42F2-411F-9206-D851F0D251A1}"/>
    <cellStyle name="Normal 7 3 2" xfId="3014" xr:uid="{0CC8CE9E-20E3-4227-96A6-8EBD0124B649}"/>
    <cellStyle name="Normal 7 3 2 2" xfId="3683" xr:uid="{4FB38077-A461-46FB-B59B-6FC1E8763E4F}"/>
    <cellStyle name="Normal 7 3 2 2 2" xfId="4154" xr:uid="{E217B7F5-DF3F-4931-8E61-B76E71AD625B}"/>
    <cellStyle name="Normal 7 3 2 2 3" xfId="5459" xr:uid="{74FC27E7-5578-470C-B7B6-A7C77A29BB95}"/>
    <cellStyle name="Normal 7 3 2 2 4" xfId="6761" xr:uid="{034DC3F6-1579-45A2-9F14-83C091B524E3}"/>
    <cellStyle name="Normal 7 3 2 2 5" xfId="8064" xr:uid="{46E500BC-C6BE-4783-A4ED-1EE160615E01}"/>
    <cellStyle name="Normal 7 3 2 3" xfId="4390" xr:uid="{2C6D796E-2F82-4F5C-A4B0-E2D7C912BD9E}"/>
    <cellStyle name="Normal 7 3 2 3 2" xfId="5695" xr:uid="{59431BF0-8838-4A2E-8034-873E76EAA901}"/>
    <cellStyle name="Normal 7 3 2 3 3" xfId="6997" xr:uid="{C8039D44-9371-4CF6-A334-3E6C733690DB}"/>
    <cellStyle name="Normal 7 3 2 4" xfId="4670" xr:uid="{0EDF095F-60FC-4503-9B4C-B3AE05DE83B7}"/>
    <cellStyle name="Normal 7 3 2 4 2" xfId="5972" xr:uid="{65DF6413-352E-49A5-9A79-7EA4E3EA5A5B}"/>
    <cellStyle name="Normal 7 3 2 4 3" xfId="7275" xr:uid="{DD62C389-48FF-4718-8FFA-AA5C19825F2F}"/>
    <cellStyle name="Normal 7 3 2 5" xfId="4947" xr:uid="{3084DE42-3DA6-4FD4-A6F8-3ECE0ACF66EB}"/>
    <cellStyle name="Normal 7 3 2 5 2" xfId="6249" xr:uid="{2B302F03-6F17-468D-91EC-8030386ACD7C}"/>
    <cellStyle name="Normal 7 3 2 5 3" xfId="7552" xr:uid="{24911854-6DDE-4A23-B07E-5DFCA83C1763}"/>
    <cellStyle name="Normal 7 3 2 6" xfId="3925" xr:uid="{05C0495C-6189-4058-827D-07BEB8568F87}"/>
    <cellStyle name="Normal 7 3 2 7" xfId="5230" xr:uid="{F1D1E1BB-7B01-4078-B4F1-01F0BFBA794A}"/>
    <cellStyle name="Normal 7 3 2 8" xfId="6532" xr:uid="{E8989182-DAC1-4954-896A-A7E75D2038AB}"/>
    <cellStyle name="Normal 7 3 2 9" xfId="7835" xr:uid="{4C799BA8-B30D-4609-9940-193368877C4B}"/>
    <cellStyle name="Normal 7 3 3" xfId="3582" xr:uid="{7D2264C0-F1A9-4DCA-A32A-EB499D494EBF}"/>
    <cellStyle name="Normal 7 3 3 2" xfId="4069" xr:uid="{FD35BB98-0958-4A2A-B72B-B3F0D3514E0F}"/>
    <cellStyle name="Normal 7 3 3 3" xfId="5374" xr:uid="{6D8F6258-52AB-487F-88E6-E54E19E98FD4}"/>
    <cellStyle name="Normal 7 3 3 4" xfId="6676" xr:uid="{1755E21E-F1DC-4F74-8235-4FAD73169287}"/>
    <cellStyle name="Normal 7 3 3 5" xfId="7979" xr:uid="{B52E4FB6-7B8E-48F5-A684-0AB1B2F24F6B}"/>
    <cellStyle name="Normal 7 3 4" xfId="4305" xr:uid="{10BDAC87-0255-4600-BBAE-6FFFA8EF3B79}"/>
    <cellStyle name="Normal 7 3 4 2" xfId="5610" xr:uid="{4FBD4F7A-0600-466D-8CA3-5FB09A8888B6}"/>
    <cellStyle name="Normal 7 3 4 3" xfId="6912" xr:uid="{6953A143-F9DA-4026-8768-F06C0FD7BCBE}"/>
    <cellStyle name="Normal 7 3 5" xfId="4585" xr:uid="{BA66E67A-774C-4690-9B94-AF084B30C059}"/>
    <cellStyle name="Normal 7 3 5 2" xfId="5887" xr:uid="{A75ED837-BEAE-4582-87F6-7BC3D83D9457}"/>
    <cellStyle name="Normal 7 3 5 3" xfId="7190" xr:uid="{8723DEAB-AB96-45A9-915A-518D43ED4C2B}"/>
    <cellStyle name="Normal 7 3 6" xfId="4862" xr:uid="{2C192A02-4857-406B-95B8-B7F235C62B45}"/>
    <cellStyle name="Normal 7 3 6 2" xfId="6164" xr:uid="{31E435B1-B207-4104-A676-E0C27FCEB7DE}"/>
    <cellStyle name="Normal 7 3 6 3" xfId="7467" xr:uid="{2FF6454E-D3BA-4CD8-8A63-9DF1577F35EB}"/>
    <cellStyle name="Normal 7 3 7" xfId="3840" xr:uid="{AB35F86D-4875-4F98-8D8F-6C6EB18C7A60}"/>
    <cellStyle name="Normal 7 3 8" xfId="5145" xr:uid="{2CE36F07-D87C-425D-8E60-0148EEC9956F}"/>
    <cellStyle name="Normal 7 3 9" xfId="6447" xr:uid="{13468F76-4A87-4021-AE56-973A8BC9A2C9}"/>
    <cellStyle name="Normal 7 4" xfId="3458" xr:uid="{1092CC19-2F99-4393-B784-EFC2A6AEB43C}"/>
    <cellStyle name="Normal 7 4 2" xfId="3723" xr:uid="{0D55B3BF-BBD0-4E9D-86FD-488182A6561F}"/>
    <cellStyle name="Normal 7 4 2 2" xfId="4194" xr:uid="{1257AB05-2D28-43F2-A181-E7C59C56A440}"/>
    <cellStyle name="Normal 7 4 2 3" xfId="5499" xr:uid="{6A7D73F8-1D52-4AE7-822C-46453CEC561F}"/>
    <cellStyle name="Normal 7 4 2 4" xfId="6801" xr:uid="{63203651-A70A-450D-8906-6BE1AEDDD006}"/>
    <cellStyle name="Normal 7 4 2 5" xfId="8104" xr:uid="{BEAADC8D-0A0D-4189-9BF7-2D3057851175}"/>
    <cellStyle name="Normal 7 4 3" xfId="4430" xr:uid="{A840748F-7C74-4CD0-A812-2D2ADEE5ED3A}"/>
    <cellStyle name="Normal 7 4 3 2" xfId="5735" xr:uid="{FC152AD9-1694-49EF-B2E4-4E72AA363CE4}"/>
    <cellStyle name="Normal 7 4 3 3" xfId="7037" xr:uid="{77929471-8DA3-4F5C-9EA2-CA071A4A7F8D}"/>
    <cellStyle name="Normal 7 4 4" xfId="4710" xr:uid="{9E6F0900-6406-4F04-8FEF-F4829BE9CEB9}"/>
    <cellStyle name="Normal 7 4 4 2" xfId="6012" xr:uid="{BBC8DE04-7623-458D-95F2-F690A713EEC4}"/>
    <cellStyle name="Normal 7 4 4 3" xfId="7315" xr:uid="{39CF7A33-0B88-4494-AA11-631779A85478}"/>
    <cellStyle name="Normal 7 4 5" xfId="4987" xr:uid="{C796587F-E71B-485D-A804-445733DE54B5}"/>
    <cellStyle name="Normal 7 4 5 2" xfId="6289" xr:uid="{61608C47-93D8-44F1-9DF3-B0F527D3F6CB}"/>
    <cellStyle name="Normal 7 4 5 3" xfId="7592" xr:uid="{F1B74649-2F97-4338-AA16-B34F2C93885C}"/>
    <cellStyle name="Normal 7 4 6" xfId="3965" xr:uid="{FD6FD0F2-7897-4A93-88AE-473732B48AF9}"/>
    <cellStyle name="Normal 7 4 7" xfId="5270" xr:uid="{DC1F6F1E-E3E4-4FD0-82C2-67001EDD1ECA}"/>
    <cellStyle name="Normal 7 4 8" xfId="6572" xr:uid="{4B7E004F-88B3-4EEE-AA4F-F9887A2D3C39}"/>
    <cellStyle name="Normal 7 4 9" xfId="7875" xr:uid="{C6B01B4A-0E71-4BBF-B073-E6E7084A81B5}"/>
    <cellStyle name="Normal 7 5" xfId="2958" xr:uid="{99099E35-371D-44EE-A4D8-19D973BD4E12}"/>
    <cellStyle name="Normal 7 5 2" xfId="3627" xr:uid="{6A79BA35-1D50-41F6-B98D-FCBCCD565DF3}"/>
    <cellStyle name="Normal 7 5 2 2" xfId="4114" xr:uid="{9B98B4E9-3A7D-441C-A9DD-FB42A10D5CFE}"/>
    <cellStyle name="Normal 7 5 2 3" xfId="5419" xr:uid="{0E0AE8AE-44F3-4BA7-AFBD-1BA9CEC9E77B}"/>
    <cellStyle name="Normal 7 5 2 4" xfId="6721" xr:uid="{9AC0D17F-24F4-4D93-933C-7921C287B079}"/>
    <cellStyle name="Normal 7 5 2 5" xfId="8024" xr:uid="{079AA2E0-8E59-4F02-9D05-E1AE1C654808}"/>
    <cellStyle name="Normal 7 5 3" xfId="4350" xr:uid="{B265ADFA-FA41-4FBF-A8DE-D208DB65F63F}"/>
    <cellStyle name="Normal 7 5 3 2" xfId="5655" xr:uid="{B8B026EC-CF23-4EE8-AB76-5A594AE56598}"/>
    <cellStyle name="Normal 7 5 3 3" xfId="6957" xr:uid="{B1F1A5BE-EFDF-43C1-91CA-1935C5810B1B}"/>
    <cellStyle name="Normal 7 5 4" xfId="4630" xr:uid="{610646DF-5294-4A6C-8417-A9BBCD793D78}"/>
    <cellStyle name="Normal 7 5 4 2" xfId="5932" xr:uid="{E9C4F0B9-821E-49FB-90FA-536B4FA953A3}"/>
    <cellStyle name="Normal 7 5 4 3" xfId="7235" xr:uid="{26026265-611F-4B2E-81BF-980D1FACC03D}"/>
    <cellStyle name="Normal 7 5 5" xfId="4907" xr:uid="{43AF1CE8-1649-43F0-9064-9548F33142DF}"/>
    <cellStyle name="Normal 7 5 5 2" xfId="6209" xr:uid="{0B8ACA52-7F88-45A8-B86C-DEFA5470B8A2}"/>
    <cellStyle name="Normal 7 5 5 3" xfId="7512" xr:uid="{5F1BCF30-8DF6-41FC-860A-71BC595A06B6}"/>
    <cellStyle name="Normal 7 5 6" xfId="3885" xr:uid="{34B856DD-2BAA-4C02-A404-A3CD3A25061F}"/>
    <cellStyle name="Normal 7 5 7" xfId="5190" xr:uid="{EBE64C69-DDEF-410F-966B-29D96690BF48}"/>
    <cellStyle name="Normal 7 5 8" xfId="6492" xr:uid="{5F2634EA-188A-409F-B18B-A309A7171E40}"/>
    <cellStyle name="Normal 7 5 9" xfId="7795" xr:uid="{3F31CA9A-6D01-4FB4-A330-F8C766A8DF66}"/>
    <cellStyle name="Normal 7 6" xfId="3537" xr:uid="{0B2E2D67-91A9-4261-A82B-2178984B9A39}"/>
    <cellStyle name="Normal 7 6 2" xfId="4486" xr:uid="{BEA9DF54-8D44-42EC-A986-4C9603FEC754}"/>
    <cellStyle name="Normal 7 6 2 2" xfId="5789" xr:uid="{19CF0152-2B3A-442F-9AF1-700B328A2D4D}"/>
    <cellStyle name="Normal 7 6 2 3" xfId="7092" xr:uid="{3C6C208A-D11D-4336-8232-CE5525E81AA1}"/>
    <cellStyle name="Normal 7 6 3" xfId="4764" xr:uid="{EB7E8B1B-5E2B-40B1-929E-6C27B169E749}"/>
    <cellStyle name="Normal 7 6 3 2" xfId="6066" xr:uid="{B8759EAE-EB18-4C2B-99C5-8108DDB8A022}"/>
    <cellStyle name="Normal 7 6 3 3" xfId="7369" xr:uid="{41161480-6D46-44E7-B84C-8BEA05C97E92}"/>
    <cellStyle name="Normal 7 6 4" xfId="5041" xr:uid="{0D5F1955-9CB0-40FA-A78C-8CD1C0C48128}"/>
    <cellStyle name="Normal 7 6 4 2" xfId="6343" xr:uid="{EA961E58-18EC-4F53-9DE1-14F7FEFDED24}"/>
    <cellStyle name="Normal 7 6 4 3" xfId="7646" xr:uid="{69E4C9DC-E237-4475-8EED-F5AD9AB105FA}"/>
    <cellStyle name="Normal 7 6 5" xfId="4024" xr:uid="{CF299215-C975-46BC-8E14-E12083534959}"/>
    <cellStyle name="Normal 7 6 6" xfId="5329" xr:uid="{599A4537-49FF-4D44-9FB8-839C5B2FE4E5}"/>
    <cellStyle name="Normal 7 6 7" xfId="6631" xr:uid="{8BB8F40F-881B-472E-83CA-A7DE4E8ACF38}"/>
    <cellStyle name="Normal 7 6 8" xfId="7934" xr:uid="{10BE85EA-EFC7-4E5D-988C-8994A2CC91FB}"/>
    <cellStyle name="Normal 7 7" xfId="4260" xr:uid="{62EA9EC8-3F01-41B8-9837-F918CA953BAE}"/>
    <cellStyle name="Normal 7 7 2" xfId="5565" xr:uid="{AB98A3E3-DC9B-470A-AC6D-D70C16215BAA}"/>
    <cellStyle name="Normal 7 7 3" xfId="6867" xr:uid="{195C634C-AFB0-4894-AE9D-B0D30980DBF7}"/>
    <cellStyle name="Normal 7 8" xfId="4540" xr:uid="{25931726-B928-4C79-ABEC-662A5D030BD9}"/>
    <cellStyle name="Normal 7 8 2" xfId="5842" xr:uid="{C9A98CE9-68E9-4B0A-AD65-40C138D9C386}"/>
    <cellStyle name="Normal 7 8 3" xfId="7145" xr:uid="{E77BCB65-2B0F-4AE1-ADDE-EA18E3E2E5E7}"/>
    <cellStyle name="Normal 7 9" xfId="4817" xr:uid="{DB4A8BA3-13E0-45E2-9021-978FC2E83329}"/>
    <cellStyle name="Normal 7 9 2" xfId="6119" xr:uid="{4854CC7C-18AD-46C6-9790-9A5A4916AD02}"/>
    <cellStyle name="Normal 7 9 3" xfId="7422" xr:uid="{E6EB9E2C-BFAE-4EB8-990A-0D66036E10A0}"/>
    <cellStyle name="Normal 8" xfId="3479" xr:uid="{F65E7F24-28BF-47D4-B373-5F9607D80DE1}"/>
    <cellStyle name="Normal 8 10" xfId="7878" xr:uid="{10525F28-17EA-4B48-A993-5F8713D0F9DF}"/>
    <cellStyle name="Normal 8 2" xfId="2269" xr:uid="{B3E2D75E-C975-46FE-B6CD-080EE9FE5F8B}"/>
    <cellStyle name="Normal 8 3" xfId="3726" xr:uid="{D5BC5667-1DB1-4948-AF65-C6F8BB8B7555}"/>
    <cellStyle name="Normal 8 3 2" xfId="4442" xr:uid="{010C6BE1-DD70-4376-ABFA-2C04A7AB2EFC}"/>
    <cellStyle name="Normal 8 3 2 2" xfId="7049" xr:uid="{8FC58234-2186-40B4-BB60-6119662F9C8D}"/>
    <cellStyle name="Normal 8 3 3" xfId="4515" xr:uid="{CE2B8C5E-5DB3-440F-A2F5-FCA75833B32F}"/>
    <cellStyle name="Normal 8 3 4" xfId="4197" xr:uid="{4E6B6557-84D2-4E14-BB58-D578255921C5}"/>
    <cellStyle name="Normal 8 3 5" xfId="5502" xr:uid="{94200D5E-17AF-486E-90B3-9864CB6CAF77}"/>
    <cellStyle name="Normal 8 3 6" xfId="6804" xr:uid="{38C71CF1-099C-417C-97B8-16F7ED19ECE1}"/>
    <cellStyle name="Normal 8 3 7" xfId="8107" xr:uid="{665D379C-46F4-42BD-A384-1FBD044A7824}"/>
    <cellStyle name="Normal 8 4" xfId="4433" xr:uid="{7664F829-94E7-4820-A37A-14F73A528D8A}"/>
    <cellStyle name="Normal 8 4 2" xfId="5738" xr:uid="{852C3F16-E341-4FE6-91D9-EFD64284CBAC}"/>
    <cellStyle name="Normal 8 4 3" xfId="7040" xr:uid="{A3491151-F0D1-458B-815A-A8CBF9F36B95}"/>
    <cellStyle name="Normal 8 5" xfId="4713" xr:uid="{2502CC25-0789-4EB0-9B70-C78E5917AAE0}"/>
    <cellStyle name="Normal 8 5 2" xfId="6015" xr:uid="{5C4BFF9D-03EB-4848-92BA-D5F1C44946AD}"/>
    <cellStyle name="Normal 8 5 3" xfId="7318" xr:uid="{949BCC41-A6F5-484E-8CF1-C30F2F08DD3E}"/>
    <cellStyle name="Normal 8 6" xfId="4990" xr:uid="{A39512F7-0EE2-40EC-83A6-668BADF58D32}"/>
    <cellStyle name="Normal 8 6 2" xfId="6292" xr:uid="{80484C07-9E46-4B38-B4E7-34CCC09FD7DA}"/>
    <cellStyle name="Normal 8 6 3" xfId="7595" xr:uid="{8AAD2C9A-CB1F-4B8B-A810-E645054AC928}"/>
    <cellStyle name="Normal 8 7" xfId="3968" xr:uid="{321F0010-7F1D-46A2-87CA-8D9D47A7D733}"/>
    <cellStyle name="Normal 8 8" xfId="5273" xr:uid="{EFBB0457-4541-4047-A6BF-ACB970238324}"/>
    <cellStyle name="Normal 8 9" xfId="6575" xr:uid="{3C3BE028-8D8D-4C61-9D28-4CCFF4DE4D51}"/>
    <cellStyle name="Normal 9" xfId="3488" xr:uid="{844A5AAC-0016-4F26-AD04-958A1857C958}"/>
    <cellStyle name="Normal 9 2" xfId="2270" xr:uid="{4026FFF1-6FA7-4274-95BC-226DD80F2186}"/>
    <cellStyle name="Normal 9 3" xfId="4441" xr:uid="{BE10ED09-9F10-46EB-AE7C-F0422EF69750}"/>
    <cellStyle name="Normal 9 3 2" xfId="5746" xr:uid="{3E511C81-3529-404F-847E-B4642B02F138}"/>
    <cellStyle name="Normal 9 3 3" xfId="7048" xr:uid="{BD1FF443-120B-4CC3-A63A-4806F34AA35A}"/>
    <cellStyle name="Normal 9 4" xfId="4721" xr:uid="{BFF5035A-CA4C-42B1-AF9B-1F6237263A45}"/>
    <cellStyle name="Normal 9 4 2" xfId="6023" xr:uid="{3F792AE7-CF30-4FD2-A2D1-0E84B8A054BF}"/>
    <cellStyle name="Normal 9 4 3" xfId="7326" xr:uid="{0F7BF0B6-86A3-4F85-AE95-486A4000258E}"/>
    <cellStyle name="Normal 9 5" xfId="4998" xr:uid="{4D7FD28D-D355-4793-8EE7-5B4C5E6B2A0E}"/>
    <cellStyle name="Normal 9 5 2" xfId="6300" xr:uid="{62C58338-4915-47E9-AB2C-FEC09446B1E4}"/>
    <cellStyle name="Normal 9 5 3" xfId="7603" xr:uid="{562D3464-2BDC-417C-A3E1-8A6FCD54C44B}"/>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xdr:col>
          <xdr:colOff>790575</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xdr:row>
          <xdr:rowOff>103908</xdr:rowOff>
        </xdr:from>
        <xdr:to>
          <xdr:col>1</xdr:col>
          <xdr:colOff>888423</xdr:colOff>
          <xdr:row>9</xdr:row>
          <xdr:rowOff>142008</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33"/>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3">
        <f>+'AFR20'!E4</f>
        <v>44119</v>
      </c>
      <c r="C1" s="2193"/>
      <c r="D1" s="2194"/>
      <c r="I1" s="2152" t="s">
        <v>402</v>
      </c>
      <c r="J1" s="2153"/>
      <c r="K1" s="2153"/>
      <c r="L1" s="2153"/>
      <c r="M1" s="2153"/>
      <c r="N1" s="2153"/>
      <c r="O1" s="2153"/>
      <c r="P1" s="2153"/>
      <c r="Q1" s="2153"/>
      <c r="R1" s="2153"/>
      <c r="S1" s="2153"/>
    </row>
    <row r="2" spans="1:32" ht="12" customHeight="1" x14ac:dyDescent="0.2">
      <c r="A2" s="1820" t="str">
        <f>"Due to ISBE on "</f>
        <v xml:space="preserve">Due to ISBE on </v>
      </c>
      <c r="B2" s="2195">
        <f>+'AFR20'!F4</f>
        <v>44151</v>
      </c>
      <c r="C2" s="2195"/>
      <c r="D2" s="2196"/>
      <c r="I2" s="2154" t="s">
        <v>1997</v>
      </c>
      <c r="J2" s="2153"/>
      <c r="K2" s="2153"/>
      <c r="L2" s="2153"/>
      <c r="M2" s="2153"/>
      <c r="N2" s="2153"/>
      <c r="O2" s="2153"/>
      <c r="P2" s="2153"/>
      <c r="Q2" s="2153"/>
      <c r="R2" s="2153"/>
      <c r="S2" s="2153"/>
    </row>
    <row r="3" spans="1:32" ht="12" customHeight="1" x14ac:dyDescent="0.2">
      <c r="A3" s="1823" t="str">
        <f>"SD/JA"&amp;MID('AFR20'!E2,3,2)</f>
        <v>SD/JA20</v>
      </c>
      <c r="B3" s="151"/>
      <c r="C3" s="151"/>
      <c r="D3" s="152"/>
      <c r="I3" s="2154" t="s">
        <v>52</v>
      </c>
      <c r="J3" s="2153"/>
      <c r="K3" s="2153"/>
      <c r="L3" s="2153"/>
      <c r="M3" s="2153"/>
      <c r="N3" s="2153"/>
      <c r="O3" s="2153"/>
      <c r="P3" s="2153"/>
      <c r="Q3" s="2153"/>
      <c r="R3" s="2153"/>
      <c r="S3" s="2153"/>
    </row>
    <row r="4" spans="1:32" ht="12" customHeight="1" x14ac:dyDescent="0.2">
      <c r="A4" s="37"/>
      <c r="I4" s="2154" t="s">
        <v>521</v>
      </c>
      <c r="J4" s="2153"/>
      <c r="K4" s="2153"/>
      <c r="L4" s="2153"/>
      <c r="M4" s="2153"/>
      <c r="N4" s="2153"/>
      <c r="O4" s="2153"/>
      <c r="P4" s="2153"/>
      <c r="Q4" s="2153"/>
      <c r="R4" s="2153"/>
      <c r="S4" s="2153"/>
    </row>
    <row r="5" spans="1:32" ht="14.1" customHeight="1" x14ac:dyDescent="0.2">
      <c r="B5" s="101" t="s">
        <v>2132</v>
      </c>
      <c r="C5" s="26" t="s">
        <v>903</v>
      </c>
      <c r="D5" s="81"/>
      <c r="E5" s="81"/>
      <c r="H5" s="38"/>
      <c r="I5" s="2162" t="s">
        <v>675</v>
      </c>
      <c r="J5" s="2161"/>
      <c r="K5" s="2161"/>
      <c r="L5" s="2161"/>
      <c r="M5" s="2161"/>
      <c r="N5" s="2161"/>
      <c r="O5" s="2161"/>
      <c r="P5" s="2161"/>
      <c r="Q5" s="2161"/>
      <c r="R5" s="2161"/>
      <c r="S5" s="2161"/>
      <c r="AF5" s="1816"/>
    </row>
    <row r="6" spans="1:32" ht="14.1" customHeight="1" x14ac:dyDescent="0.2">
      <c r="B6" s="101"/>
      <c r="C6" s="26" t="s">
        <v>904</v>
      </c>
      <c r="D6" s="81"/>
      <c r="E6" s="81"/>
      <c r="I6" s="2160" t="s">
        <v>876</v>
      </c>
      <c r="J6" s="2161"/>
      <c r="K6" s="2161"/>
      <c r="L6" s="2161"/>
      <c r="M6" s="2161"/>
      <c r="N6" s="2161"/>
      <c r="O6" s="2161"/>
      <c r="P6" s="2161"/>
      <c r="Q6" s="2161"/>
      <c r="R6" s="2161"/>
      <c r="S6" s="2161"/>
    </row>
    <row r="7" spans="1:32" ht="12.2" customHeight="1" x14ac:dyDescent="0.2">
      <c r="I7" s="2155" t="str">
        <f>"June 30, "&amp;'AFR20'!E2</f>
        <v>June 30, 2020</v>
      </c>
      <c r="J7" s="2156"/>
      <c r="K7" s="2156"/>
      <c r="L7" s="2156"/>
      <c r="M7" s="2156"/>
      <c r="N7" s="2156"/>
      <c r="O7" s="2156"/>
      <c r="P7" s="2156"/>
      <c r="Q7" s="2156"/>
      <c r="R7" s="2156"/>
      <c r="S7" s="215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7" t="s">
        <v>669</v>
      </c>
      <c r="J9" s="2158"/>
      <c r="K9" s="2158"/>
      <c r="L9" s="2158"/>
      <c r="M9" s="2158"/>
      <c r="N9" s="2158"/>
      <c r="O9" s="2158"/>
      <c r="P9" s="2158"/>
      <c r="Q9" s="2158"/>
      <c r="R9" s="2158"/>
      <c r="S9" s="2159"/>
      <c r="T9" s="2210" t="s">
        <v>530</v>
      </c>
      <c r="U9" s="2211"/>
      <c r="V9" s="2211"/>
      <c r="W9" s="2211"/>
      <c r="X9" s="2211"/>
      <c r="Y9" s="2211"/>
      <c r="Z9" s="2211"/>
      <c r="AA9" s="2212"/>
    </row>
    <row r="10" spans="1:32" ht="13.5" customHeight="1" x14ac:dyDescent="0.2">
      <c r="A10" s="2217" t="s">
        <v>670</v>
      </c>
      <c r="B10" s="2218"/>
      <c r="C10" s="2218"/>
      <c r="D10" s="2218"/>
      <c r="E10" s="2218"/>
      <c r="F10" s="2218"/>
      <c r="G10" s="2218"/>
      <c r="H10" s="2219"/>
      <c r="I10" s="29"/>
      <c r="J10" s="30"/>
      <c r="K10" s="28"/>
      <c r="R10" s="30"/>
      <c r="S10" s="30"/>
      <c r="T10" s="2213"/>
      <c r="U10" s="2161"/>
      <c r="V10" s="2161"/>
      <c r="W10" s="2161"/>
      <c r="X10" s="2161"/>
      <c r="Y10" s="2161"/>
      <c r="Z10" s="2161"/>
      <c r="AA10" s="2167"/>
    </row>
    <row r="11" spans="1:32" ht="14.25" customHeight="1" x14ac:dyDescent="0.2">
      <c r="A11" s="2220" t="s">
        <v>948</v>
      </c>
      <c r="B11" s="2221"/>
      <c r="C11" s="2221"/>
      <c r="D11" s="2221"/>
      <c r="E11" s="2221"/>
      <c r="F11" s="2221"/>
      <c r="G11" s="2221"/>
      <c r="H11" s="2222"/>
      <c r="I11" s="27"/>
      <c r="J11" s="71"/>
      <c r="K11" s="27"/>
      <c r="O11" s="144" t="s">
        <v>2132</v>
      </c>
      <c r="P11" s="97" t="s">
        <v>199</v>
      </c>
      <c r="Q11" s="30"/>
      <c r="R11" s="28"/>
      <c r="S11" s="27"/>
      <c r="T11" s="2214"/>
      <c r="U11" s="2215"/>
      <c r="V11" s="2215"/>
      <c r="W11" s="2215"/>
      <c r="X11" s="2215"/>
      <c r="Y11" s="2215"/>
      <c r="Z11" s="2215"/>
      <c r="AA11" s="2216"/>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73">
        <v>34049034004</v>
      </c>
      <c r="B13" s="2174"/>
      <c r="C13" s="2174"/>
      <c r="D13" s="2174"/>
      <c r="E13" s="2174"/>
      <c r="F13" s="2174"/>
      <c r="G13" s="2174"/>
      <c r="H13" s="2175"/>
      <c r="I13" s="31"/>
      <c r="J13" s="30"/>
      <c r="K13" s="28"/>
      <c r="L13" s="30"/>
      <c r="M13" s="30"/>
      <c r="N13" s="30"/>
      <c r="O13" s="30"/>
      <c r="P13" s="30"/>
      <c r="Q13" s="30"/>
      <c r="R13" s="30"/>
      <c r="S13" s="30"/>
      <c r="T13" s="2179" t="s">
        <v>2012</v>
      </c>
      <c r="U13" s="2180"/>
      <c r="V13" s="2180"/>
      <c r="W13" s="2180"/>
      <c r="X13" s="2180"/>
      <c r="Y13" s="2181"/>
      <c r="Z13" s="2181"/>
      <c r="AA13" s="218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76" t="s">
        <v>2117</v>
      </c>
      <c r="B15" s="2177"/>
      <c r="C15" s="2177"/>
      <c r="D15" s="2177"/>
      <c r="E15" s="2177"/>
      <c r="F15" s="2177"/>
      <c r="G15" s="2177"/>
      <c r="H15" s="2178"/>
      <c r="T15" s="2183" t="s">
        <v>2133</v>
      </c>
      <c r="U15" s="2140"/>
      <c r="V15" s="2140"/>
      <c r="W15" s="2140"/>
      <c r="X15" s="2140"/>
      <c r="Y15" s="2184"/>
      <c r="Z15" s="2184"/>
      <c r="AA15" s="218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6" t="s">
        <v>2204</v>
      </c>
      <c r="B17" s="2147"/>
      <c r="C17" s="2147"/>
      <c r="D17" s="2147"/>
      <c r="E17" s="2147"/>
      <c r="F17" s="2147"/>
      <c r="G17" s="2147"/>
      <c r="H17" s="2172"/>
      <c r="T17" s="2190" t="s">
        <v>2013</v>
      </c>
      <c r="U17" s="2191"/>
      <c r="V17" s="2191"/>
      <c r="W17" s="2191"/>
      <c r="X17" s="2191"/>
      <c r="Y17" s="2191"/>
      <c r="Z17" s="2191"/>
      <c r="AA17" s="2192"/>
    </row>
    <row r="18" spans="1:27" ht="13.5" customHeight="1" x14ac:dyDescent="0.2">
      <c r="A18" s="82" t="s">
        <v>527</v>
      </c>
      <c r="B18" s="73"/>
      <c r="C18" s="69"/>
      <c r="D18" s="73"/>
      <c r="E18" s="73"/>
      <c r="F18" s="73"/>
      <c r="G18" s="73"/>
      <c r="H18" s="53"/>
      <c r="I18" s="2171" t="s">
        <v>671</v>
      </c>
      <c r="J18" s="2122"/>
      <c r="K18" s="2122"/>
      <c r="L18" s="2122"/>
      <c r="M18" s="2122"/>
      <c r="N18" s="2122"/>
      <c r="O18" s="2122"/>
      <c r="P18" s="2122"/>
      <c r="Q18" s="2122"/>
      <c r="R18" s="2122"/>
      <c r="S18" s="2123"/>
      <c r="T18" s="82" t="s">
        <v>705</v>
      </c>
      <c r="U18" s="48"/>
      <c r="V18" s="69"/>
      <c r="W18" s="47"/>
      <c r="X18" s="82" t="s">
        <v>264</v>
      </c>
      <c r="Y18" s="78"/>
      <c r="Z18" s="154" t="s">
        <v>672</v>
      </c>
      <c r="AA18" s="44"/>
    </row>
    <row r="19" spans="1:27" ht="13.5" customHeight="1" x14ac:dyDescent="0.2">
      <c r="A19" s="2176" t="s">
        <v>2118</v>
      </c>
      <c r="B19" s="2132"/>
      <c r="C19" s="2132"/>
      <c r="D19" s="2132"/>
      <c r="E19" s="2132"/>
      <c r="F19" s="2132"/>
      <c r="G19" s="2132"/>
      <c r="H19" s="2112"/>
      <c r="I19" s="30"/>
      <c r="J19" s="96"/>
      <c r="K19" s="40"/>
      <c r="L19" s="38"/>
      <c r="M19" s="109" t="s">
        <v>312</v>
      </c>
      <c r="P19" s="27"/>
      <c r="Q19" s="27"/>
      <c r="R19" s="27"/>
      <c r="S19" s="31"/>
      <c r="T19" s="2176" t="s">
        <v>2014</v>
      </c>
      <c r="U19" s="2111"/>
      <c r="V19" s="2111"/>
      <c r="W19" s="2112"/>
      <c r="X19" s="2188" t="s">
        <v>2015</v>
      </c>
      <c r="Y19" s="2189"/>
      <c r="Z19" s="2186">
        <v>60050</v>
      </c>
      <c r="AA19" s="2187"/>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110" t="s">
        <v>2119</v>
      </c>
      <c r="B21" s="2111"/>
      <c r="C21" s="2111"/>
      <c r="D21" s="2111"/>
      <c r="E21" s="2111"/>
      <c r="F21" s="2111"/>
      <c r="G21" s="2111"/>
      <c r="H21" s="2112"/>
      <c r="I21" s="2166" t="s">
        <v>673</v>
      </c>
      <c r="J21" s="2161"/>
      <c r="K21" s="2161"/>
      <c r="L21" s="2161"/>
      <c r="M21" s="2161"/>
      <c r="N21" s="2161"/>
      <c r="O21" s="2161"/>
      <c r="P21" s="2161"/>
      <c r="Q21" s="2161"/>
      <c r="R21" s="2161"/>
      <c r="S21" s="2167"/>
      <c r="T21" s="2201" t="s">
        <v>2016</v>
      </c>
      <c r="U21" s="2202"/>
      <c r="V21" s="2202"/>
      <c r="W21" s="2202"/>
      <c r="X21" s="2207" t="s">
        <v>2017</v>
      </c>
      <c r="Y21" s="2208"/>
      <c r="Z21" s="2208"/>
      <c r="AA21" s="2209"/>
    </row>
    <row r="22" spans="1:27" ht="13.5" customHeight="1" x14ac:dyDescent="0.2">
      <c r="A22" s="84" t="s">
        <v>528</v>
      </c>
      <c r="B22" s="56"/>
      <c r="C22" s="56"/>
      <c r="D22" s="56"/>
      <c r="E22" s="56"/>
      <c r="F22" s="56"/>
      <c r="G22" s="56"/>
      <c r="H22" s="57"/>
      <c r="I22" s="2168" t="s">
        <v>1409</v>
      </c>
      <c r="J22" s="2169"/>
      <c r="K22" s="2169"/>
      <c r="L22" s="2169"/>
      <c r="M22" s="2169"/>
      <c r="N22" s="2169"/>
      <c r="O22" s="2169"/>
      <c r="P22" s="2169"/>
      <c r="Q22" s="2169"/>
      <c r="R22" s="2169"/>
      <c r="S22" s="2170"/>
      <c r="T22" s="82" t="s">
        <v>1496</v>
      </c>
      <c r="U22" s="48"/>
      <c r="V22" s="69"/>
      <c r="W22" s="48"/>
      <c r="X22" s="155" t="s">
        <v>1306</v>
      </c>
      <c r="Z22" s="43"/>
      <c r="AA22" s="44"/>
    </row>
    <row r="23" spans="1:27" ht="13.5" customHeight="1" x14ac:dyDescent="0.2">
      <c r="A23" s="2163" t="s">
        <v>2134</v>
      </c>
      <c r="B23" s="2164"/>
      <c r="C23" s="2164"/>
      <c r="D23" s="2164"/>
      <c r="E23" s="2164"/>
      <c r="F23" s="2164"/>
      <c r="G23" s="2164"/>
      <c r="H23" s="2165"/>
      <c r="T23" s="2146" t="s">
        <v>2018</v>
      </c>
      <c r="U23" s="2200"/>
      <c r="V23" s="2200"/>
      <c r="W23" s="2200"/>
      <c r="X23" s="2204">
        <v>44530</v>
      </c>
      <c r="Y23" s="2205"/>
      <c r="Z23" s="2205"/>
      <c r="AA23" s="2206"/>
    </row>
    <row r="24" spans="1:27" ht="14.1" customHeight="1" x14ac:dyDescent="0.2">
      <c r="A24" s="85" t="s">
        <v>672</v>
      </c>
      <c r="B24" s="46"/>
      <c r="C24" s="46"/>
      <c r="D24" s="46"/>
      <c r="E24" s="46"/>
      <c r="F24" s="46"/>
      <c r="G24" s="46"/>
      <c r="H24" s="58"/>
      <c r="J24" s="2133">
        <f>IF(B5="x",IF(AUDITCHECK!D29="AFR form Incomplete.","",IF(AUDITCHECK!D29="Deficit reduction plan is required.","School District must complete a deficit reduction plan in the 2020-2021 Budget",)),"")</f>
        <v>0</v>
      </c>
      <c r="K24" s="2133"/>
      <c r="L24" s="2133"/>
      <c r="M24" s="2133"/>
      <c r="N24" s="2133"/>
      <c r="O24" s="2133"/>
      <c r="P24" s="2133"/>
      <c r="Q24" s="2133"/>
      <c r="R24" s="2133"/>
      <c r="S24" s="2134"/>
      <c r="T24" s="102" t="s">
        <v>528</v>
      </c>
      <c r="U24" s="103"/>
      <c r="V24" s="103"/>
      <c r="W24" s="103"/>
      <c r="X24" s="104"/>
      <c r="Y24" s="104"/>
      <c r="Z24" s="104"/>
      <c r="AA24" s="105"/>
    </row>
    <row r="25" spans="1:27" ht="14.1" customHeight="1" x14ac:dyDescent="0.2">
      <c r="A25" s="2110">
        <v>60002</v>
      </c>
      <c r="B25" s="2111"/>
      <c r="C25" s="2111"/>
      <c r="D25" s="2111"/>
      <c r="E25" s="2111"/>
      <c r="F25" s="2111"/>
      <c r="G25" s="2111"/>
      <c r="H25" s="2112"/>
      <c r="I25" s="110"/>
      <c r="J25" s="2135"/>
      <c r="K25" s="2135"/>
      <c r="L25" s="2135"/>
      <c r="M25" s="2135"/>
      <c r="N25" s="2135"/>
      <c r="O25" s="2135"/>
      <c r="P25" s="2135"/>
      <c r="Q25" s="2135"/>
      <c r="R25" s="2135"/>
      <c r="S25" s="2136"/>
      <c r="T25" s="2197" t="s">
        <v>2019</v>
      </c>
      <c r="U25" s="2198"/>
      <c r="V25" s="2198"/>
      <c r="W25" s="2198"/>
      <c r="X25" s="2198"/>
      <c r="Y25" s="2198"/>
      <c r="Z25" s="2198"/>
      <c r="AA25" s="219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1" t="s">
        <v>1491</v>
      </c>
      <c r="J27" s="2122"/>
      <c r="K27" s="2122"/>
      <c r="L27" s="2122"/>
      <c r="M27" s="2122"/>
      <c r="N27" s="2122"/>
      <c r="O27" s="2122"/>
      <c r="P27" s="2122"/>
      <c r="Q27" s="2122"/>
      <c r="R27" s="2122"/>
      <c r="S27" s="212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2093" t="s">
        <v>2120</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t="s">
        <v>2120</v>
      </c>
      <c r="C30" s="121" t="s">
        <v>1153</v>
      </c>
      <c r="D30" s="28"/>
      <c r="E30" s="28"/>
      <c r="F30" s="136"/>
      <c r="G30" s="111"/>
      <c r="H30" s="111"/>
      <c r="I30" s="51"/>
      <c r="J30" s="2093" t="s">
        <v>2120</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2093" t="s">
        <v>2120</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132"/>
      <c r="Q35" s="2111"/>
      <c r="R35" s="211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6"/>
      <c r="B38" s="2147"/>
      <c r="C38" s="2147"/>
      <c r="D38" s="2147"/>
      <c r="E38" s="2147"/>
      <c r="F38" s="2111"/>
      <c r="G38" s="2111"/>
      <c r="H38" s="2112"/>
      <c r="I38" s="2139"/>
      <c r="J38" s="2140"/>
      <c r="K38" s="2140"/>
      <c r="L38" s="2140"/>
      <c r="M38" s="2140"/>
      <c r="N38" s="2140"/>
      <c r="O38" s="2140"/>
      <c r="P38" s="2141"/>
      <c r="Q38" s="2141"/>
      <c r="R38" s="2141"/>
      <c r="S38" s="2142"/>
      <c r="T38" s="2183"/>
      <c r="U38" s="2140"/>
      <c r="V38" s="2140"/>
      <c r="W38" s="2140"/>
      <c r="X38" s="2141"/>
      <c r="Y38" s="2141"/>
      <c r="Z38" s="2141"/>
      <c r="AA38" s="2142"/>
    </row>
    <row r="39" spans="1:27" ht="12" customHeight="1" x14ac:dyDescent="0.2">
      <c r="A39" s="2116" t="s">
        <v>528</v>
      </c>
      <c r="B39" s="2117"/>
      <c r="C39" s="69"/>
      <c r="D39" s="66"/>
      <c r="E39" s="66"/>
      <c r="F39" s="76"/>
      <c r="G39" s="66"/>
      <c r="H39" s="53"/>
      <c r="I39" s="2116" t="s">
        <v>528</v>
      </c>
      <c r="J39" s="2117"/>
      <c r="K39" s="2117"/>
      <c r="L39" s="2117"/>
      <c r="M39" s="2117"/>
      <c r="N39" s="64"/>
      <c r="O39" s="69"/>
      <c r="P39" s="69"/>
      <c r="Q39" s="75"/>
      <c r="R39" s="69"/>
      <c r="S39" s="53"/>
      <c r="T39" s="69" t="s">
        <v>528</v>
      </c>
      <c r="U39" s="48"/>
      <c r="V39" s="69"/>
      <c r="W39" s="47"/>
      <c r="X39" s="75"/>
      <c r="Y39" s="43"/>
      <c r="Z39" s="43"/>
      <c r="AA39" s="44"/>
    </row>
    <row r="40" spans="1:27" ht="13.5" customHeight="1" x14ac:dyDescent="0.2">
      <c r="A40" s="2124"/>
      <c r="B40" s="2125"/>
      <c r="C40" s="2126"/>
      <c r="D40" s="2126"/>
      <c r="E40" s="2126"/>
      <c r="F40" s="2127"/>
      <c r="G40" s="2127"/>
      <c r="H40" s="2128"/>
      <c r="I40" s="2149"/>
      <c r="J40" s="2150"/>
      <c r="K40" s="2150"/>
      <c r="L40" s="2150"/>
      <c r="M40" s="2150"/>
      <c r="N40" s="2150"/>
      <c r="O40" s="2150"/>
      <c r="P40" s="2150"/>
      <c r="Q40" s="2150"/>
      <c r="R40" s="2150"/>
      <c r="S40" s="2151"/>
      <c r="T40" s="2149"/>
      <c r="U40" s="2203"/>
      <c r="V40" s="2150"/>
      <c r="W40" s="2150"/>
      <c r="X40" s="2150"/>
      <c r="Y40" s="2150"/>
      <c r="Z40" s="2150"/>
      <c r="AA40" s="215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8"/>
      <c r="B42" s="2130"/>
      <c r="C42" s="2131"/>
      <c r="D42" s="2129"/>
      <c r="E42" s="2130"/>
      <c r="F42" s="2130"/>
      <c r="G42" s="2130"/>
      <c r="H42" s="2131"/>
      <c r="I42" s="2113"/>
      <c r="J42" s="2114"/>
      <c r="K42" s="2114"/>
      <c r="L42" s="2114"/>
      <c r="M42" s="2114"/>
      <c r="N42" s="2114"/>
      <c r="O42" s="2115"/>
      <c r="P42" s="2148"/>
      <c r="Q42" s="2114"/>
      <c r="R42" s="2114"/>
      <c r="S42" s="2115"/>
      <c r="T42" s="2113"/>
      <c r="U42" s="2114"/>
      <c r="V42" s="2114"/>
      <c r="W42" s="2115"/>
      <c r="X42" s="2148"/>
      <c r="Y42" s="2114"/>
      <c r="Z42" s="2114"/>
      <c r="AA42" s="211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3"/>
      <c r="B44" s="2144"/>
      <c r="C44" s="2144"/>
      <c r="D44" s="2144"/>
      <c r="E44" s="2144"/>
      <c r="F44" s="2144"/>
      <c r="G44" s="2144"/>
      <c r="H44" s="2145"/>
      <c r="I44" s="2118"/>
      <c r="J44" s="2119"/>
      <c r="K44" s="2119"/>
      <c r="L44" s="2119"/>
      <c r="M44" s="2119"/>
      <c r="N44" s="2119"/>
      <c r="O44" s="2119"/>
      <c r="P44" s="2119"/>
      <c r="Q44" s="2119"/>
      <c r="R44" s="2119"/>
      <c r="S44" s="2120"/>
      <c r="T44" s="2118"/>
      <c r="U44" s="2137"/>
      <c r="V44" s="2137"/>
      <c r="W44" s="2137"/>
      <c r="X44" s="2137"/>
      <c r="Y44" s="2137"/>
      <c r="Z44" s="2119"/>
      <c r="AA44" s="2120"/>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1"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33"/>
  </sheetPr>
  <dimension ref="A1:H36"/>
  <sheetViews>
    <sheetView showGridLines="0" defaultGridColor="0" topLeftCell="A4" colorId="8" zoomScale="110" zoomScaleNormal="110" workbookViewId="0">
      <selection activeCell="D28" sqref="D2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361" t="s">
        <v>1773</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362"/>
      <c r="B3" s="1287"/>
      <c r="C3" s="1288"/>
      <c r="D3" s="1289" t="s">
        <v>254</v>
      </c>
      <c r="E3" s="1288"/>
      <c r="F3" s="1289" t="s">
        <v>255</v>
      </c>
    </row>
    <row r="4" spans="1:8" ht="13.7" customHeight="1" x14ac:dyDescent="0.2">
      <c r="A4" s="579" t="s">
        <v>1144</v>
      </c>
      <c r="B4" s="1710">
        <f>'Revenues 9-14'!C5</f>
        <v>19167617</v>
      </c>
      <c r="C4" s="1711">
        <v>9199907</v>
      </c>
      <c r="D4" s="1712">
        <f>B4-C4</f>
        <v>9967710</v>
      </c>
      <c r="E4" s="1711">
        <v>20922361</v>
      </c>
      <c r="F4" s="1712">
        <f>E4-C4</f>
        <v>11722454</v>
      </c>
    </row>
    <row r="5" spans="1:8" ht="13.7" customHeight="1" x14ac:dyDescent="0.2">
      <c r="A5" s="579" t="s">
        <v>864</v>
      </c>
      <c r="B5" s="1713">
        <f>'Revenues 9-14'!D5</f>
        <v>2761162</v>
      </c>
      <c r="C5" s="1654">
        <v>1298938</v>
      </c>
      <c r="D5" s="1714">
        <f t="shared" ref="D5:D18" si="0">B5-C5</f>
        <v>1462224</v>
      </c>
      <c r="E5" s="1654">
        <v>2954035</v>
      </c>
      <c r="F5" s="1714">
        <f>E5-C5</f>
        <v>1655097</v>
      </c>
    </row>
    <row r="6" spans="1:8" ht="13.7" customHeight="1" x14ac:dyDescent="0.2">
      <c r="A6" s="579" t="s">
        <v>408</v>
      </c>
      <c r="B6" s="1713">
        <f>'Revenues 9-14'!E5</f>
        <v>1322475</v>
      </c>
      <c r="C6" s="1654">
        <v>619852</v>
      </c>
      <c r="D6" s="1714">
        <f t="shared" si="0"/>
        <v>702623</v>
      </c>
      <c r="E6" s="1654">
        <v>1409663</v>
      </c>
      <c r="F6" s="1714">
        <f t="shared" ref="F6:F18" si="1">E6-C6</f>
        <v>789811</v>
      </c>
    </row>
    <row r="7" spans="1:8" ht="13.7" customHeight="1" x14ac:dyDescent="0.2">
      <c r="A7" s="579" t="s">
        <v>154</v>
      </c>
      <c r="B7" s="1713">
        <f>'Revenues 9-14'!F5</f>
        <v>1102939</v>
      </c>
      <c r="C7" s="1654">
        <v>519602</v>
      </c>
      <c r="D7" s="1714">
        <f t="shared" si="0"/>
        <v>583337</v>
      </c>
      <c r="E7" s="1654">
        <v>1181675</v>
      </c>
      <c r="F7" s="1714">
        <f t="shared" si="1"/>
        <v>662073</v>
      </c>
    </row>
    <row r="8" spans="1:8" ht="13.7" customHeight="1" x14ac:dyDescent="0.2">
      <c r="A8" s="579" t="s">
        <v>1168</v>
      </c>
      <c r="B8" s="1713">
        <f>'Revenues 9-14'!G5</f>
        <v>656254</v>
      </c>
      <c r="C8" s="1654">
        <v>257642</v>
      </c>
      <c r="D8" s="1714">
        <f t="shared" si="0"/>
        <v>398612</v>
      </c>
      <c r="E8" s="1654">
        <v>585928</v>
      </c>
      <c r="F8" s="1714">
        <f t="shared" si="1"/>
        <v>328286</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152822</v>
      </c>
      <c r="C10" s="1654">
        <v>72613</v>
      </c>
      <c r="D10" s="1714">
        <f t="shared" si="0"/>
        <v>80209</v>
      </c>
      <c r="E10" s="1654">
        <v>165136</v>
      </c>
      <c r="F10" s="1714">
        <f t="shared" si="1"/>
        <v>92523</v>
      </c>
    </row>
    <row r="11" spans="1:8" x14ac:dyDescent="0.2">
      <c r="A11" s="579" t="s">
        <v>406</v>
      </c>
      <c r="B11" s="1713">
        <f>'Revenues 9-14'!J5</f>
        <v>170260</v>
      </c>
      <c r="C11" s="1654">
        <v>80086</v>
      </c>
      <c r="D11" s="1714">
        <f t="shared" si="0"/>
        <v>90174</v>
      </c>
      <c r="E11" s="1654">
        <v>182130</v>
      </c>
      <c r="F11" s="1714">
        <f t="shared" si="1"/>
        <v>102044</v>
      </c>
    </row>
    <row r="12" spans="1:8" ht="13.7" customHeight="1" x14ac:dyDescent="0.2">
      <c r="A12" s="579" t="s">
        <v>156</v>
      </c>
      <c r="B12" s="1713">
        <f>'Revenues 9-14'!K5</f>
        <v>32221</v>
      </c>
      <c r="C12" s="1654">
        <v>15157</v>
      </c>
      <c r="D12" s="1714">
        <f t="shared" si="0"/>
        <v>17064</v>
      </c>
      <c r="E12" s="1654">
        <v>34470</v>
      </c>
      <c r="F12" s="1714">
        <f t="shared" si="1"/>
        <v>19313</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1394740</v>
      </c>
      <c r="C14" s="1654">
        <v>665573</v>
      </c>
      <c r="D14" s="1714">
        <f t="shared" si="0"/>
        <v>729167</v>
      </c>
      <c r="E14" s="1654">
        <v>1513641</v>
      </c>
      <c r="F14" s="1714">
        <f t="shared" si="1"/>
        <v>848068</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571187</v>
      </c>
      <c r="C16" s="1654">
        <v>257642</v>
      </c>
      <c r="D16" s="1714">
        <f t="shared" si="0"/>
        <v>313545</v>
      </c>
      <c r="E16" s="1654">
        <v>585928</v>
      </c>
      <c r="F16" s="1714">
        <f t="shared" si="1"/>
        <v>328286</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32289</v>
      </c>
      <c r="C18" s="1654">
        <v>14651</v>
      </c>
      <c r="D18" s="1714">
        <f t="shared" si="0"/>
        <v>17638</v>
      </c>
      <c r="E18" s="1654">
        <v>33320</v>
      </c>
      <c r="F18" s="1714">
        <f t="shared" si="1"/>
        <v>18669</v>
      </c>
    </row>
    <row r="19" spans="1:6" ht="13.7" customHeight="1" thickBot="1" x14ac:dyDescent="0.25">
      <c r="A19" s="1425" t="s">
        <v>1150</v>
      </c>
      <c r="B19" s="1715">
        <f>SUM(B4:B18)</f>
        <v>27363966</v>
      </c>
      <c r="C19" s="1715">
        <f>SUM(C4:C18)</f>
        <v>13001663</v>
      </c>
      <c r="D19" s="1715">
        <f>SUM(D4:D18)</f>
        <v>14362303</v>
      </c>
      <c r="E19" s="1715">
        <f>SUM(E4:E18)</f>
        <v>29568287</v>
      </c>
      <c r="F19" s="1715">
        <f>SUM(F4:F18)</f>
        <v>16566624</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2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33"/>
  </sheetPr>
  <dimension ref="A1:K59"/>
  <sheetViews>
    <sheetView showGridLines="0" defaultGridColor="0" topLeftCell="A28" colorId="8" zoomScale="110" zoomScaleNormal="110" workbookViewId="0">
      <selection activeCell="A34" sqref="A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3" t="s">
        <v>625</v>
      </c>
      <c r="B1" s="2381"/>
      <c r="C1" s="585"/>
    </row>
    <row r="2" spans="1:7" ht="33.75" x14ac:dyDescent="0.2">
      <c r="A2" s="2388" t="s">
        <v>1773</v>
      </c>
      <c r="B2" s="2389"/>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90" t="s">
        <v>1103</v>
      </c>
      <c r="B3" s="2391"/>
      <c r="C3" s="2384"/>
      <c r="D3" s="2385"/>
      <c r="E3" s="2385"/>
      <c r="F3" s="2386"/>
    </row>
    <row r="4" spans="1:7" ht="12.75" customHeight="1" thickBot="1" x14ac:dyDescent="0.25">
      <c r="A4" s="2378" t="s">
        <v>626</v>
      </c>
      <c r="B4" s="2379"/>
      <c r="C4" s="1646"/>
      <c r="D4" s="1646"/>
      <c r="E4" s="1646"/>
      <c r="F4" s="1721">
        <f>SUM(C4+D4)-E4</f>
        <v>0</v>
      </c>
    </row>
    <row r="5" spans="1:7" ht="15.75" customHeight="1" thickTop="1" x14ac:dyDescent="0.2">
      <c r="A5" s="2382" t="s">
        <v>1100</v>
      </c>
      <c r="B5" s="2377"/>
      <c r="C5" s="2371"/>
      <c r="D5" s="2372"/>
      <c r="E5" s="2372"/>
      <c r="F5" s="2373"/>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74" t="s">
        <v>627</v>
      </c>
      <c r="B15" s="2375"/>
      <c r="C15" s="1721">
        <f>SUM(C6:C14)</f>
        <v>0</v>
      </c>
      <c r="D15" s="1721">
        <f>SUM(D6:D14)</f>
        <v>0</v>
      </c>
      <c r="E15" s="1721">
        <f>SUM(E6:E14)</f>
        <v>0</v>
      </c>
      <c r="F15" s="1721">
        <f>SUM(F6:F14)</f>
        <v>0</v>
      </c>
      <c r="G15" s="473"/>
    </row>
    <row r="16" spans="1:7" s="197" customFormat="1" ht="15.75" customHeight="1" thickTop="1" x14ac:dyDescent="0.2">
      <c r="A16" s="2387" t="s">
        <v>1101</v>
      </c>
      <c r="B16" s="2377"/>
      <c r="C16" s="2371"/>
      <c r="D16" s="2372"/>
      <c r="E16" s="2372"/>
      <c r="F16" s="2373"/>
    </row>
    <row r="17" spans="1:11" ht="12.75" customHeight="1" thickBot="1" x14ac:dyDescent="0.25">
      <c r="A17" s="2369" t="s">
        <v>64</v>
      </c>
      <c r="B17" s="2370"/>
      <c r="C17" s="1722"/>
      <c r="D17" s="1654"/>
      <c r="E17" s="1722"/>
      <c r="F17" s="1721">
        <f>SUM(C17+D17)-E17</f>
        <v>0</v>
      </c>
    </row>
    <row r="18" spans="1:11" ht="12.75" customHeight="1" thickTop="1" thickBot="1" x14ac:dyDescent="0.25">
      <c r="A18" s="2369" t="s">
        <v>6</v>
      </c>
      <c r="B18" s="2370"/>
      <c r="C18" s="1722"/>
      <c r="D18" s="1654"/>
      <c r="E18" s="1722"/>
      <c r="F18" s="1721">
        <f>SUM(C18+D18)-E18</f>
        <v>0</v>
      </c>
    </row>
    <row r="19" spans="1:11" ht="12.75" customHeight="1" thickTop="1" thickBot="1" x14ac:dyDescent="0.25">
      <c r="A19" s="2369" t="s">
        <v>385</v>
      </c>
      <c r="B19" s="2370"/>
      <c r="C19" s="1722"/>
      <c r="D19" s="1654"/>
      <c r="E19" s="1722"/>
      <c r="F19" s="1721">
        <f>SUM(C19+D19)-E19</f>
        <v>0</v>
      </c>
    </row>
    <row r="20" spans="1:11" ht="12.75" customHeight="1" thickTop="1" thickBot="1" x14ac:dyDescent="0.25">
      <c r="A20" s="2369" t="s">
        <v>445</v>
      </c>
      <c r="B20" s="2370"/>
      <c r="C20" s="1722"/>
      <c r="D20" s="1654"/>
      <c r="E20" s="1722"/>
      <c r="F20" s="1721">
        <f>SUM(C20+D20)-E20</f>
        <v>0</v>
      </c>
    </row>
    <row r="21" spans="1:11" ht="14.25" thickTop="1" thickBot="1" x14ac:dyDescent="0.25">
      <c r="A21" s="2374" t="s">
        <v>628</v>
      </c>
      <c r="B21" s="2375"/>
      <c r="C21" s="1721">
        <f>SUM(C17:C20)</f>
        <v>0</v>
      </c>
      <c r="D21" s="1721">
        <f>SUM(D17:D20)</f>
        <v>0</v>
      </c>
      <c r="E21" s="1721">
        <f>SUM(E17:E20)</f>
        <v>0</v>
      </c>
      <c r="F21" s="1721">
        <f>SUM(F17:F20)</f>
        <v>0</v>
      </c>
      <c r="G21" s="473"/>
    </row>
    <row r="22" spans="1:11" ht="15.75" customHeight="1" thickTop="1" x14ac:dyDescent="0.2">
      <c r="A22" s="2376" t="s">
        <v>1102</v>
      </c>
      <c r="B22" s="2377"/>
      <c r="C22" s="2371"/>
      <c r="D22" s="2372"/>
      <c r="E22" s="2372"/>
      <c r="F22" s="2373"/>
    </row>
    <row r="23" spans="1:11" ht="13.5" thickBot="1" x14ac:dyDescent="0.25">
      <c r="A23" s="2378" t="s">
        <v>629</v>
      </c>
      <c r="B23" s="2379"/>
      <c r="C23" s="1646"/>
      <c r="D23" s="1646"/>
      <c r="E23" s="1646"/>
      <c r="F23" s="1721">
        <f>SUM(C23+D23)-E23</f>
        <v>0</v>
      </c>
      <c r="G23" s="473"/>
    </row>
    <row r="24" spans="1:11" ht="15.75" customHeight="1" thickTop="1" x14ac:dyDescent="0.2">
      <c r="A24" s="2376" t="s">
        <v>2000</v>
      </c>
      <c r="B24" s="2377"/>
      <c r="C24" s="2371"/>
      <c r="D24" s="2372"/>
      <c r="E24" s="2372"/>
      <c r="F24" s="2373"/>
    </row>
    <row r="25" spans="1:11" ht="13.5" thickBot="1" x14ac:dyDescent="0.25">
      <c r="A25" s="2378" t="s">
        <v>2001</v>
      </c>
      <c r="B25" s="2379"/>
      <c r="C25" s="1646"/>
      <c r="D25" s="1646"/>
      <c r="E25" s="1646"/>
      <c r="F25" s="1721">
        <f>SUM(C25+D25)-E25</f>
        <v>0</v>
      </c>
      <c r="G25" s="473"/>
    </row>
    <row r="26" spans="1:11" ht="15.75" customHeight="1" thickTop="1" x14ac:dyDescent="0.2">
      <c r="A26" s="2382" t="s">
        <v>652</v>
      </c>
      <c r="B26" s="2377"/>
      <c r="C26" s="589"/>
      <c r="D26" s="589"/>
      <c r="E26" s="589"/>
      <c r="F26" s="590"/>
    </row>
    <row r="27" spans="1:11" ht="13.5" thickBot="1" x14ac:dyDescent="0.25">
      <c r="A27" s="2374" t="s">
        <v>1060</v>
      </c>
      <c r="B27" s="2375"/>
      <c r="C27" s="1654"/>
      <c r="D27" s="1654"/>
      <c r="E27" s="1654"/>
      <c r="F27" s="1721">
        <f>SUM(C27+D27)-E27</f>
        <v>0</v>
      </c>
      <c r="G27" s="473"/>
    </row>
    <row r="28" spans="1:11" ht="7.5" customHeight="1" thickTop="1" x14ac:dyDescent="0.2">
      <c r="A28" s="489"/>
    </row>
    <row r="29" spans="1:11" ht="23.25" customHeight="1" x14ac:dyDescent="0.2">
      <c r="A29" s="2380" t="s">
        <v>578</v>
      </c>
      <c r="B29" s="2381"/>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1871</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2135</v>
      </c>
      <c r="B31" s="595">
        <v>40420</v>
      </c>
      <c r="C31" s="1723">
        <v>3360000</v>
      </c>
      <c r="D31" s="1724">
        <v>7</v>
      </c>
      <c r="E31" s="1723">
        <v>1595000</v>
      </c>
      <c r="F31" s="1723"/>
      <c r="G31" s="1723"/>
      <c r="H31" s="1723">
        <v>305000</v>
      </c>
      <c r="I31" s="1725">
        <f>((E31+F31)-H31)+G31</f>
        <v>1290000</v>
      </c>
      <c r="J31" s="1723">
        <v>1290000</v>
      </c>
      <c r="K31" s="596"/>
    </row>
    <row r="32" spans="1:11" ht="12" customHeight="1" x14ac:dyDescent="0.2">
      <c r="A32" s="594" t="s">
        <v>2136</v>
      </c>
      <c r="B32" s="595">
        <v>43019</v>
      </c>
      <c r="C32" s="1723">
        <v>9145000</v>
      </c>
      <c r="D32" s="1724">
        <v>9</v>
      </c>
      <c r="E32" s="1723">
        <v>8175000</v>
      </c>
      <c r="F32" s="1723"/>
      <c r="G32" s="1723"/>
      <c r="H32" s="1723"/>
      <c r="I32" s="1725">
        <f>((E32+F32)-H32)+G32</f>
        <v>8175000</v>
      </c>
      <c r="J32" s="1723">
        <v>8411038</v>
      </c>
      <c r="K32" s="596"/>
    </row>
    <row r="33" spans="1:11" ht="12" customHeight="1" x14ac:dyDescent="0.2">
      <c r="A33" s="594" t="s">
        <v>2137</v>
      </c>
      <c r="B33" s="595">
        <v>43298</v>
      </c>
      <c r="C33" s="1723">
        <v>8630000</v>
      </c>
      <c r="D33" s="1724">
        <v>7</v>
      </c>
      <c r="E33" s="1723">
        <v>8630000</v>
      </c>
      <c r="F33" s="1723"/>
      <c r="G33" s="1723"/>
      <c r="H33" s="1723">
        <v>530000</v>
      </c>
      <c r="I33" s="1725">
        <f t="shared" ref="I33:I48" si="1">((E33+F33)-H33)+G33</f>
        <v>8100000</v>
      </c>
      <c r="J33" s="1723">
        <v>8100000</v>
      </c>
      <c r="K33" s="596"/>
    </row>
    <row r="34" spans="1:11" ht="12" customHeight="1" x14ac:dyDescent="0.2">
      <c r="A34" s="594" t="s">
        <v>2191</v>
      </c>
      <c r="B34" s="595">
        <v>42881</v>
      </c>
      <c r="C34" s="1723">
        <v>300934</v>
      </c>
      <c r="D34" s="1724">
        <v>8</v>
      </c>
      <c r="E34" s="1723">
        <v>100284</v>
      </c>
      <c r="F34" s="1723"/>
      <c r="G34" s="1723"/>
      <c r="H34" s="1723">
        <v>100284</v>
      </c>
      <c r="I34" s="1725">
        <f t="shared" si="1"/>
        <v>0</v>
      </c>
      <c r="J34" s="1723"/>
      <c r="K34" s="597"/>
    </row>
    <row r="35" spans="1:11" ht="12" customHeight="1" x14ac:dyDescent="0.2">
      <c r="A35" s="594" t="s">
        <v>2138</v>
      </c>
      <c r="B35" s="595">
        <v>43282</v>
      </c>
      <c r="C35" s="1726">
        <v>1011202</v>
      </c>
      <c r="D35" s="1724">
        <v>8</v>
      </c>
      <c r="E35" s="1726"/>
      <c r="F35" s="1726"/>
      <c r="G35" s="1726">
        <v>505996</v>
      </c>
      <c r="H35" s="1726">
        <v>250344</v>
      </c>
      <c r="I35" s="1725">
        <f t="shared" si="1"/>
        <v>255652</v>
      </c>
      <c r="J35" s="1726">
        <v>255652</v>
      </c>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22447136</v>
      </c>
      <c r="D49" s="1731"/>
      <c r="E49" s="1725">
        <f t="shared" ref="E49:J49" si="2">SUM(E31:E48)</f>
        <v>18500284</v>
      </c>
      <c r="F49" s="1725">
        <f t="shared" si="2"/>
        <v>0</v>
      </c>
      <c r="G49" s="1725">
        <f t="shared" si="2"/>
        <v>505996</v>
      </c>
      <c r="H49" s="1725">
        <f t="shared" si="2"/>
        <v>1185628</v>
      </c>
      <c r="I49" s="1725">
        <f t="shared" si="2"/>
        <v>17820652</v>
      </c>
      <c r="J49" s="1725">
        <f t="shared" si="2"/>
        <v>18056690</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63" t="s">
        <v>580</v>
      </c>
      <c r="C52" s="2364"/>
      <c r="D52" s="2364"/>
      <c r="E52" s="603" t="s">
        <v>839</v>
      </c>
      <c r="F52" s="2365" t="s">
        <v>2139</v>
      </c>
      <c r="G52" s="2366"/>
      <c r="H52" s="596"/>
      <c r="I52" s="596"/>
      <c r="J52" s="600"/>
    </row>
    <row r="53" spans="1:11" ht="11.25" customHeight="1" x14ac:dyDescent="0.2">
      <c r="A53" s="604" t="s">
        <v>906</v>
      </c>
      <c r="B53" s="605" t="s">
        <v>944</v>
      </c>
      <c r="C53" s="600"/>
      <c r="D53" s="597"/>
      <c r="E53" s="603" t="s">
        <v>494</v>
      </c>
      <c r="F53" s="2367" t="s">
        <v>2140</v>
      </c>
      <c r="G53" s="2368"/>
      <c r="H53" s="596"/>
      <c r="I53" s="596"/>
      <c r="J53" s="600"/>
    </row>
    <row r="54" spans="1:11" ht="11.25" customHeight="1" x14ac:dyDescent="0.2">
      <c r="A54" s="606" t="s">
        <v>907</v>
      </c>
      <c r="B54" s="601" t="s">
        <v>945</v>
      </c>
      <c r="C54" s="600"/>
      <c r="D54" s="597"/>
      <c r="E54" s="603" t="s">
        <v>495</v>
      </c>
      <c r="F54" s="2367" t="s">
        <v>2141</v>
      </c>
      <c r="G54" s="236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33"/>
  </sheetPr>
  <dimension ref="A1:O48"/>
  <sheetViews>
    <sheetView showGridLines="0" defaultGridColor="0" topLeftCell="A10" colorId="8" zoomScale="110" zoomScaleNormal="110" workbookViewId="0">
      <selection activeCell="N43" sqref="N4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2" t="s">
        <v>850</v>
      </c>
      <c r="B1" s="2393"/>
      <c r="C1" s="2393"/>
      <c r="D1" s="2393"/>
      <c r="E1" s="2393"/>
      <c r="F1" s="2393"/>
      <c r="G1" s="2394"/>
      <c r="H1" s="1291"/>
      <c r="I1" s="614"/>
      <c r="J1" s="400"/>
    </row>
    <row r="2" spans="1:11" ht="26.25" x14ac:dyDescent="0.2">
      <c r="A2" s="2411" t="s">
        <v>1655</v>
      </c>
      <c r="B2" s="2412"/>
      <c r="C2" s="2412"/>
      <c r="D2" s="2412"/>
      <c r="E2" s="2413"/>
      <c r="F2" s="615" t="s">
        <v>897</v>
      </c>
      <c r="G2" s="616" t="s">
        <v>1652</v>
      </c>
      <c r="H2" s="616" t="s">
        <v>407</v>
      </c>
      <c r="I2" s="616" t="s">
        <v>1147</v>
      </c>
      <c r="J2" s="616" t="s">
        <v>1783</v>
      </c>
      <c r="K2" s="616" t="s">
        <v>137</v>
      </c>
    </row>
    <row r="3" spans="1:11" x14ac:dyDescent="0.2">
      <c r="A3" s="2414" t="str">
        <f>"Cash Basis Fund Balance as of July 1, "&amp;'AFR20'!E2-1</f>
        <v>Cash Basis Fund Balance as of July 1, 2019</v>
      </c>
      <c r="B3" s="2415"/>
      <c r="C3" s="2415"/>
      <c r="D3" s="2415"/>
      <c r="E3" s="2416"/>
      <c r="F3" s="617"/>
      <c r="G3" s="1733"/>
      <c r="H3" s="1733"/>
      <c r="I3" s="1733"/>
      <c r="J3" s="1734"/>
      <c r="K3" s="1734"/>
    </row>
    <row r="4" spans="1:11" x14ac:dyDescent="0.2">
      <c r="A4" s="2417" t="s">
        <v>366</v>
      </c>
      <c r="B4" s="2418"/>
      <c r="C4" s="2418"/>
      <c r="D4" s="2418"/>
      <c r="E4" s="2364"/>
      <c r="F4" s="620"/>
      <c r="G4" s="1735"/>
      <c r="H4" s="1736"/>
      <c r="I4" s="1735"/>
      <c r="J4" s="1737"/>
      <c r="K4" s="1737"/>
    </row>
    <row r="5" spans="1:11" x14ac:dyDescent="0.2">
      <c r="A5" s="2395" t="s">
        <v>1059</v>
      </c>
      <c r="B5" s="2396"/>
      <c r="C5" s="2396"/>
      <c r="D5" s="2396"/>
      <c r="E5" s="2397"/>
      <c r="F5" s="622" t="s">
        <v>842</v>
      </c>
      <c r="G5" s="1738"/>
      <c r="H5" s="1733">
        <f>'Revenues 9-14'!C7</f>
        <v>1394740</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95" t="s">
        <v>1784</v>
      </c>
      <c r="B10" s="2396"/>
      <c r="C10" s="2396"/>
      <c r="D10" s="2396"/>
      <c r="E10" s="2398"/>
      <c r="F10" s="633" t="s">
        <v>856</v>
      </c>
      <c r="G10" s="1742"/>
      <c r="H10" s="1743"/>
      <c r="I10" s="1733"/>
      <c r="J10" s="1734"/>
      <c r="K10" s="1734"/>
    </row>
    <row r="11" spans="1:11" x14ac:dyDescent="0.2">
      <c r="A11" s="2395" t="s">
        <v>159</v>
      </c>
      <c r="B11" s="2396"/>
      <c r="C11" s="2396"/>
      <c r="D11" s="2396"/>
      <c r="E11" s="2397"/>
      <c r="F11" s="622" t="s">
        <v>846</v>
      </c>
      <c r="G11" s="1738"/>
      <c r="H11" s="1733"/>
      <c r="I11" s="1733"/>
      <c r="J11" s="1734"/>
      <c r="K11" s="1740"/>
    </row>
    <row r="12" spans="1:11" ht="13.5" thickBot="1" x14ac:dyDescent="0.25">
      <c r="A12" s="2422" t="s">
        <v>898</v>
      </c>
      <c r="B12" s="2423"/>
      <c r="C12" s="2423"/>
      <c r="D12" s="2423"/>
      <c r="E12" s="2424"/>
      <c r="F12" s="1426"/>
      <c r="G12" s="1744">
        <f>SUM(G5:G11)</f>
        <v>0</v>
      </c>
      <c r="H12" s="1744">
        <f>SUM(H5:H11)</f>
        <v>1394740</v>
      </c>
      <c r="I12" s="1744">
        <f>SUM(I5:I11)</f>
        <v>0</v>
      </c>
      <c r="J12" s="1744">
        <f>SUM(J5:J11)</f>
        <v>0</v>
      </c>
      <c r="K12" s="1744">
        <f>SUM(K5:K11)</f>
        <v>0</v>
      </c>
    </row>
    <row r="13" spans="1:11" ht="13.5" thickTop="1" x14ac:dyDescent="0.2">
      <c r="A13" s="2419" t="s">
        <v>367</v>
      </c>
      <c r="B13" s="2420"/>
      <c r="C13" s="2420"/>
      <c r="D13" s="2420"/>
      <c r="E13" s="2421"/>
      <c r="F13" s="634"/>
      <c r="G13" s="1745"/>
      <c r="H13" s="1746"/>
      <c r="I13" s="1747"/>
      <c r="J13" s="1747"/>
      <c r="K13" s="1747"/>
    </row>
    <row r="14" spans="1:11" x14ac:dyDescent="0.2">
      <c r="A14" s="2402" t="s">
        <v>453</v>
      </c>
      <c r="B14" s="2402"/>
      <c r="C14" s="2402"/>
      <c r="D14" s="2402"/>
      <c r="E14" s="2403"/>
      <c r="F14" s="635" t="s">
        <v>848</v>
      </c>
      <c r="G14" s="1742"/>
      <c r="H14" s="1733">
        <f>H12</f>
        <v>1394740</v>
      </c>
      <c r="I14" s="1738"/>
      <c r="J14" s="1740"/>
      <c r="K14" s="1734"/>
    </row>
    <row r="15" spans="1:11" x14ac:dyDescent="0.2">
      <c r="A15" s="2396" t="s">
        <v>4</v>
      </c>
      <c r="B15" s="2396"/>
      <c r="C15" s="2396"/>
      <c r="D15" s="2396"/>
      <c r="E15" s="2397"/>
      <c r="F15" s="635" t="s">
        <v>849</v>
      </c>
      <c r="G15" s="1738"/>
      <c r="H15" s="1733"/>
      <c r="I15" s="1733"/>
      <c r="J15" s="1734"/>
      <c r="K15" s="1734"/>
    </row>
    <row r="16" spans="1:11" x14ac:dyDescent="0.2">
      <c r="A16" s="2396" t="s">
        <v>295</v>
      </c>
      <c r="B16" s="2396"/>
      <c r="C16" s="2396"/>
      <c r="D16" s="2396"/>
      <c r="E16" s="2397"/>
      <c r="F16" s="635" t="s">
        <v>916</v>
      </c>
      <c r="G16" s="1739"/>
      <c r="H16" s="1735"/>
      <c r="I16" s="1735"/>
      <c r="J16" s="1737"/>
      <c r="K16" s="1737"/>
    </row>
    <row r="17" spans="1:15" x14ac:dyDescent="0.2">
      <c r="A17" s="2429" t="s">
        <v>928</v>
      </c>
      <c r="B17" s="2429"/>
      <c r="C17" s="2429"/>
      <c r="D17" s="2429"/>
      <c r="E17" s="2430"/>
      <c r="F17" s="636"/>
      <c r="G17" s="1748"/>
      <c r="H17" s="1749"/>
      <c r="I17" s="1749"/>
      <c r="J17" s="1750"/>
      <c r="K17" s="1751"/>
    </row>
    <row r="18" spans="1:15" x14ac:dyDescent="0.2">
      <c r="A18" s="2406" t="s">
        <v>365</v>
      </c>
      <c r="B18" s="2407"/>
      <c r="C18" s="2407"/>
      <c r="D18" s="2407"/>
      <c r="E18" s="2408"/>
      <c r="F18" s="635" t="s">
        <v>925</v>
      </c>
      <c r="G18" s="1742"/>
      <c r="H18" s="1742"/>
      <c r="I18" s="1742"/>
      <c r="J18" s="1734"/>
      <c r="K18" s="1752"/>
    </row>
    <row r="19" spans="1:15" ht="21.75" customHeight="1" x14ac:dyDescent="0.2">
      <c r="A19" s="2404" t="s">
        <v>1780</v>
      </c>
      <c r="B19" s="2404"/>
      <c r="C19" s="2404"/>
      <c r="D19" s="2404"/>
      <c r="E19" s="2405"/>
      <c r="F19" s="635" t="s">
        <v>926</v>
      </c>
      <c r="G19" s="1742"/>
      <c r="H19" s="1742"/>
      <c r="I19" s="1742"/>
      <c r="J19" s="1734"/>
      <c r="K19" s="1752"/>
    </row>
    <row r="20" spans="1:15" x14ac:dyDescent="0.2">
      <c r="A20" s="2406" t="s">
        <v>1785</v>
      </c>
      <c r="B20" s="2407"/>
      <c r="C20" s="2407"/>
      <c r="D20" s="2407"/>
      <c r="E20" s="2408"/>
      <c r="F20" s="635" t="s">
        <v>927</v>
      </c>
      <c r="G20" s="1742"/>
      <c r="H20" s="1742"/>
      <c r="I20" s="1742"/>
      <c r="J20" s="1734"/>
      <c r="K20" s="1752"/>
    </row>
    <row r="21" spans="1:15" ht="13.5" thickBot="1" x14ac:dyDescent="0.25">
      <c r="A21" s="2425" t="s">
        <v>633</v>
      </c>
      <c r="B21" s="2425"/>
      <c r="C21" s="2425"/>
      <c r="D21" s="2425"/>
      <c r="E21" s="2425"/>
      <c r="F21" s="1427"/>
      <c r="G21" s="1749"/>
      <c r="H21" s="1753"/>
      <c r="I21" s="1753"/>
      <c r="J21" s="1754">
        <f>SUM(J18:J20)</f>
        <v>0</v>
      </c>
      <c r="K21" s="1750"/>
    </row>
    <row r="22" spans="1:15" ht="13.5" thickTop="1" x14ac:dyDescent="0.2">
      <c r="A22" s="2396" t="s">
        <v>1786</v>
      </c>
      <c r="B22" s="2396"/>
      <c r="C22" s="2396"/>
      <c r="D22" s="2396"/>
      <c r="E22" s="2397"/>
      <c r="F22" s="635" t="s">
        <v>856</v>
      </c>
      <c r="G22" s="1742"/>
      <c r="H22" s="1733"/>
      <c r="I22" s="1733"/>
      <c r="J22" s="1755"/>
      <c r="K22" s="1734"/>
    </row>
    <row r="23" spans="1:15" ht="13.5" thickBot="1" x14ac:dyDescent="0.25">
      <c r="A23" s="2426" t="s">
        <v>899</v>
      </c>
      <c r="B23" s="2425"/>
      <c r="C23" s="2425"/>
      <c r="D23" s="2425"/>
      <c r="E23" s="2425"/>
      <c r="F23" s="1429"/>
      <c r="G23" s="1744">
        <f>SUM(G14:G16,G21,G22)</f>
        <v>0</v>
      </c>
      <c r="H23" s="1744">
        <f>SUM(H14:H16,H21,H22)</f>
        <v>1394740</v>
      </c>
      <c r="I23" s="1744">
        <f>SUM(I14:I16,I21,I22)</f>
        <v>0</v>
      </c>
      <c r="J23" s="1744">
        <f>SUM(J14:J16,J21,J22)</f>
        <v>0</v>
      </c>
      <c r="K23" s="1744">
        <f>SUM(K14:K16,K21,K22)</f>
        <v>0</v>
      </c>
      <c r="M23" s="1835"/>
      <c r="N23" s="1835"/>
      <c r="O23" s="1835"/>
    </row>
    <row r="24" spans="1:15" ht="14.25" thickTop="1" thickBot="1" x14ac:dyDescent="0.25">
      <c r="A24" s="2427" t="str">
        <f>"Ending Cash Basis Fund Balance as of June 30, "&amp;'AFR20'!E2</f>
        <v>Ending Cash Basis Fund Balance as of June 30, 2020</v>
      </c>
      <c r="B24" s="2428"/>
      <c r="C24" s="2428"/>
      <c r="D24" s="2428"/>
      <c r="E24" s="2428"/>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1870</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99"/>
      <c r="I31" s="2400"/>
      <c r="J31" s="2400"/>
      <c r="K31" s="2400"/>
    </row>
    <row r="32" spans="1:15" x14ac:dyDescent="0.2">
      <c r="A32" s="649"/>
      <c r="B32" s="232"/>
      <c r="C32" s="232"/>
      <c r="D32" s="232"/>
      <c r="E32" s="645"/>
      <c r="F32" s="651" t="s">
        <v>537</v>
      </c>
      <c r="G32" s="618"/>
      <c r="H32" s="2401"/>
      <c r="I32" s="2400"/>
      <c r="J32" s="2400"/>
      <c r="K32" s="2400"/>
    </row>
    <row r="33" spans="1:11" ht="1.5" customHeight="1" x14ac:dyDescent="0.2">
      <c r="A33" s="652" t="s">
        <v>1158</v>
      </c>
      <c r="B33" s="341"/>
      <c r="C33" s="341"/>
      <c r="D33" s="341"/>
      <c r="E33" s="341"/>
      <c r="F33" s="341"/>
      <c r="G33" s="653"/>
      <c r="H33" s="2401"/>
      <c r="I33" s="2400"/>
      <c r="J33" s="2400"/>
      <c r="K33" s="2400"/>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96" t="s">
        <v>538</v>
      </c>
      <c r="B41" s="2409"/>
      <c r="C41" s="2409"/>
      <c r="D41" s="2409"/>
      <c r="E41" s="2409"/>
      <c r="F41" s="241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1781</v>
      </c>
      <c r="B46" s="382" t="s">
        <v>1653</v>
      </c>
    </row>
    <row r="47" spans="1:11" s="663" customFormat="1" ht="12.75" customHeight="1" x14ac:dyDescent="0.2">
      <c r="A47" s="661"/>
      <c r="B47" s="662" t="s">
        <v>1654</v>
      </c>
      <c r="E47" s="662"/>
      <c r="K47" s="664"/>
    </row>
    <row r="48" spans="1:11" ht="12.75" customHeight="1" x14ac:dyDescent="0.2">
      <c r="A48" s="1293"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1"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33"/>
  </sheetPr>
  <dimension ref="A1:N27"/>
  <sheetViews>
    <sheetView showGridLines="0" defaultGridColor="0" topLeftCell="A4" colorId="8" zoomScale="110" zoomScaleNormal="110" workbookViewId="0">
      <selection activeCell="F10" sqref="F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3" t="s">
        <v>1869</v>
      </c>
      <c r="B1" s="2434"/>
      <c r="C1" s="2435"/>
      <c r="D1" s="666"/>
      <c r="E1" s="667"/>
      <c r="F1" s="667"/>
      <c r="G1" s="668"/>
      <c r="H1" s="669"/>
      <c r="I1" s="670"/>
      <c r="J1" s="2431"/>
      <c r="K1" s="2432"/>
      <c r="L1" s="2432"/>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3264362</v>
      </c>
      <c r="D5" s="1759"/>
      <c r="E5" s="1759"/>
      <c r="F5" s="1754">
        <f>(C5+D5)-E5</f>
        <v>3264362</v>
      </c>
      <c r="G5" s="676"/>
      <c r="H5" s="680"/>
      <c r="I5" s="680"/>
      <c r="J5" s="680"/>
      <c r="K5" s="637"/>
      <c r="L5" s="1435">
        <f>F5-K5</f>
        <v>3264362</v>
      </c>
    </row>
    <row r="6" spans="1:14" ht="14.25" thickTop="1" thickBot="1" x14ac:dyDescent="0.25">
      <c r="A6" s="629" t="s">
        <v>1106</v>
      </c>
      <c r="B6" s="679">
        <v>222</v>
      </c>
      <c r="C6" s="1734">
        <v>0</v>
      </c>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30103249</v>
      </c>
      <c r="D8" s="1760">
        <v>217429</v>
      </c>
      <c r="E8" s="1760">
        <v>161500</v>
      </c>
      <c r="F8" s="1754">
        <f>(C8+D8)-E8</f>
        <v>30159178</v>
      </c>
      <c r="G8" s="681">
        <v>50</v>
      </c>
      <c r="H8" s="619">
        <v>14341042</v>
      </c>
      <c r="I8" s="619">
        <v>649833</v>
      </c>
      <c r="J8" s="619">
        <v>80390</v>
      </c>
      <c r="K8" s="1435">
        <f>(H8+I8)-J8</f>
        <v>14910485</v>
      </c>
      <c r="L8" s="1435">
        <f>F8-K8</f>
        <v>15248693</v>
      </c>
    </row>
    <row r="9" spans="1:14" ht="14.25" thickTop="1" thickBot="1" x14ac:dyDescent="0.25">
      <c r="A9" s="629" t="s">
        <v>1108</v>
      </c>
      <c r="B9" s="679">
        <v>232</v>
      </c>
      <c r="C9" s="1734">
        <v>0</v>
      </c>
      <c r="D9" s="1734"/>
      <c r="E9" s="1734"/>
      <c r="F9" s="1754">
        <f>(C9+D9)-E9</f>
        <v>0</v>
      </c>
      <c r="G9" s="681">
        <v>20</v>
      </c>
      <c r="H9" s="619"/>
      <c r="I9" s="619"/>
      <c r="J9" s="619"/>
      <c r="K9" s="1435">
        <f>(H9+I9)-J9</f>
        <v>0</v>
      </c>
      <c r="L9" s="1435">
        <f>F9-K9</f>
        <v>0</v>
      </c>
    </row>
    <row r="10" spans="1:14" ht="24" thickTop="1" thickBot="1" x14ac:dyDescent="0.25">
      <c r="A10" s="682" t="s">
        <v>1109</v>
      </c>
      <c r="B10" s="679">
        <v>240</v>
      </c>
      <c r="C10" s="1761">
        <v>4447393</v>
      </c>
      <c r="D10" s="1761">
        <v>260388</v>
      </c>
      <c r="E10" s="1761"/>
      <c r="F10" s="1762">
        <f>(C10+D10)-E10</f>
        <v>4707781</v>
      </c>
      <c r="G10" s="681">
        <v>20</v>
      </c>
      <c r="H10" s="683">
        <v>2588343</v>
      </c>
      <c r="I10" s="683">
        <v>148497</v>
      </c>
      <c r="J10" s="683"/>
      <c r="K10" s="1435">
        <f>(H10+I10)-J10</f>
        <v>2736840</v>
      </c>
      <c r="L10" s="1435">
        <f>F10-K10</f>
        <v>1970941</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4169604</v>
      </c>
      <c r="D12" s="1760">
        <v>1319120</v>
      </c>
      <c r="E12" s="1760">
        <v>1140589</v>
      </c>
      <c r="F12" s="1754">
        <f>(C12+D12)-E12</f>
        <v>4348135</v>
      </c>
      <c r="G12" s="681">
        <v>10</v>
      </c>
      <c r="H12" s="619">
        <v>3301837</v>
      </c>
      <c r="I12" s="619">
        <v>1079366</v>
      </c>
      <c r="J12" s="619">
        <v>1013844</v>
      </c>
      <c r="K12" s="1435">
        <f>(H12+I12)-J12</f>
        <v>3367359</v>
      </c>
      <c r="L12" s="1435">
        <f>F12-K12</f>
        <v>980776</v>
      </c>
    </row>
    <row r="13" spans="1:14" ht="14.25" thickTop="1" thickBot="1" x14ac:dyDescent="0.25">
      <c r="A13" s="684" t="s">
        <v>1111</v>
      </c>
      <c r="B13" s="679">
        <v>252</v>
      </c>
      <c r="C13" s="1760">
        <v>3275566</v>
      </c>
      <c r="D13" s="1760">
        <v>314068</v>
      </c>
      <c r="E13" s="1760">
        <v>118700</v>
      </c>
      <c r="F13" s="1754">
        <f>(C13+D13)-E13</f>
        <v>3470934</v>
      </c>
      <c r="G13" s="681">
        <v>5</v>
      </c>
      <c r="H13" s="619">
        <v>1676525</v>
      </c>
      <c r="I13" s="619">
        <v>321912</v>
      </c>
      <c r="J13" s="619">
        <v>117525</v>
      </c>
      <c r="K13" s="1435">
        <f>(H13+I13)-J13</f>
        <v>1880912</v>
      </c>
      <c r="L13" s="1435">
        <f>F13-K13</f>
        <v>1590022</v>
      </c>
    </row>
    <row r="14" spans="1:14" ht="14.25" thickTop="1" thickBot="1" x14ac:dyDescent="0.25">
      <c r="A14" s="684" t="s">
        <v>1112</v>
      </c>
      <c r="B14" s="679">
        <v>253</v>
      </c>
      <c r="C14" s="1734">
        <v>0</v>
      </c>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22103281</v>
      </c>
      <c r="D15" s="1760">
        <v>2884626</v>
      </c>
      <c r="E15" s="1760"/>
      <c r="F15" s="1754">
        <f>(C15+D15)-E15</f>
        <v>24987907</v>
      </c>
      <c r="G15" s="685" t="s">
        <v>856</v>
      </c>
      <c r="H15" s="632"/>
      <c r="I15" s="632"/>
      <c r="J15" s="632"/>
      <c r="K15" s="632"/>
      <c r="L15" s="1435">
        <f>F15-K15</f>
        <v>24987907</v>
      </c>
    </row>
    <row r="16" spans="1:14" ht="15" customHeight="1" thickTop="1" thickBot="1" x14ac:dyDescent="0.25">
      <c r="A16" s="1431" t="s">
        <v>638</v>
      </c>
      <c r="B16" s="1432">
        <v>200</v>
      </c>
      <c r="C16" s="1754">
        <f>SUM(C3,C5:C6,C8:C10,C12:C15)</f>
        <v>67363455</v>
      </c>
      <c r="D16" s="1754">
        <f>SUM(D3,D5:D6,D8:D10,D12:D15)</f>
        <v>4995631</v>
      </c>
      <c r="E16" s="1754">
        <f>SUM(E3,E5:E6,E8:E10,E12:E15)</f>
        <v>1420789</v>
      </c>
      <c r="F16" s="1754">
        <f>SUM(F3,F5:F6,F8:F10,F12:F15)</f>
        <v>70938297</v>
      </c>
      <c r="G16" s="681"/>
      <c r="H16" s="1428">
        <f>SUM(H3,H6,H8:H10,H12:H14,)</f>
        <v>21907747</v>
      </c>
      <c r="I16" s="1428">
        <f>SUM(I3,I6,I8:I10,I12:I14,)</f>
        <v>2199608</v>
      </c>
      <c r="J16" s="1428">
        <f>SUM(J3,J6,J8:J10,J12:J14,)</f>
        <v>1211759</v>
      </c>
      <c r="K16" s="1428">
        <f>(H16+I16)-J16</f>
        <v>22895596</v>
      </c>
      <c r="L16" s="1428">
        <f>F16-K16</f>
        <v>48042701</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225081</v>
      </c>
      <c r="G17" s="676">
        <v>10</v>
      </c>
      <c r="H17" s="621"/>
      <c r="I17" s="1435">
        <f>F17/G17</f>
        <v>22508.1</v>
      </c>
      <c r="J17" s="621"/>
      <c r="K17" s="638"/>
      <c r="L17" s="638"/>
    </row>
    <row r="18" spans="1:12" ht="14.25" thickTop="1" thickBot="1" x14ac:dyDescent="0.25">
      <c r="A18" s="1433" t="s">
        <v>679</v>
      </c>
      <c r="B18" s="1434"/>
      <c r="C18" s="623"/>
      <c r="D18" s="623"/>
      <c r="E18" s="623"/>
      <c r="F18" s="686"/>
      <c r="G18" s="687"/>
      <c r="H18" s="624"/>
      <c r="I18" s="1428">
        <f>SUM(I16,I17)</f>
        <v>2222116.1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2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33"/>
  </sheetPr>
  <dimension ref="A1:I203"/>
  <sheetViews>
    <sheetView showGridLines="0" defaultGridColor="0" colorId="8" zoomScaleNormal="100" workbookViewId="0">
      <pane ySplit="5" topLeftCell="A129" activePane="bottomLeft" state="frozen"/>
      <selection activeCell="A47" sqref="A47"/>
      <selection pane="bottomLeft" activeCell="F177" sqref="F1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9" t="str">
        <f>"ESTIMATED OPERATING EXPENSE PER PUPIL (OEPP)/PER CAPITA TUITION CHARGE (PCTC) COMPUTATIONS ("&amp;'AFR20'!E2-1&amp;" - "&amp;'AFR20'!E2&amp;")"</f>
        <v>ESTIMATED OPERATING EXPENSE PER PUPIL (OEPP)/PER CAPITA TUITION CHARGE (PCTC) COMPUTATIONS (2019 - 2020)</v>
      </c>
      <c r="B1" s="2440"/>
      <c r="C1" s="2440"/>
      <c r="D1" s="2440"/>
      <c r="E1" s="2440"/>
      <c r="F1" s="2441"/>
      <c r="G1" s="691"/>
      <c r="I1" s="701"/>
    </row>
    <row r="2" spans="1:9" ht="15" customHeight="1" thickBot="1" x14ac:dyDescent="0.25">
      <c r="A2" s="2442" t="s">
        <v>474</v>
      </c>
      <c r="B2" s="2443"/>
      <c r="C2" s="2443"/>
      <c r="D2" s="2443"/>
      <c r="E2" s="2443"/>
      <c r="F2" s="2444"/>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445"/>
      <c r="B5" s="2446"/>
      <c r="C5" s="2446"/>
      <c r="D5" s="2446"/>
      <c r="E5" s="2446"/>
      <c r="F5" s="2446"/>
    </row>
    <row r="6" spans="1:9" ht="13.5" customHeight="1" thickBot="1" x14ac:dyDescent="0.25">
      <c r="A6" s="2436" t="s">
        <v>1094</v>
      </c>
      <c r="B6" s="2437"/>
      <c r="C6" s="2437"/>
      <c r="D6" s="2437"/>
      <c r="E6" s="2437"/>
      <c r="F6" s="2438"/>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28213240</v>
      </c>
      <c r="G8" s="701"/>
    </row>
    <row r="9" spans="1:9" x14ac:dyDescent="0.2">
      <c r="A9" s="705" t="s">
        <v>457</v>
      </c>
      <c r="B9" s="706" t="s">
        <v>1842</v>
      </c>
      <c r="C9" s="707"/>
      <c r="D9" s="705" t="s">
        <v>498</v>
      </c>
      <c r="E9" s="704"/>
      <c r="F9" s="1764">
        <f>'Expenditures 15-22'!K151</f>
        <v>3060755</v>
      </c>
      <c r="G9" s="708"/>
    </row>
    <row r="10" spans="1:9" x14ac:dyDescent="0.2">
      <c r="A10" s="705" t="s">
        <v>496</v>
      </c>
      <c r="B10" s="706" t="s">
        <v>1843</v>
      </c>
      <c r="C10" s="707"/>
      <c r="D10" s="705" t="s">
        <v>498</v>
      </c>
      <c r="E10" s="704"/>
      <c r="F10" s="1764">
        <f>'Expenditures 15-22'!K174</f>
        <v>2094991</v>
      </c>
      <c r="G10" s="708"/>
    </row>
    <row r="11" spans="1:9" x14ac:dyDescent="0.2">
      <c r="A11" s="705" t="s">
        <v>458</v>
      </c>
      <c r="B11" s="706" t="s">
        <v>1844</v>
      </c>
      <c r="C11" s="707"/>
      <c r="D11" s="705" t="s">
        <v>498</v>
      </c>
      <c r="E11" s="704"/>
      <c r="F11" s="1764">
        <f>'Expenditures 15-22'!K210</f>
        <v>2222414</v>
      </c>
      <c r="G11" s="708"/>
    </row>
    <row r="12" spans="1:9" x14ac:dyDescent="0.2">
      <c r="A12" s="705" t="s">
        <v>459</v>
      </c>
      <c r="B12" s="706" t="s">
        <v>1845</v>
      </c>
      <c r="C12" s="707"/>
      <c r="D12" s="705" t="s">
        <v>498</v>
      </c>
      <c r="E12" s="704"/>
      <c r="F12" s="1764">
        <f>'Expenditures 15-22'!K295</f>
        <v>1232813</v>
      </c>
      <c r="G12" s="708"/>
    </row>
    <row r="13" spans="1:9" x14ac:dyDescent="0.2">
      <c r="A13" s="705" t="s">
        <v>106</v>
      </c>
      <c r="B13" s="706" t="s">
        <v>1846</v>
      </c>
      <c r="C13" s="707"/>
      <c r="D13" s="705" t="s">
        <v>498</v>
      </c>
      <c r="E13" s="704"/>
      <c r="F13" s="1764">
        <f>'Expenditures 15-22'!K342</f>
        <v>107495</v>
      </c>
      <c r="G13" s="709"/>
    </row>
    <row r="14" spans="1:9" ht="12" customHeight="1" thickBot="1" x14ac:dyDescent="0.25">
      <c r="A14" s="1436"/>
      <c r="B14" s="1437"/>
      <c r="C14" s="1438"/>
      <c r="D14" s="1439" t="s">
        <v>498</v>
      </c>
      <c r="E14" s="1440" t="s">
        <v>951</v>
      </c>
      <c r="F14" s="1765">
        <f>SUM(F8:F13)</f>
        <v>36931708</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72">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1903</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243105</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393087</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29488</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690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734387</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90964</v>
      </c>
      <c r="G52" s="701"/>
    </row>
    <row r="53" spans="1:7" x14ac:dyDescent="0.2">
      <c r="A53" s="705" t="s">
        <v>456</v>
      </c>
      <c r="B53" s="705" t="s">
        <v>1455</v>
      </c>
      <c r="C53" s="724">
        <f>'Expenditures 15-22'!B102</f>
        <v>4000</v>
      </c>
      <c r="D53" s="723" t="str">
        <f>'Expenditures 15-22'!A102</f>
        <v>Total Payments to Other Govt Units</v>
      </c>
      <c r="E53" s="704"/>
      <c r="F53" s="1771">
        <f>'Expenditures 15-22'!K102</f>
        <v>970122</v>
      </c>
      <c r="G53" s="701"/>
    </row>
    <row r="54" spans="1:7" x14ac:dyDescent="0.2">
      <c r="A54" s="705" t="s">
        <v>456</v>
      </c>
      <c r="B54" s="705" t="s">
        <v>1456</v>
      </c>
      <c r="C54" s="724" t="s">
        <v>974</v>
      </c>
      <c r="D54" s="720" t="s">
        <v>1085</v>
      </c>
      <c r="E54" s="704"/>
      <c r="F54" s="1771">
        <f>'Expenditures 15-22'!G114</f>
        <v>56849</v>
      </c>
      <c r="G54" s="701"/>
    </row>
    <row r="55" spans="1:7" x14ac:dyDescent="0.2">
      <c r="A55" s="705" t="s">
        <v>456</v>
      </c>
      <c r="B55" s="705" t="s">
        <v>1457</v>
      </c>
      <c r="C55" s="724" t="s">
        <v>974</v>
      </c>
      <c r="D55" s="720" t="s">
        <v>288</v>
      </c>
      <c r="E55" s="704"/>
      <c r="F55" s="1771">
        <f>'Expenditures 15-22'!I114</f>
        <v>185188</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71">
        <f>'Expenditures 15-22'!K139</f>
        <v>52334</v>
      </c>
      <c r="G57" s="701"/>
    </row>
    <row r="58" spans="1:7" x14ac:dyDescent="0.2">
      <c r="A58" s="705" t="s">
        <v>457</v>
      </c>
      <c r="B58" s="705" t="s">
        <v>1848</v>
      </c>
      <c r="C58" s="721" t="s">
        <v>974</v>
      </c>
      <c r="D58" s="720" t="s">
        <v>1085</v>
      </c>
      <c r="E58" s="704"/>
      <c r="F58" s="1773">
        <f>'Expenditures 15-22'!G151</f>
        <v>621596</v>
      </c>
      <c r="G58" s="701"/>
    </row>
    <row r="59" spans="1:7" x14ac:dyDescent="0.2">
      <c r="A59" s="728" t="s">
        <v>457</v>
      </c>
      <c r="B59" s="692" t="s">
        <v>1849</v>
      </c>
      <c r="C59" s="729" t="s">
        <v>974</v>
      </c>
      <c r="D59" s="692" t="s">
        <v>288</v>
      </c>
      <c r="F59" s="1774">
        <f>'Expenditures 15-22'!I151</f>
        <v>39893</v>
      </c>
      <c r="G59" s="701"/>
    </row>
    <row r="60" spans="1:7" x14ac:dyDescent="0.2">
      <c r="A60" s="728" t="s">
        <v>496</v>
      </c>
      <c r="B60" s="692" t="s">
        <v>1850</v>
      </c>
      <c r="C60" s="729">
        <v>4000</v>
      </c>
      <c r="D60" s="692" t="s">
        <v>309</v>
      </c>
      <c r="F60" s="1772">
        <f>'Expenditures 15-22'!K160</f>
        <v>0</v>
      </c>
      <c r="G60" s="701"/>
    </row>
    <row r="61" spans="1:7" x14ac:dyDescent="0.2">
      <c r="A61" s="730" t="s">
        <v>496</v>
      </c>
      <c r="B61" s="730" t="s">
        <v>1851</v>
      </c>
      <c r="C61" s="731" t="str">
        <f>'Expenditures 15-22'!B170</f>
        <v>5300</v>
      </c>
      <c r="D61" s="732" t="s">
        <v>308</v>
      </c>
      <c r="E61" s="715"/>
      <c r="F61" s="1771">
        <f>'Expenditures 15-22'!K170</f>
        <v>1185628</v>
      </c>
      <c r="G61" s="701"/>
    </row>
    <row r="62" spans="1:7" x14ac:dyDescent="0.2">
      <c r="A62" s="705" t="s">
        <v>458</v>
      </c>
      <c r="B62" s="705" t="s">
        <v>1852</v>
      </c>
      <c r="C62" s="721">
        <f>'Expenditures 15-22'!B185</f>
        <v>3000</v>
      </c>
      <c r="D62" s="712" t="s">
        <v>446</v>
      </c>
      <c r="E62" s="704"/>
      <c r="F62" s="1771">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1854</v>
      </c>
      <c r="C64" s="731" t="str">
        <f>'Expenditures 15-22'!B206</f>
        <v>5300</v>
      </c>
      <c r="D64" s="727" t="s">
        <v>308</v>
      </c>
      <c r="E64" s="704"/>
      <c r="F64" s="1771">
        <f>'Expenditures 15-22'!K206</f>
        <v>0</v>
      </c>
      <c r="G64" s="701"/>
    </row>
    <row r="65" spans="1:9" x14ac:dyDescent="0.2">
      <c r="A65" s="705" t="s">
        <v>458</v>
      </c>
      <c r="B65" s="705" t="s">
        <v>1855</v>
      </c>
      <c r="C65" s="721" t="s">
        <v>974</v>
      </c>
      <c r="D65" s="720" t="s">
        <v>1085</v>
      </c>
      <c r="E65" s="704"/>
      <c r="F65" s="1771">
        <f>'Expenditures 15-22'!G210</f>
        <v>292725</v>
      </c>
      <c r="G65" s="701"/>
    </row>
    <row r="66" spans="1:9" x14ac:dyDescent="0.2">
      <c r="A66" s="705" t="s">
        <v>458</v>
      </c>
      <c r="B66" s="705" t="s">
        <v>1856</v>
      </c>
      <c r="C66" s="721" t="s">
        <v>974</v>
      </c>
      <c r="D66" s="720" t="s">
        <v>288</v>
      </c>
      <c r="E66" s="704"/>
      <c r="F66" s="1771">
        <f>'Expenditures 15-22'!I210</f>
        <v>0</v>
      </c>
      <c r="G66" s="701"/>
    </row>
    <row r="67" spans="1:9" x14ac:dyDescent="0.2">
      <c r="A67" s="705" t="s">
        <v>459</v>
      </c>
      <c r="B67" s="705" t="s">
        <v>1857</v>
      </c>
      <c r="C67" s="721" t="str">
        <f>'Expenditures 15-22'!B216</f>
        <v>1125</v>
      </c>
      <c r="D67" s="727" t="str">
        <f>'Expenditures 15-22'!A216</f>
        <v>Pre-K Programs</v>
      </c>
      <c r="E67" s="704"/>
      <c r="F67" s="1771">
        <f>'Expenditures 15-22'!K216</f>
        <v>8891</v>
      </c>
      <c r="G67" s="701"/>
    </row>
    <row r="68" spans="1:9" x14ac:dyDescent="0.2">
      <c r="A68" s="705" t="s">
        <v>459</v>
      </c>
      <c r="B68" s="705" t="s">
        <v>1459</v>
      </c>
      <c r="C68" s="721" t="str">
        <f>'Expenditures 15-22'!B218</f>
        <v>1225</v>
      </c>
      <c r="D68" s="727" t="str">
        <f>'Expenditures 15-22'!A218</f>
        <v>Special Education Programs - Pre-K</v>
      </c>
      <c r="E68" s="704"/>
      <c r="F68" s="1771">
        <f>'Expenditures 15-22'!K218</f>
        <v>25771</v>
      </c>
      <c r="G68" s="701"/>
    </row>
    <row r="69" spans="1:9" x14ac:dyDescent="0.2">
      <c r="A69" s="705" t="s">
        <v>459</v>
      </c>
      <c r="B69" s="705" t="s">
        <v>1858</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1859</v>
      </c>
      <c r="C70" s="721">
        <f>'Expenditures 15-22'!B221</f>
        <v>1300</v>
      </c>
      <c r="D70" s="722" t="str">
        <f>'Expenditures 15-22'!A221</f>
        <v>Adult/Continuing Education Programs</v>
      </c>
      <c r="E70" s="704"/>
      <c r="F70" s="1771">
        <f>'Expenditures 15-22'!K221</f>
        <v>0</v>
      </c>
      <c r="G70" s="701"/>
    </row>
    <row r="71" spans="1:9" x14ac:dyDescent="0.2">
      <c r="A71" s="705" t="s">
        <v>459</v>
      </c>
      <c r="B71" s="705" t="s">
        <v>1860</v>
      </c>
      <c r="C71" s="721">
        <f>'Expenditures 15-22'!B224</f>
        <v>1600</v>
      </c>
      <c r="D71" s="722" t="str">
        <f>'Expenditures 15-22'!A224</f>
        <v>Summer School Programs</v>
      </c>
      <c r="E71" s="704"/>
      <c r="F71" s="1771">
        <f>'Expenditures 15-22'!K224</f>
        <v>1303</v>
      </c>
      <c r="G71" s="701"/>
    </row>
    <row r="72" spans="1:9" x14ac:dyDescent="0.2">
      <c r="A72" s="705" t="s">
        <v>459</v>
      </c>
      <c r="B72" s="705" t="s">
        <v>1861</v>
      </c>
      <c r="C72" s="721">
        <f>'Expenditures 15-22'!B280</f>
        <v>3000</v>
      </c>
      <c r="D72" s="712" t="s">
        <v>446</v>
      </c>
      <c r="E72" s="704"/>
      <c r="F72" s="1771">
        <f>'Expenditures 15-22'!K280</f>
        <v>13271</v>
      </c>
      <c r="G72" s="701"/>
    </row>
    <row r="73" spans="1:9" x14ac:dyDescent="0.2">
      <c r="A73" s="705" t="s">
        <v>459</v>
      </c>
      <c r="B73" s="705" t="s">
        <v>1862</v>
      </c>
      <c r="C73" s="721" t="str">
        <f>'Expenditures 15-22'!B285</f>
        <v>4000</v>
      </c>
      <c r="D73" s="722" t="str">
        <f>'Expenditures 15-22'!A285</f>
        <v>Total Payments to Other Govt Units</v>
      </c>
      <c r="E73" s="704"/>
      <c r="F73" s="1771">
        <f>'Expenditures 15-22'!K285</f>
        <v>35458</v>
      </c>
      <c r="G73" s="701"/>
    </row>
    <row r="74" spans="1:9" x14ac:dyDescent="0.2">
      <c r="A74" s="705" t="s">
        <v>433</v>
      </c>
      <c r="B74" s="705" t="s">
        <v>1863</v>
      </c>
      <c r="C74" s="721" t="s">
        <v>854</v>
      </c>
      <c r="D74" s="722" t="s">
        <v>1467</v>
      </c>
      <c r="E74" s="704"/>
      <c r="F74" s="1775">
        <f>'Expenditures 15-22'!K334</f>
        <v>0</v>
      </c>
      <c r="G74" s="701"/>
    </row>
    <row r="75" spans="1:9" x14ac:dyDescent="0.2">
      <c r="A75" s="705" t="s">
        <v>2002</v>
      </c>
      <c r="B75" s="705" t="s">
        <v>2003</v>
      </c>
      <c r="C75" s="721" t="s">
        <v>974</v>
      </c>
      <c r="D75" s="722" t="s">
        <v>1085</v>
      </c>
      <c r="E75" s="704"/>
      <c r="F75" s="1775">
        <f>'Expenditures 15-22'!G342</f>
        <v>0</v>
      </c>
      <c r="G75" s="701"/>
    </row>
    <row r="76" spans="1:9" ht="10.5" customHeight="1" x14ac:dyDescent="0.2">
      <c r="A76" s="701" t="s">
        <v>433</v>
      </c>
      <c r="B76" s="705" t="s">
        <v>2004</v>
      </c>
      <c r="C76" s="711" t="s">
        <v>974</v>
      </c>
      <c r="D76" s="701" t="s">
        <v>288</v>
      </c>
      <c r="E76" s="704"/>
      <c r="F76" s="1775">
        <f>'Expenditures 15-22'!I342</f>
        <v>0</v>
      </c>
      <c r="G76" s="703"/>
    </row>
    <row r="77" spans="1:9" ht="12" thickBot="1" x14ac:dyDescent="0.25">
      <c r="A77" s="1436"/>
      <c r="B77" s="1441"/>
      <c r="C77" s="1438"/>
      <c r="D77" s="1442" t="s">
        <v>2005</v>
      </c>
      <c r="E77" s="1440" t="s">
        <v>951</v>
      </c>
      <c r="F77" s="1776">
        <f>SUM(F18:F76)</f>
        <v>4980750</v>
      </c>
      <c r="G77" s="701"/>
    </row>
    <row r="78" spans="1:9" s="728" customFormat="1" ht="12" customHeight="1" thickTop="1" thickBot="1" x14ac:dyDescent="0.25">
      <c r="A78" s="1443"/>
      <c r="B78" s="1441"/>
      <c r="C78" s="1438"/>
      <c r="D78" s="1442" t="s">
        <v>2006</v>
      </c>
      <c r="E78" s="1440"/>
      <c r="F78" s="1777">
        <f>(F14-F77)</f>
        <v>31950958</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2709.3</v>
      </c>
      <c r="G79" s="733"/>
      <c r="H79" s="705"/>
      <c r="I79" s="705"/>
    </row>
    <row r="80" spans="1:9" s="728" customFormat="1" ht="12" customHeight="1" thickBot="1" x14ac:dyDescent="0.25">
      <c r="A80" s="1445"/>
      <c r="B80" s="1441"/>
      <c r="C80" s="1438"/>
      <c r="D80" s="1442" t="s">
        <v>2007</v>
      </c>
      <c r="E80" s="1440" t="s">
        <v>951</v>
      </c>
      <c r="F80" s="1779">
        <f>IF(F79&gt;0,F78/F79," Complete Line 79")</f>
        <v>11793.067582032258</v>
      </c>
      <c r="G80" s="705"/>
    </row>
    <row r="81" spans="1:7" s="728" customFormat="1" ht="8.25" customHeight="1" thickTop="1" x14ac:dyDescent="0.2">
      <c r="A81" s="734"/>
      <c r="B81" s="705"/>
      <c r="C81" s="707"/>
      <c r="D81" s="735"/>
      <c r="E81" s="704"/>
      <c r="F81" s="1780"/>
      <c r="G81" s="705"/>
    </row>
    <row r="82" spans="1:7" s="728" customFormat="1" ht="12" thickBot="1" x14ac:dyDescent="0.25">
      <c r="A82" s="2436" t="s">
        <v>1095</v>
      </c>
      <c r="B82" s="2437"/>
      <c r="C82" s="2437"/>
      <c r="D82" s="2437"/>
      <c r="E82" s="2437"/>
      <c r="F82" s="243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284999</v>
      </c>
      <c r="G95" s="745"/>
    </row>
    <row r="96" spans="1:7" x14ac:dyDescent="0.2">
      <c r="A96" s="741" t="s">
        <v>139</v>
      </c>
      <c r="B96" s="741" t="s">
        <v>174</v>
      </c>
      <c r="C96" s="743">
        <v>1700</v>
      </c>
      <c r="D96" s="751" t="str">
        <f>'Revenues 9-14'!A82</f>
        <v>Total District/School Activity Income</v>
      </c>
      <c r="E96" s="739"/>
      <c r="F96" s="1782">
        <f>SUM('Revenues 9-14'!C82,'Revenues 9-14'!D82)</f>
        <v>246797</v>
      </c>
      <c r="G96" s="745"/>
    </row>
    <row r="97" spans="1:7" x14ac:dyDescent="0.2">
      <c r="A97" s="741" t="s">
        <v>456</v>
      </c>
      <c r="B97" s="741" t="s">
        <v>175</v>
      </c>
      <c r="C97" s="743">
        <f>'Revenues 9-14'!B84</f>
        <v>1811</v>
      </c>
      <c r="D97" s="744" t="str">
        <f>'Revenues 9-14'!A84</f>
        <v>Rentals - Regular Textbooks</v>
      </c>
      <c r="E97" s="739"/>
      <c r="F97" s="1782">
        <f>'Revenues 9-14'!C84</f>
        <v>149036</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10611</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1904</v>
      </c>
      <c r="C106" s="746">
        <v>3100</v>
      </c>
      <c r="D106" s="752" t="str">
        <f>'Revenues 9-14'!A132</f>
        <v>Total Special Education</v>
      </c>
      <c r="E106" s="739"/>
      <c r="F106" s="1782">
        <f>SUM('Revenues 9-14'!C132:D132,'Revenues 9-14'!F132)</f>
        <v>352805</v>
      </c>
      <c r="G106" s="745"/>
    </row>
    <row r="107" spans="1:7" x14ac:dyDescent="0.2">
      <c r="A107" s="741" t="s">
        <v>668</v>
      </c>
      <c r="B107" s="741" t="s">
        <v>1905</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1906</v>
      </c>
      <c r="C108" s="753">
        <v>3300</v>
      </c>
      <c r="D108" s="744" t="str">
        <f>'Revenues 9-14'!A145</f>
        <v>Total Bilingual Ed</v>
      </c>
      <c r="E108" s="739"/>
      <c r="F108" s="1782">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82">
        <f>'Revenues 9-14'!C146</f>
        <v>2855</v>
      </c>
      <c r="G109" s="745"/>
    </row>
    <row r="110" spans="1:7" x14ac:dyDescent="0.2">
      <c r="A110" s="741" t="s">
        <v>668</v>
      </c>
      <c r="B110" s="741" t="s">
        <v>1908</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82">
        <f>SUM('Revenues 9-14'!C148,'Revenues 9-14'!D148)</f>
        <v>0</v>
      </c>
      <c r="G111" s="745"/>
    </row>
    <row r="112" spans="1:7" x14ac:dyDescent="0.2">
      <c r="A112" s="741" t="s">
        <v>663</v>
      </c>
      <c r="B112" s="741" t="s">
        <v>1910</v>
      </c>
      <c r="C112" s="755">
        <v>3500</v>
      </c>
      <c r="D112" s="744" t="str">
        <f>'Revenues 9-14'!A155</f>
        <v>Total Transportation</v>
      </c>
      <c r="E112" s="739"/>
      <c r="F112" s="1782">
        <f>SUM('Revenues 9-14'!C155,'Revenues 9-14'!D155,'Revenues 9-14'!F155,'Revenues 9-14'!G155)</f>
        <v>1524516</v>
      </c>
      <c r="G112" s="745"/>
    </row>
    <row r="113" spans="1:7" x14ac:dyDescent="0.2">
      <c r="A113" s="741" t="s">
        <v>456</v>
      </c>
      <c r="B113" s="741" t="s">
        <v>1911</v>
      </c>
      <c r="C113" s="753">
        <f>'Revenues 9-14'!B156</f>
        <v>3610</v>
      </c>
      <c r="D113" s="744" t="str">
        <f>'Revenues 9-14'!A156</f>
        <v>Learning Improvement - Change Grants</v>
      </c>
      <c r="E113" s="739"/>
      <c r="F113" s="1782">
        <f>'Revenues 9-14'!C156</f>
        <v>0</v>
      </c>
      <c r="G113" s="745"/>
    </row>
    <row r="114" spans="1:7" x14ac:dyDescent="0.2">
      <c r="A114" s="741" t="s">
        <v>663</v>
      </c>
      <c r="B114" s="741" t="s">
        <v>1912</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81">
        <f>SUM('Revenues 9-14'!C163:G163)</f>
        <v>0</v>
      </c>
      <c r="G119" s="745"/>
    </row>
    <row r="120" spans="1:7" x14ac:dyDescent="0.2">
      <c r="A120" s="756" t="s">
        <v>501</v>
      </c>
      <c r="B120" s="756" t="s">
        <v>1918</v>
      </c>
      <c r="C120" s="757">
        <f>'Revenues 9-14'!B164</f>
        <v>3815</v>
      </c>
      <c r="D120" s="758" t="str">
        <f>'Revenues 9-14'!A164</f>
        <v>State Charter Schools</v>
      </c>
      <c r="E120" s="739"/>
      <c r="F120" s="1781">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82">
        <f>'Revenues 9-14'!D167</f>
        <v>0</v>
      </c>
      <c r="G121" s="763"/>
    </row>
    <row r="122" spans="1:7" x14ac:dyDescent="0.2">
      <c r="A122" s="760" t="s">
        <v>497</v>
      </c>
      <c r="B122" s="760" t="s">
        <v>1920</v>
      </c>
      <c r="C122" s="761">
        <f>'Revenues 9-14'!B168</f>
        <v>3999</v>
      </c>
      <c r="D122" s="762" t="s">
        <v>540</v>
      </c>
      <c r="E122" s="764"/>
      <c r="F122" s="1782">
        <f>SUM('Revenues 9-14'!C168:G168,'Revenues 9-14'!J168)</f>
        <v>52001</v>
      </c>
      <c r="G122" s="763"/>
    </row>
    <row r="123" spans="1:7" x14ac:dyDescent="0.2">
      <c r="A123" s="760" t="s">
        <v>456</v>
      </c>
      <c r="B123" s="760" t="s">
        <v>1921</v>
      </c>
      <c r="C123" s="765">
        <f>'Revenues 9-14'!B177</f>
        <v>4045</v>
      </c>
      <c r="D123" s="762" t="str">
        <f>'Revenues 9-14'!A177 &amp; " (Subtract)"</f>
        <v>Head Start (Subtract)</v>
      </c>
      <c r="E123" s="739"/>
      <c r="F123" s="1782">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1923</v>
      </c>
      <c r="C125" s="765">
        <v>4100</v>
      </c>
      <c r="D125" s="766" t="str">
        <f>'Revenues 9-14'!A188</f>
        <v>Total Title V</v>
      </c>
      <c r="E125" s="739"/>
      <c r="F125" s="1782">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82">
        <f>SUM('Revenues 9-14'!C198,'Revenues 9-14'!G198)</f>
        <v>272781</v>
      </c>
      <c r="G126" s="763"/>
    </row>
    <row r="127" spans="1:7" x14ac:dyDescent="0.2">
      <c r="A127" s="760" t="s">
        <v>663</v>
      </c>
      <c r="B127" s="760" t="s">
        <v>1925</v>
      </c>
      <c r="C127" s="765">
        <v>4300</v>
      </c>
      <c r="D127" s="766" t="str">
        <f>'Revenues 9-14'!A204</f>
        <v>Total Title I</v>
      </c>
      <c r="E127" s="739"/>
      <c r="F127" s="1782">
        <f>SUM('Revenues 9-14'!C204,'Revenues 9-14'!D204,'Revenues 9-14'!F204,'Revenues 9-14'!G204)</f>
        <v>170275</v>
      </c>
      <c r="G127" s="763"/>
    </row>
    <row r="128" spans="1:7" x14ac:dyDescent="0.2">
      <c r="A128" s="760" t="s">
        <v>663</v>
      </c>
      <c r="B128" s="760" t="s">
        <v>1926</v>
      </c>
      <c r="C128" s="765">
        <v>4400</v>
      </c>
      <c r="D128" s="766" t="str">
        <f>'Revenues 9-14'!A209</f>
        <v>Total Title IV</v>
      </c>
      <c r="E128" s="739"/>
      <c r="F128" s="1782">
        <f>SUM('Revenues 9-14'!C209,'Revenues 9-14'!D209,'Revenues 9-14'!F209,'Revenues 9-14'!G209)</f>
        <v>25737</v>
      </c>
      <c r="G128" s="763"/>
    </row>
    <row r="129" spans="1:7" x14ac:dyDescent="0.2">
      <c r="A129" s="760" t="s">
        <v>663</v>
      </c>
      <c r="B129" s="760" t="s">
        <v>1927</v>
      </c>
      <c r="C129" s="765">
        <f>'Revenues 9-14'!B213</f>
        <v>4620</v>
      </c>
      <c r="D129" s="766" t="str">
        <f>'Revenues 9-14'!A213</f>
        <v>Fed - Spec Education - IDEA - Flow Through</v>
      </c>
      <c r="E129" s="739"/>
      <c r="F129" s="1782">
        <f>SUM('Revenues 9-14'!C213:D213,'Revenues 9-14'!F213:G213)</f>
        <v>459595</v>
      </c>
      <c r="G129" s="763"/>
    </row>
    <row r="130" spans="1:7" x14ac:dyDescent="0.2">
      <c r="A130" s="760" t="s">
        <v>663</v>
      </c>
      <c r="B130" s="760" t="s">
        <v>1928</v>
      </c>
      <c r="C130" s="765">
        <f>'Revenues 9-14'!B214</f>
        <v>4625</v>
      </c>
      <c r="D130" s="766" t="str">
        <f>'Revenues 9-14'!A214</f>
        <v>Fed - Spec Education - IDEA - Room &amp; Board</v>
      </c>
      <c r="E130" s="739"/>
      <c r="F130" s="1782">
        <f>SUM('Revenues 9-14'!C214,'Revenues 9-14'!D214,'Revenues 9-14'!F214,'Revenues 9-14'!G214)</f>
        <v>11083</v>
      </c>
      <c r="G130" s="763"/>
    </row>
    <row r="131" spans="1:7" x14ac:dyDescent="0.2">
      <c r="A131" s="760" t="s">
        <v>663</v>
      </c>
      <c r="B131" s="760" t="s">
        <v>1929</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1930</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82">
        <v>0</v>
      </c>
      <c r="G139" s="738"/>
    </row>
    <row r="140" spans="1:7" s="703" customFormat="1" hidden="1" x14ac:dyDescent="0.2">
      <c r="A140" s="767" t="s">
        <v>204</v>
      </c>
      <c r="B140" s="767" t="s">
        <v>1937</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1945</v>
      </c>
      <c r="C158" s="773" t="s">
        <v>835</v>
      </c>
      <c r="D158" s="774" t="s">
        <v>771</v>
      </c>
      <c r="E158" s="775"/>
      <c r="F158" s="1782">
        <f>SUM(F134:F157)</f>
        <v>0</v>
      </c>
      <c r="G158" s="738"/>
    </row>
    <row r="159" spans="1:7" s="703" customFormat="1" x14ac:dyDescent="0.2">
      <c r="A159" s="771" t="s">
        <v>456</v>
      </c>
      <c r="B159" s="772" t="s">
        <v>1946</v>
      </c>
      <c r="C159" s="773" t="s">
        <v>1407</v>
      </c>
      <c r="D159" s="774" t="s">
        <v>1408</v>
      </c>
      <c r="E159" s="775"/>
      <c r="F159" s="1782">
        <f>SUM('Revenues 9-14'!C253)</f>
        <v>0</v>
      </c>
      <c r="G159" s="738"/>
    </row>
    <row r="160" spans="1:7" s="703" customFormat="1" x14ac:dyDescent="0.2">
      <c r="A160" s="771" t="s">
        <v>497</v>
      </c>
      <c r="B160" s="772" t="s">
        <v>1947</v>
      </c>
      <c r="C160" s="773" t="s">
        <v>1446</v>
      </c>
      <c r="D160" s="774" t="s">
        <v>1447</v>
      </c>
      <c r="E160" s="775"/>
      <c r="F160" s="1782">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1950</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81">
        <f>SUM('Revenues 9-14'!C259,'Revenues 9-14'!D259,'Revenues 9-14'!F259,'Revenues 9-14'!G259)</f>
        <v>71656</v>
      </c>
      <c r="G165" s="763"/>
    </row>
    <row r="166" spans="1:7" x14ac:dyDescent="0.2">
      <c r="A166" s="760" t="s">
        <v>663</v>
      </c>
      <c r="B166" s="760" t="s">
        <v>1953</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82">
        <f>SUM('Revenues 9-14'!C263:D263,'Revenues 9-14'!F263:G263)</f>
        <v>60006</v>
      </c>
      <c r="G169" s="780">
        <v>6320</v>
      </c>
    </row>
    <row r="170" spans="1:7" x14ac:dyDescent="0.2">
      <c r="A170" s="760" t="s">
        <v>663</v>
      </c>
      <c r="B170" s="760" t="s">
        <v>1955</v>
      </c>
      <c r="C170" s="765">
        <f>'Revenues 9-14'!B264</f>
        <v>4992</v>
      </c>
      <c r="D170" s="766" t="str">
        <f>'Revenues 9-14'!A264</f>
        <v>Medicaid Matching Funds - Fee-for-Service Program</v>
      </c>
      <c r="E170" s="739"/>
      <c r="F170" s="1782">
        <f>SUM('Revenues 9-14'!C264:D264,'Revenues 9-14'!F264:G264)</f>
        <v>161047</v>
      </c>
      <c r="G170" s="780"/>
    </row>
    <row r="171" spans="1:7" x14ac:dyDescent="0.2">
      <c r="A171" s="781" t="s">
        <v>663</v>
      </c>
      <c r="B171" s="777" t="s">
        <v>1956</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1879</v>
      </c>
      <c r="C172" s="1524">
        <v>3100</v>
      </c>
      <c r="D172" s="1525" t="s">
        <v>1881</v>
      </c>
      <c r="E172" s="739"/>
      <c r="F172" s="1783">
        <v>1095255</v>
      </c>
      <c r="G172" s="760"/>
    </row>
    <row r="173" spans="1:7" x14ac:dyDescent="0.2">
      <c r="A173" s="1522" t="s">
        <v>659</v>
      </c>
      <c r="B173" s="1523" t="s">
        <v>1879</v>
      </c>
      <c r="C173" s="1524">
        <v>3300</v>
      </c>
      <c r="D173" s="1525" t="s">
        <v>1882</v>
      </c>
      <c r="E173" s="739"/>
      <c r="F173" s="1783">
        <v>3677</v>
      </c>
      <c r="G173" s="760"/>
    </row>
    <row r="174" spans="1:7" ht="6" customHeight="1" x14ac:dyDescent="0.2">
      <c r="A174" s="760"/>
      <c r="B174" s="760"/>
      <c r="C174" s="782"/>
      <c r="D174" s="760"/>
      <c r="E174" s="739"/>
      <c r="F174" s="1784"/>
      <c r="G174" s="780"/>
    </row>
    <row r="175" spans="1:7" x14ac:dyDescent="0.2">
      <c r="A175" s="1436"/>
      <c r="B175" s="1446"/>
      <c r="C175" s="1447"/>
      <c r="D175" s="1448" t="s">
        <v>2010</v>
      </c>
      <c r="E175" s="1449" t="s">
        <v>951</v>
      </c>
      <c r="F175" s="1785">
        <f>SUM(F85:F133,F158:F173)</f>
        <v>4954732</v>
      </c>
    </row>
    <row r="176" spans="1:7" ht="12" customHeight="1" x14ac:dyDescent="0.2">
      <c r="A176" s="1436"/>
      <c r="B176" s="1446"/>
      <c r="C176" s="1447"/>
      <c r="D176" s="1448" t="s">
        <v>2008</v>
      </c>
      <c r="E176" s="1449"/>
      <c r="F176" s="1782">
        <f>'PCTC-OEPP 27-28'!F78-F175</f>
        <v>26996226</v>
      </c>
    </row>
    <row r="177" spans="1:9" ht="12" customHeight="1" x14ac:dyDescent="0.2">
      <c r="A177" s="1436"/>
      <c r="B177" s="1446"/>
      <c r="C177" s="1447"/>
      <c r="D177" s="1448" t="s">
        <v>1788</v>
      </c>
      <c r="E177" s="1449"/>
      <c r="F177" s="1782">
        <f>'Cap Outlay Deprec 26'!I18</f>
        <v>2222116.1</v>
      </c>
    </row>
    <row r="178" spans="1:9" ht="12" customHeight="1" x14ac:dyDescent="0.2">
      <c r="A178" s="1436"/>
      <c r="B178" s="1446"/>
      <c r="C178" s="1447"/>
      <c r="D178" s="1448" t="s">
        <v>2009</v>
      </c>
      <c r="E178" s="1449"/>
      <c r="F178" s="1782">
        <f>F176+F177</f>
        <v>29218342.100000001</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2709.3</v>
      </c>
      <c r="G179" s="763"/>
      <c r="I179" s="701"/>
    </row>
    <row r="180" spans="1:9" ht="12" customHeight="1" thickBot="1" x14ac:dyDescent="0.25">
      <c r="A180" s="1436"/>
      <c r="B180" s="1450"/>
      <c r="C180" s="1447"/>
      <c r="D180" s="1448" t="s">
        <v>2011</v>
      </c>
      <c r="E180" s="1449" t="s">
        <v>1525</v>
      </c>
      <c r="F180" s="1787">
        <f>F178/F179</f>
        <v>10784.461705975713</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1884</v>
      </c>
      <c r="B186" s="1529"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21"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33"/>
    <pageSetUpPr fitToPage="1"/>
  </sheetPr>
  <dimension ref="A1:G142"/>
  <sheetViews>
    <sheetView showGridLines="0" zoomScaleNormal="100" workbookViewId="0">
      <selection activeCell="A19" sqref="A19"/>
    </sheetView>
  </sheetViews>
  <sheetFormatPr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1801</v>
      </c>
      <c r="B1" s="1847"/>
      <c r="C1" s="1848"/>
      <c r="D1" s="1848"/>
      <c r="E1" s="1848"/>
      <c r="F1" s="1848"/>
    </row>
    <row r="2" spans="1:6" x14ac:dyDescent="0.25">
      <c r="A2" s="1850"/>
      <c r="B2" s="1851"/>
      <c r="C2" s="1899" t="s">
        <v>1997</v>
      </c>
      <c r="D2" s="1850"/>
      <c r="E2" s="1850"/>
      <c r="F2" s="1850"/>
    </row>
    <row r="3" spans="1:6" ht="5.25" customHeight="1" x14ac:dyDescent="0.25">
      <c r="A3" s="1852"/>
      <c r="B3" s="1853"/>
      <c r="C3" s="1852"/>
      <c r="D3" s="1852"/>
      <c r="E3" s="1852"/>
      <c r="F3" s="1852"/>
    </row>
    <row r="4" spans="1:6" ht="18.75" customHeight="1" x14ac:dyDescent="0.25">
      <c r="A4" s="2450" t="s">
        <v>1789</v>
      </c>
      <c r="B4" s="2451"/>
      <c r="C4" s="2451"/>
      <c r="D4" s="2451"/>
      <c r="E4" s="2451"/>
      <c r="F4" s="2452"/>
    </row>
    <row r="5" spans="1:6" x14ac:dyDescent="0.25">
      <c r="A5" s="2453"/>
      <c r="B5" s="2454"/>
      <c r="C5" s="2454"/>
      <c r="D5" s="2454"/>
      <c r="E5" s="2454"/>
      <c r="F5" s="2455"/>
    </row>
    <row r="6" spans="1:6" ht="18.75" x14ac:dyDescent="0.25">
      <c r="A6" s="1854" t="s">
        <v>1790</v>
      </c>
      <c r="B6" s="1855"/>
      <c r="C6" s="1856"/>
      <c r="D6" s="1856"/>
      <c r="E6" s="1856"/>
      <c r="F6" s="1857"/>
    </row>
    <row r="7" spans="1:6" ht="47.25" customHeight="1" x14ac:dyDescent="0.25">
      <c r="A7" s="2456" t="s">
        <v>1979</v>
      </c>
      <c r="B7" s="2457"/>
      <c r="C7" s="2457"/>
      <c r="D7" s="2457"/>
      <c r="E7" s="2457"/>
      <c r="F7" s="2458"/>
    </row>
    <row r="8" spans="1:6" ht="20.25" customHeight="1" x14ac:dyDescent="0.25">
      <c r="A8" s="1889" t="s">
        <v>1981</v>
      </c>
      <c r="B8" s="1890"/>
      <c r="C8" s="1890"/>
      <c r="D8" s="1890"/>
      <c r="E8" s="1858"/>
      <c r="F8" s="1859"/>
    </row>
    <row r="9" spans="1:6" ht="18" customHeight="1" x14ac:dyDescent="0.25">
      <c r="A9" s="1860" t="s">
        <v>1978</v>
      </c>
      <c r="B9" s="1862"/>
      <c r="C9" s="1862"/>
      <c r="D9" s="1862"/>
      <c r="E9" s="1858"/>
      <c r="F9" s="1859"/>
    </row>
    <row r="10" spans="1:6" ht="15.75" customHeight="1" x14ac:dyDescent="0.25">
      <c r="A10" s="2459" t="s">
        <v>1975</v>
      </c>
      <c r="B10" s="2460"/>
      <c r="C10" s="2460"/>
      <c r="D10" s="2460"/>
      <c r="E10" s="2460"/>
      <c r="F10" s="2461"/>
    </row>
    <row r="11" spans="1:6" ht="33" customHeight="1" x14ac:dyDescent="0.25">
      <c r="A11" s="2456" t="s">
        <v>1980</v>
      </c>
      <c r="B11" s="2457"/>
      <c r="C11" s="2457"/>
      <c r="D11" s="2457"/>
      <c r="E11" s="2457"/>
      <c r="F11" s="2458"/>
    </row>
    <row r="12" spans="1:6" ht="15" customHeight="1" x14ac:dyDescent="0.25">
      <c r="A12" s="1860" t="s">
        <v>1976</v>
      </c>
      <c r="B12" s="1861"/>
      <c r="C12" s="1862"/>
      <c r="D12" s="1862"/>
      <c r="E12" s="1862"/>
      <c r="F12" s="1863"/>
    </row>
    <row r="13" spans="1:6" ht="17.25" customHeight="1" x14ac:dyDescent="0.25">
      <c r="A13" s="2456" t="s">
        <v>1977</v>
      </c>
      <c r="B13" s="2457"/>
      <c r="C13" s="2457"/>
      <c r="D13" s="2457"/>
      <c r="E13" s="2457"/>
      <c r="F13" s="2458"/>
    </row>
    <row r="14" spans="1:6" ht="15" customHeight="1" x14ac:dyDescent="0.25">
      <c r="A14" s="1860" t="s">
        <v>1794</v>
      </c>
      <c r="B14" s="1861"/>
      <c r="C14" s="1862"/>
      <c r="D14" s="1862"/>
      <c r="E14" s="1862"/>
      <c r="F14" s="1863"/>
    </row>
    <row r="15" spans="1:6" ht="32.25" customHeight="1" x14ac:dyDescent="0.25">
      <c r="A15" s="244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8"/>
      <c r="C15" s="2448"/>
      <c r="D15" s="2448"/>
      <c r="E15" s="2448"/>
      <c r="F15" s="2449"/>
    </row>
    <row r="16" spans="1:6" ht="61.5" customHeight="1" x14ac:dyDescent="0.25">
      <c r="A16" s="1864" t="s">
        <v>1795</v>
      </c>
      <c r="B16" s="1865" t="s">
        <v>1796</v>
      </c>
      <c r="C16" s="1864" t="s">
        <v>1797</v>
      </c>
      <c r="D16" s="1866" t="s">
        <v>1798</v>
      </c>
      <c r="E16" s="1866" t="s">
        <v>1799</v>
      </c>
      <c r="F16" s="1866" t="s">
        <v>1800</v>
      </c>
    </row>
    <row r="17" spans="1:7" x14ac:dyDescent="0.25">
      <c r="A17" s="1867" t="s">
        <v>1802</v>
      </c>
      <c r="B17" s="1894" t="s">
        <v>1793</v>
      </c>
      <c r="C17" s="1868" t="s">
        <v>1791</v>
      </c>
      <c r="D17" s="1869">
        <v>500000</v>
      </c>
      <c r="E17" s="1869" t="str">
        <f>IF(D17&lt;25000,D17,"25,000")</f>
        <v>25,000</v>
      </c>
      <c r="F17" s="1870">
        <f>IF(D17&gt;=25000,(D17-E17),"0")</f>
        <v>475000</v>
      </c>
    </row>
    <row r="18" spans="1:7" x14ac:dyDescent="0.25">
      <c r="A18" s="2108" t="s">
        <v>2189</v>
      </c>
      <c r="B18" s="1895"/>
      <c r="C18" s="1900"/>
      <c r="D18" s="1873"/>
      <c r="E18" s="1893">
        <f t="shared" ref="E18:E81" si="0">IF(D18&lt;25000,D18,"25,000")</f>
        <v>0</v>
      </c>
      <c r="F18" s="1893" t="str">
        <f t="shared" ref="F18:F81" si="1">IF(D18&gt;=25000,(D18-E18),"0")</f>
        <v>0</v>
      </c>
      <c r="G18" s="1874"/>
    </row>
    <row r="19" spans="1:7" x14ac:dyDescent="0.25">
      <c r="A19" s="1875"/>
      <c r="B19" s="1895"/>
      <c r="C19" s="1872"/>
      <c r="D19" s="1873"/>
      <c r="E19" s="1893">
        <f t="shared" si="0"/>
        <v>0</v>
      </c>
      <c r="F19" s="1893" t="str">
        <f t="shared" si="1"/>
        <v>0</v>
      </c>
    </row>
    <row r="20" spans="1:7" x14ac:dyDescent="0.25">
      <c r="A20" s="1875"/>
      <c r="B20" s="1895"/>
      <c r="C20" s="1872"/>
      <c r="D20" s="1873"/>
      <c r="E20" s="1893">
        <f t="shared" si="0"/>
        <v>0</v>
      </c>
      <c r="F20" s="1893" t="str">
        <f t="shared" si="1"/>
        <v>0</v>
      </c>
    </row>
    <row r="21" spans="1:7" x14ac:dyDescent="0.25">
      <c r="A21" s="1875"/>
      <c r="B21" s="1895"/>
      <c r="C21" s="1872"/>
      <c r="D21" s="1873"/>
      <c r="E21" s="1893">
        <f t="shared" si="0"/>
        <v>0</v>
      </c>
      <c r="F21" s="1893" t="str">
        <f t="shared" si="1"/>
        <v>0</v>
      </c>
    </row>
    <row r="22" spans="1:7" x14ac:dyDescent="0.25">
      <c r="A22" s="1875"/>
      <c r="B22" s="1895"/>
      <c r="C22" s="1872"/>
      <c r="D22" s="1873"/>
      <c r="E22" s="1893">
        <f t="shared" si="0"/>
        <v>0</v>
      </c>
      <c r="F22" s="1893" t="str">
        <f t="shared" si="1"/>
        <v>0</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0</v>
      </c>
      <c r="E142" s="1880">
        <f>SUM(E18:E141)</f>
        <v>0</v>
      </c>
      <c r="F142" s="1881">
        <f>SUM(F18:F141)</f>
        <v>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33"/>
  </sheetPr>
  <dimension ref="A1:M46"/>
  <sheetViews>
    <sheetView showGridLines="0" defaultGridColor="0"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62" t="s">
        <v>1657</v>
      </c>
      <c r="B5" s="2463"/>
      <c r="C5" s="2463"/>
      <c r="D5" s="2463"/>
      <c r="E5" s="2463"/>
      <c r="F5" s="2463"/>
      <c r="G5" s="2464"/>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1888</v>
      </c>
      <c r="B10" s="803"/>
      <c r="C10" s="807"/>
      <c r="D10" s="804"/>
      <c r="E10" s="1789">
        <v>242594</v>
      </c>
      <c r="F10" s="805"/>
      <c r="G10" s="806"/>
      <c r="H10" s="157"/>
      <c r="I10" s="157"/>
    </row>
    <row r="11" spans="1:13" s="542" customFormat="1" ht="22.5" customHeight="1" x14ac:dyDescent="0.2">
      <c r="A11" s="246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8"/>
      <c r="C11" s="2468"/>
      <c r="D11" s="2469"/>
      <c r="E11" s="1790">
        <v>66373</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18767544</v>
      </c>
      <c r="F19" s="1791"/>
      <c r="G19" s="1793">
        <f>'Expenditures 15-22'!K33-SUM('Expenditures 15-22'!G33,'Expenditures 15-22'!I33)+'Expenditures 15-22'!D229</f>
        <v>18767544</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2365912</v>
      </c>
      <c r="F21" s="1794"/>
      <c r="G21" s="1797">
        <f>'Expenditures 15-22'!K42-SUM('Expenditures 15-22'!G42,'Expenditures 15-22'!I42)+'Expenditures 15-22'!K120-SUM('Expenditures 15-22'!G120,'Expenditures 15-22'!I120)+'Expenditures 15-22'!K180-SUM('Expenditures 15-22'!G180,'Expenditures 15-22'!I180)+'Expenditures 15-22'!D238</f>
        <v>2365912</v>
      </c>
      <c r="H21" s="817"/>
      <c r="I21" s="157"/>
    </row>
    <row r="22" spans="1:9" s="542" customFormat="1" ht="12" customHeight="1" x14ac:dyDescent="0.2">
      <c r="A22" s="824" t="s">
        <v>560</v>
      </c>
      <c r="B22" s="825"/>
      <c r="C22" s="823">
        <v>2200</v>
      </c>
      <c r="D22" s="1794"/>
      <c r="E22" s="1796">
        <f>'Expenditures 15-22'!K47-SUM('Expenditures 15-22'!G47,'Expenditures 15-22'!I47)+'Expenditures 15-22'!D243</f>
        <v>671986</v>
      </c>
      <c r="F22" s="1794"/>
      <c r="G22" s="1797">
        <f>'Expenditures 15-22'!K47-SUM('Expenditures 15-22'!G47,'Expenditures 15-22'!I47)+'Expenditures 15-22'!D243</f>
        <v>671986</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1562026</v>
      </c>
      <c r="F23" s="1794"/>
      <c r="G23" s="1796">
        <f>'Expenditures 15-22'!K53-SUM('Expenditures 15-22'!G53,'Expenditures 15-22'!I53)+'Expenditures 15-22'!D257+'Expenditures 15-22'!K330-SUM('Expenditures 15-22'!G330,'Expenditures 15-22'!I330)</f>
        <v>1562026</v>
      </c>
      <c r="H23" s="817"/>
      <c r="I23" s="157"/>
    </row>
    <row r="24" spans="1:9" s="542" customFormat="1" ht="12" customHeight="1" x14ac:dyDescent="0.2">
      <c r="A24" s="824" t="s">
        <v>562</v>
      </c>
      <c r="B24" s="825"/>
      <c r="C24" s="823">
        <v>2400</v>
      </c>
      <c r="D24" s="1794"/>
      <c r="E24" s="1796">
        <f>'Expenditures 15-22'!K57-SUM('Expenditures 15-22'!G57,'Expenditures 15-22'!I57)+'Expenditures 15-22'!D261</f>
        <v>1707393</v>
      </c>
      <c r="F24" s="1794"/>
      <c r="G24" s="1797">
        <f>'Expenditures 15-22'!K57-SUM('Expenditures 15-22'!G57,'Expenditures 15-22'!I57)+'Expenditures 15-22'!D261</f>
        <v>1707393</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88557</v>
      </c>
      <c r="E26" s="1796">
        <f>'Expenditures 15-22'!K122-SUM('Expenditures 15-22'!G122,'Expenditures 15-22'!I122)+E7</f>
        <v>0</v>
      </c>
      <c r="F26" s="1796">
        <f>'Expenditures 15-22'!K59-SUM('Expenditures 15-22'!G59,'Expenditures 15-22'!I59)+'Expenditures 15-22'!D263-E7</f>
        <v>88557</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290636</v>
      </c>
      <c r="E27" s="1796">
        <f>E8</f>
        <v>0</v>
      </c>
      <c r="F27" s="1796">
        <f>'Expenditures 15-22'!K60-SUM('Expenditures 15-22'!G60,'Expenditures 15-22'!I60)+'Expenditures 15-22'!D264-E8</f>
        <v>290636</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2457498</v>
      </c>
      <c r="F28" s="1798">
        <f>'Expenditures 15-22'!K61-SUM('Expenditures 15-22'!G61,'Expenditures 15-22'!I61)+'Expenditures 15-22'!K124-SUM('Expenditures 15-22'!G124,'Expenditures 15-22'!I124)+'Expenditures 15-22'!D266-E9</f>
        <v>2457498</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2099820</v>
      </c>
      <c r="F29" s="1794"/>
      <c r="G29" s="1797">
        <f>'Expenditures 15-22'!K62-SUM('Expenditures 15-22'!G62,'Expenditures 15-22'!I62)+'Expenditures 15-22'!K125-SUM('Expenditures 15-22'!G125,'Expenditures 15-22'!I125)+'Expenditures 15-22'!K182-SUM('Expenditures 15-22'!G182,'Expenditures 15-22'!I182)+'Expenditures 15-22'!D267</f>
        <v>2099820</v>
      </c>
      <c r="H29" s="815"/>
    </row>
    <row r="30" spans="1:9" ht="12" customHeight="1" x14ac:dyDescent="0.2">
      <c r="A30" s="824" t="s">
        <v>100</v>
      </c>
      <c r="B30" s="827"/>
      <c r="C30" s="823">
        <v>2560</v>
      </c>
      <c r="D30" s="1794"/>
      <c r="E30" s="1796">
        <f>'Expenditures 15-22'!K63-SUM('Expenditures 15-22'!G63,'Expenditures 15-22'!I63)+'Expenditures 15-22'!D268-E10</f>
        <v>411266</v>
      </c>
      <c r="F30" s="1794"/>
      <c r="G30" s="1796">
        <f>'Expenditures 15-22'!K63-SUM('Expenditures 15-22'!G63,'Expenditures 15-22'!I63)+'Expenditures 15-22'!D268-E10</f>
        <v>411266</v>
      </c>
    </row>
    <row r="31" spans="1:9" ht="12" customHeight="1" x14ac:dyDescent="0.2">
      <c r="A31" s="824" t="s">
        <v>101</v>
      </c>
      <c r="B31" s="827"/>
      <c r="C31" s="823">
        <v>2570</v>
      </c>
      <c r="D31" s="1796">
        <f>'Expenditures 15-22'!K64-SUM('Expenditures 15-22'!G64,'Expenditures 15-22'!I64)+'Expenditures 15-22'!D269-E12</f>
        <v>22170</v>
      </c>
      <c r="E31" s="1796">
        <f>E12</f>
        <v>0</v>
      </c>
      <c r="F31" s="1796">
        <f>'Expenditures 15-22'!K64-SUM('Expenditures 15-22'!G64,'Expenditures 15-22'!I64)+'Expenditures 15-22'!D269-E12</f>
        <v>22170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171049</v>
      </c>
      <c r="F33" s="1794"/>
      <c r="G33" s="1796">
        <f>'Expenditures 15-22'!K67-SUM('Expenditures 15-22'!G67,'Expenditures 15-22'!I67)+'Expenditures 15-22'!D272</f>
        <v>171049</v>
      </c>
    </row>
    <row r="34" spans="1:7" ht="12" customHeight="1" x14ac:dyDescent="0.2">
      <c r="A34" s="824" t="s">
        <v>517</v>
      </c>
      <c r="B34" s="827"/>
      <c r="C34" s="823">
        <v>2620</v>
      </c>
      <c r="D34" s="1794"/>
      <c r="E34" s="1796">
        <f>'Expenditures 15-22'!K68-SUM('Expenditures 15-22'!G68,'Expenditures 15-22'!I68)+'Expenditures 15-22'!D273</f>
        <v>55140</v>
      </c>
      <c r="F34" s="1794"/>
      <c r="G34" s="1796">
        <f>'Expenditures 15-22'!K68-SUM('Expenditures 15-22'!G68,'Expenditures 15-22'!I68)+'Expenditures 15-22'!D273</f>
        <v>55140</v>
      </c>
    </row>
    <row r="35" spans="1:7" ht="12" customHeight="1" x14ac:dyDescent="0.2">
      <c r="A35" s="824" t="s">
        <v>1051</v>
      </c>
      <c r="B35" s="827"/>
      <c r="C35" s="823">
        <v>2630</v>
      </c>
      <c r="D35" s="1794"/>
      <c r="E35" s="1796">
        <f>'Expenditures 15-22'!K69-SUM('Expenditures 15-22'!G69,'Expenditures 15-22'!I69)+'Expenditures 15-22'!D274</f>
        <v>629973</v>
      </c>
      <c r="F35" s="1794"/>
      <c r="G35" s="1796">
        <f>'Expenditures 15-22'!K69-SUM('Expenditures 15-22'!G69,'Expenditures 15-22'!I69)+'Expenditures 15-22'!D274</f>
        <v>629973</v>
      </c>
    </row>
    <row r="36" spans="1:7" ht="12" customHeight="1" x14ac:dyDescent="0.2">
      <c r="A36" s="824" t="s">
        <v>400</v>
      </c>
      <c r="B36" s="827"/>
      <c r="C36" s="823">
        <v>2640</v>
      </c>
      <c r="D36" s="1796">
        <f>'Expenditures 15-22'!K70-SUM('Expenditures 15-22'!G70,'Expenditures 15-22'!I70)+'Expenditures 15-22'!D275-E13</f>
        <v>225794</v>
      </c>
      <c r="E36" s="1796">
        <f>E13</f>
        <v>0</v>
      </c>
      <c r="F36" s="1796">
        <f>'Expenditures 15-22'!K70-SUM('Expenditures 15-22'!G70,'Expenditures 15-22'!I70)+'Expenditures 15-22'!D275-E13</f>
        <v>225794</v>
      </c>
      <c r="G36" s="1796">
        <f>E13</f>
        <v>0</v>
      </c>
    </row>
    <row r="37" spans="1:7" ht="12" customHeight="1" x14ac:dyDescent="0.2">
      <c r="A37" s="824" t="s">
        <v>401</v>
      </c>
      <c r="B37" s="827"/>
      <c r="C37" s="823">
        <v>2660</v>
      </c>
      <c r="D37" s="1796">
        <f>'Expenditures 15-22'!K71-SUM('Expenditures 15-22'!G71,'Expenditures 15-22'!I71)+'Expenditures 15-22'!D276-E14</f>
        <v>545378</v>
      </c>
      <c r="E37" s="1796">
        <f>E14</f>
        <v>0</v>
      </c>
      <c r="F37" s="1796">
        <f>'Expenditures 15-22'!K71-SUM('Expenditures 15-22'!G71,'Expenditures 15-22'!I71)+'Expenditures 15-22'!D276-E14</f>
        <v>545378</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104235</v>
      </c>
      <c r="F39" s="1794"/>
      <c r="G39" s="1796">
        <f>'Expenditures 15-22'!K75-SUM('Expenditures 15-22'!G75,'Expenditures 15-22'!I75)+'Expenditures 15-22'!K130-SUM('Expenditures 15-22'!G130,'Expenditures 15-22'!I130)+'Expenditures 15-22'!K185-SUM('Expenditures 15-22'!G185,'Expenditures 15-22'!I185)+'Expenditures 15-22'!D280</f>
        <v>104235</v>
      </c>
    </row>
    <row r="40" spans="1:7" ht="12" customHeight="1" x14ac:dyDescent="0.2">
      <c r="A40" s="820" t="s">
        <v>1792</v>
      </c>
      <c r="B40" s="821"/>
      <c r="C40" s="823"/>
      <c r="D40" s="1794"/>
      <c r="E40" s="1798">
        <f>-'Contracts Paid in CY 29'!F142</f>
        <v>0</v>
      </c>
      <c r="F40" s="1794"/>
      <c r="G40" s="1798">
        <f>-'Contracts Paid in CY 29'!F142</f>
        <v>0</v>
      </c>
    </row>
    <row r="41" spans="1:7" ht="12" customHeight="1" x14ac:dyDescent="0.2">
      <c r="A41" s="828" t="s">
        <v>155</v>
      </c>
      <c r="B41" s="829"/>
      <c r="C41" s="830"/>
      <c r="D41" s="1798">
        <f>SUM(D19:D39)</f>
        <v>1172535</v>
      </c>
      <c r="E41" s="1798">
        <f>SUM(E19:E40)</f>
        <v>31003842</v>
      </c>
      <c r="F41" s="1798">
        <f>SUM(F19:F39)</f>
        <v>3630033</v>
      </c>
      <c r="G41" s="1798">
        <f>SUM(G19:G40)</f>
        <v>28546344</v>
      </c>
    </row>
    <row r="42" spans="1:7" x14ac:dyDescent="0.2">
      <c r="A42" s="817"/>
      <c r="B42" s="157"/>
      <c r="C42" s="831"/>
      <c r="D42" s="2465" t="s">
        <v>519</v>
      </c>
      <c r="E42" s="2466"/>
      <c r="F42" s="832" t="s">
        <v>520</v>
      </c>
      <c r="G42" s="833"/>
    </row>
    <row r="43" spans="1:7" ht="12" customHeight="1" x14ac:dyDescent="0.2">
      <c r="A43" s="817"/>
      <c r="B43" s="157"/>
      <c r="C43" s="831"/>
      <c r="D43" s="1451" t="s">
        <v>470</v>
      </c>
      <c r="E43" s="1799">
        <f>D41</f>
        <v>1172535</v>
      </c>
      <c r="F43" s="1451" t="s">
        <v>470</v>
      </c>
      <c r="G43" s="1799">
        <f>F41</f>
        <v>3630033</v>
      </c>
    </row>
    <row r="44" spans="1:7" ht="12" customHeight="1" x14ac:dyDescent="0.2">
      <c r="A44" s="817"/>
      <c r="B44" s="157"/>
      <c r="C44" s="831"/>
      <c r="D44" s="1451" t="s">
        <v>471</v>
      </c>
      <c r="E44" s="1799">
        <f>E41</f>
        <v>31003842</v>
      </c>
      <c r="F44" s="1451" t="s">
        <v>471</v>
      </c>
      <c r="G44" s="1799">
        <f>G41</f>
        <v>28546344</v>
      </c>
    </row>
    <row r="45" spans="1:7" ht="12" customHeight="1" x14ac:dyDescent="0.2">
      <c r="A45" s="817"/>
      <c r="B45" s="157"/>
      <c r="C45" s="157"/>
      <c r="D45" s="1452" t="s">
        <v>998</v>
      </c>
      <c r="E45" s="1800">
        <f>(E43/E44)</f>
        <v>3.7819022558559033E-2</v>
      </c>
      <c r="F45" s="1452" t="s">
        <v>998</v>
      </c>
      <c r="G45" s="1800">
        <f>(G43/G44)</f>
        <v>0.12716279885087911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33"/>
    <pageSetUpPr fitToPage="1"/>
  </sheetPr>
  <dimension ref="A1:O97"/>
  <sheetViews>
    <sheetView showGridLines="0" zoomScale="110" zoomScaleNormal="110" workbookViewId="0">
      <pane ySplit="4" topLeftCell="A5" activePane="bottomLeft" state="frozen"/>
      <selection activeCell="A47" sqref="A47"/>
      <selection pane="bottomLeft" activeCell="D14" sqref="D14"/>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84" t="s">
        <v>1360</v>
      </c>
      <c r="B1" s="2484"/>
      <c r="C1" s="2484"/>
      <c r="D1" s="2484"/>
      <c r="E1" s="2484"/>
      <c r="F1" s="2484"/>
    </row>
    <row r="2" spans="1:15" x14ac:dyDescent="0.2">
      <c r="A2" s="1506" t="s">
        <v>1872</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85" t="s">
        <v>1526</v>
      </c>
      <c r="B5" s="2486"/>
      <c r="C5" s="2487"/>
      <c r="D5" s="2487"/>
      <c r="E5" s="2487"/>
      <c r="F5" s="2487"/>
      <c r="G5" s="1500"/>
      <c r="L5" s="1500"/>
      <c r="M5" s="1844"/>
      <c r="N5" s="1844"/>
      <c r="O5" s="1844"/>
    </row>
    <row r="6" spans="1:15" ht="12" customHeight="1" x14ac:dyDescent="0.25">
      <c r="A6" s="1473"/>
      <c r="B6" s="1474"/>
      <c r="C6" s="2488" t="str">
        <f>COVER!A17</f>
        <v xml:space="preserve">   Antioch CCSD 34</v>
      </c>
      <c r="D6" s="2488"/>
      <c r="E6" s="2488"/>
      <c r="F6" s="1475"/>
      <c r="G6" s="1500"/>
      <c r="L6" s="1500"/>
      <c r="M6" s="1844"/>
      <c r="N6" s="1844"/>
      <c r="O6" s="1844"/>
    </row>
    <row r="7" spans="1:15" ht="11.25" customHeight="1" thickBot="1" x14ac:dyDescent="0.3">
      <c r="A7" s="1473"/>
      <c r="B7" s="1474"/>
      <c r="C7" s="2489">
        <f>COVER!A13</f>
        <v>34049034004</v>
      </c>
      <c r="D7" s="2489"/>
      <c r="E7" s="2489"/>
      <c r="F7" s="1475"/>
      <c r="G7" s="1500"/>
      <c r="L7" s="1500"/>
      <c r="M7" s="1844"/>
      <c r="N7" s="1844"/>
      <c r="O7" s="1844"/>
    </row>
    <row r="8" spans="1:15" ht="25.5" customHeight="1" thickBot="1" x14ac:dyDescent="0.25">
      <c r="A8" s="1512" t="s">
        <v>1868</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t="s">
        <v>2132</v>
      </c>
      <c r="D14" s="1488" t="s">
        <v>2132</v>
      </c>
      <c r="E14" s="1491"/>
      <c r="F14" s="1490" t="s">
        <v>2192</v>
      </c>
      <c r="G14" s="1500"/>
      <c r="H14" s="1500">
        <f t="shared" si="0"/>
        <v>5</v>
      </c>
      <c r="I14" s="1500">
        <f t="shared" si="1"/>
        <v>5</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2132</v>
      </c>
      <c r="D19" s="1488" t="s">
        <v>2132</v>
      </c>
      <c r="E19" s="1491" t="s">
        <v>2132</v>
      </c>
      <c r="F19" s="1490" t="s">
        <v>2178</v>
      </c>
      <c r="G19" s="1500"/>
      <c r="H19" s="1500">
        <f t="shared" si="0"/>
        <v>5</v>
      </c>
      <c r="I19" s="1500">
        <f t="shared" si="1"/>
        <v>5</v>
      </c>
      <c r="J19" s="1500">
        <f t="shared" si="2"/>
        <v>5</v>
      </c>
      <c r="L19" s="1500"/>
      <c r="M19" s="1844"/>
      <c r="N19" s="1844"/>
      <c r="O19" s="1844"/>
    </row>
    <row r="20" spans="1:15" ht="12" customHeight="1" x14ac:dyDescent="0.2">
      <c r="A20" s="1486" t="s">
        <v>1508</v>
      </c>
      <c r="B20" s="1487"/>
      <c r="C20" s="1488"/>
      <c r="D20" s="1488"/>
      <c r="E20" s="1491"/>
      <c r="F20" s="1490"/>
      <c r="G20" s="1500"/>
      <c r="H20" s="1500">
        <f t="shared" si="0"/>
        <v>0</v>
      </c>
      <c r="I20" s="1500">
        <f t="shared" si="1"/>
        <v>0</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t="s">
        <v>2132</v>
      </c>
      <c r="D26" s="1488" t="s">
        <v>2132</v>
      </c>
      <c r="E26" s="1491" t="s">
        <v>2132</v>
      </c>
      <c r="F26" s="1490" t="s">
        <v>2179</v>
      </c>
      <c r="G26" s="1500"/>
      <c r="H26" s="1500">
        <f t="shared" si="0"/>
        <v>5</v>
      </c>
      <c r="I26" s="1500">
        <f t="shared" si="1"/>
        <v>5</v>
      </c>
      <c r="J26" s="1500">
        <f t="shared" si="2"/>
        <v>5</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t="s">
        <v>2132</v>
      </c>
      <c r="D28" s="1488" t="s">
        <v>2132</v>
      </c>
      <c r="E28" s="1491" t="s">
        <v>2132</v>
      </c>
      <c r="F28" s="1490" t="s">
        <v>2180</v>
      </c>
      <c r="G28" s="1500"/>
      <c r="H28" s="1500">
        <f t="shared" si="0"/>
        <v>5</v>
      </c>
      <c r="I28" s="1500">
        <f t="shared" si="1"/>
        <v>5</v>
      </c>
      <c r="J28" s="1500">
        <f t="shared" si="2"/>
        <v>5</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t="s">
        <v>2132</v>
      </c>
      <c r="D30" s="1488" t="s">
        <v>2132</v>
      </c>
      <c r="E30" s="1491" t="s">
        <v>2132</v>
      </c>
      <c r="F30" s="1490" t="s">
        <v>2181</v>
      </c>
      <c r="G30" s="1500"/>
      <c r="H30" s="1500">
        <f t="shared" si="0"/>
        <v>5</v>
      </c>
      <c r="I30" s="1500">
        <f t="shared" si="1"/>
        <v>5</v>
      </c>
      <c r="J30" s="1500">
        <f t="shared" si="2"/>
        <v>5</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t="s">
        <v>2132</v>
      </c>
      <c r="D32" s="1488" t="s">
        <v>2132</v>
      </c>
      <c r="E32" s="1491" t="s">
        <v>2132</v>
      </c>
      <c r="F32" s="1490" t="s">
        <v>2182</v>
      </c>
      <c r="G32" s="1500"/>
      <c r="H32" s="1500">
        <f t="shared" si="0"/>
        <v>5</v>
      </c>
      <c r="I32" s="1500">
        <f t="shared" si="1"/>
        <v>5</v>
      </c>
      <c r="J32" s="1500">
        <f t="shared" si="2"/>
        <v>5</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30</v>
      </c>
      <c r="I34" s="1500">
        <f>SUM(I11:I32)</f>
        <v>30</v>
      </c>
      <c r="J34" s="1500">
        <f>SUM(J11:J32)</f>
        <v>25</v>
      </c>
      <c r="K34" s="1500">
        <f>SUM(H34:J34)</f>
        <v>85</v>
      </c>
      <c r="L34" s="1500"/>
      <c r="M34" s="1844"/>
      <c r="N34" s="1844"/>
      <c r="O34" s="1844"/>
    </row>
    <row r="35" spans="1:15" ht="12" customHeight="1" x14ac:dyDescent="0.2">
      <c r="A35" s="1493" t="s">
        <v>1373</v>
      </c>
      <c r="B35" s="1494"/>
      <c r="C35" s="2490"/>
      <c r="D35" s="2490"/>
      <c r="E35" s="2490"/>
      <c r="F35" s="2491"/>
    </row>
    <row r="36" spans="1:15" ht="12" customHeight="1" x14ac:dyDescent="0.2">
      <c r="A36" s="2473"/>
      <c r="B36" s="2474"/>
      <c r="C36" s="2474"/>
      <c r="D36" s="2474"/>
      <c r="E36" s="2474"/>
      <c r="F36" s="2475"/>
    </row>
    <row r="37" spans="1:15" ht="12" customHeight="1" x14ac:dyDescent="0.2">
      <c r="A37" s="2473"/>
      <c r="B37" s="2474"/>
      <c r="C37" s="2474"/>
      <c r="D37" s="2474"/>
      <c r="E37" s="2474"/>
      <c r="F37" s="2475"/>
    </row>
    <row r="38" spans="1:15" ht="12" customHeight="1" x14ac:dyDescent="0.2">
      <c r="A38" s="2476"/>
      <c r="B38" s="2477"/>
      <c r="C38" s="2477"/>
      <c r="D38" s="2477"/>
      <c r="E38" s="2477"/>
      <c r="F38" s="2478"/>
    </row>
    <row r="39" spans="1:15" ht="4.5" hidden="1" customHeight="1" x14ac:dyDescent="0.2">
      <c r="A39" s="1495"/>
      <c r="B39" s="1495"/>
      <c r="C39" s="1495"/>
      <c r="D39" s="1495"/>
      <c r="E39" s="1495"/>
      <c r="F39" s="1495"/>
    </row>
    <row r="40" spans="1:15" s="1492" customFormat="1" ht="12" customHeight="1" x14ac:dyDescent="0.25">
      <c r="A40" s="1496" t="s">
        <v>1372</v>
      </c>
      <c r="B40" s="1497"/>
      <c r="C40" s="2479"/>
      <c r="D40" s="2479"/>
      <c r="E40" s="2479"/>
      <c r="F40" s="2480"/>
      <c r="H40" s="1501"/>
      <c r="I40" s="1501"/>
      <c r="J40" s="1501"/>
      <c r="K40" s="1501"/>
    </row>
    <row r="41" spans="1:15" s="1492" customFormat="1" ht="12" customHeight="1" x14ac:dyDescent="0.25">
      <c r="A41" s="2481"/>
      <c r="B41" s="2482"/>
      <c r="C41" s="2482"/>
      <c r="D41" s="2482"/>
      <c r="E41" s="2482"/>
      <c r="F41" s="2483"/>
      <c r="H41" s="1501"/>
      <c r="I41" s="1501"/>
      <c r="J41" s="1501"/>
      <c r="K41" s="1501"/>
    </row>
    <row r="42" spans="1:15" s="1492" customFormat="1" ht="12" customHeight="1" x14ac:dyDescent="0.25">
      <c r="A42" s="2481"/>
      <c r="B42" s="2482"/>
      <c r="C42" s="2482"/>
      <c r="D42" s="2482"/>
      <c r="E42" s="2482"/>
      <c r="F42" s="2483"/>
      <c r="H42" s="1501"/>
      <c r="I42" s="1501"/>
      <c r="J42" s="1501"/>
      <c r="K42" s="1501"/>
    </row>
    <row r="43" spans="1:15" s="1492" customFormat="1" ht="15" x14ac:dyDescent="0.25">
      <c r="A43" s="2470"/>
      <c r="B43" s="2471"/>
      <c r="C43" s="2471"/>
      <c r="D43" s="2471"/>
      <c r="E43" s="2471"/>
      <c r="F43" s="2472"/>
      <c r="H43" s="1501"/>
      <c r="I43" s="1501"/>
      <c r="J43" s="1501"/>
      <c r="K43" s="1501"/>
    </row>
    <row r="44" spans="1:15" s="1492" customFormat="1" ht="12" hidden="1" customHeight="1" x14ac:dyDescent="0.25">
      <c r="A44" s="2470"/>
      <c r="B44" s="2471"/>
      <c r="C44" s="2471"/>
      <c r="D44" s="2471"/>
      <c r="E44" s="2471"/>
      <c r="F44" s="2472"/>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9FF33"/>
  </sheetPr>
  <dimension ref="A1:N72"/>
  <sheetViews>
    <sheetView showGridLines="0" topLeftCell="A44" zoomScaleNormal="100" workbookViewId="0">
      <selection activeCell="E68" sqref="E68"/>
    </sheetView>
  </sheetViews>
  <sheetFormatPr defaultRowHeight="15" x14ac:dyDescent="0.25"/>
  <cols>
    <col min="1" max="1" width="2.7109375" style="1920" customWidth="1"/>
    <col min="2" max="2" width="3" style="1920" customWidth="1"/>
    <col min="3" max="3" width="38" style="1920" customWidth="1"/>
    <col min="4" max="4" width="7.7109375" style="1920" customWidth="1"/>
    <col min="5" max="5" width="10.7109375" style="1920" customWidth="1"/>
    <col min="6" max="6" width="11" style="1920" customWidth="1"/>
    <col min="7" max="8" width="9.140625" style="1920"/>
    <col min="9" max="9" width="10.85546875" style="1920" customWidth="1"/>
    <col min="10" max="10" width="12.42578125" style="1920" customWidth="1"/>
    <col min="11" max="11" width="9.140625" style="1920"/>
    <col min="12" max="12" width="13.140625" style="1920" customWidth="1"/>
    <col min="13" max="13" width="9.140625" style="1920"/>
    <col min="14" max="14" width="17.85546875" style="1920" customWidth="1"/>
    <col min="15" max="16384" width="9.140625" style="1920"/>
  </cols>
  <sheetData>
    <row r="1" spans="1:14" x14ac:dyDescent="0.25">
      <c r="A1" s="2034"/>
      <c r="B1" s="2031"/>
      <c r="C1" s="2031"/>
      <c r="D1" s="2031"/>
      <c r="E1" s="2031"/>
      <c r="F1" s="2031"/>
      <c r="G1" s="2033" t="s">
        <v>402</v>
      </c>
      <c r="H1" s="2032"/>
      <c r="I1" s="2031"/>
      <c r="J1" s="2031"/>
      <c r="K1" s="2031"/>
      <c r="L1" s="2031"/>
      <c r="M1" s="2031"/>
      <c r="N1" s="2030"/>
    </row>
    <row r="2" spans="1:14" x14ac:dyDescent="0.25">
      <c r="A2" s="1963"/>
      <c r="B2" s="847"/>
      <c r="C2" s="847"/>
      <c r="D2" s="847"/>
      <c r="E2" s="847"/>
      <c r="F2" s="847"/>
      <c r="G2" s="1919" t="s">
        <v>1996</v>
      </c>
      <c r="H2" s="2029"/>
      <c r="I2" s="847"/>
      <c r="J2" s="847"/>
      <c r="K2" s="847"/>
      <c r="L2" s="847"/>
      <c r="M2" s="847"/>
      <c r="N2" s="1962"/>
    </row>
    <row r="3" spans="1:14" x14ac:dyDescent="0.25">
      <c r="A3" s="1963"/>
      <c r="B3" s="847"/>
      <c r="C3" s="847"/>
      <c r="D3" s="847"/>
      <c r="E3" s="847"/>
      <c r="F3" s="847"/>
      <c r="G3" s="1919" t="s">
        <v>403</v>
      </c>
      <c r="H3" s="847"/>
      <c r="I3" s="847"/>
      <c r="J3" s="847"/>
      <c r="K3" s="847"/>
      <c r="L3" s="847"/>
      <c r="M3" s="847"/>
      <c r="N3" s="1962"/>
    </row>
    <row r="4" spans="1:14" x14ac:dyDescent="0.25">
      <c r="A4" s="1963"/>
      <c r="B4" s="847"/>
      <c r="C4" s="847"/>
      <c r="D4" s="847"/>
      <c r="E4" s="847"/>
      <c r="F4" s="847"/>
      <c r="G4" s="1919" t="s">
        <v>862</v>
      </c>
      <c r="H4" s="847"/>
      <c r="I4" s="847"/>
      <c r="J4" s="847"/>
      <c r="K4" s="847"/>
      <c r="L4" s="847"/>
      <c r="M4" s="847"/>
      <c r="N4" s="1962"/>
    </row>
    <row r="5" spans="1:14" x14ac:dyDescent="0.25">
      <c r="A5" s="1963"/>
      <c r="B5" s="847"/>
      <c r="C5" s="847"/>
      <c r="D5" s="847"/>
      <c r="E5" s="847"/>
      <c r="F5" s="1919"/>
      <c r="G5" s="1919"/>
      <c r="H5" s="847"/>
      <c r="I5" s="847"/>
      <c r="J5" s="847"/>
      <c r="K5" s="847"/>
      <c r="L5" s="847"/>
      <c r="M5" s="847"/>
      <c r="N5" s="1962"/>
    </row>
    <row r="6" spans="1:14" x14ac:dyDescent="0.25">
      <c r="A6" s="2028" t="s">
        <v>667</v>
      </c>
      <c r="B6" s="1370"/>
      <c r="C6" s="1370"/>
      <c r="D6" s="1370"/>
      <c r="E6" s="1371"/>
      <c r="F6" s="2027"/>
      <c r="G6" s="1919"/>
      <c r="H6" s="847"/>
      <c r="I6" s="1951" t="s">
        <v>1020</v>
      </c>
      <c r="J6" s="2494" t="str">
        <f>COVER!A17</f>
        <v xml:space="preserve">   Antioch CCSD 34</v>
      </c>
      <c r="K6" s="2494"/>
      <c r="L6" s="2495"/>
      <c r="M6" s="847"/>
      <c r="N6" s="1962"/>
    </row>
    <row r="7" spans="1:14" x14ac:dyDescent="0.25">
      <c r="A7" s="2496" t="s">
        <v>863</v>
      </c>
      <c r="B7" s="2497"/>
      <c r="C7" s="2497"/>
      <c r="D7" s="2497"/>
      <c r="E7" s="2498"/>
      <c r="F7" s="2026"/>
      <c r="G7" s="847"/>
      <c r="H7" s="847"/>
      <c r="I7" s="1951" t="s">
        <v>369</v>
      </c>
      <c r="J7" s="2499">
        <f>COVER!A13</f>
        <v>34049034004</v>
      </c>
      <c r="K7" s="2499"/>
      <c r="L7" s="2499"/>
      <c r="M7" s="847"/>
      <c r="N7" s="1962"/>
    </row>
    <row r="8" spans="1:14" x14ac:dyDescent="0.25">
      <c r="A8" s="2025"/>
      <c r="B8" s="2024"/>
      <c r="C8" s="2024"/>
      <c r="D8" s="2024"/>
      <c r="E8" s="2023"/>
      <c r="F8" s="2022"/>
      <c r="G8" s="2021"/>
      <c r="H8" s="2021"/>
      <c r="I8" s="2021"/>
      <c r="J8" s="2021"/>
      <c r="K8" s="2021"/>
      <c r="L8" s="2021"/>
      <c r="M8" s="847"/>
      <c r="N8" s="1962"/>
    </row>
    <row r="9" spans="1:14" x14ac:dyDescent="0.25">
      <c r="A9" s="2020"/>
      <c r="B9" s="2019"/>
      <c r="C9" s="2019"/>
      <c r="D9" s="2018"/>
      <c r="E9" s="2017" t="s">
        <v>2056</v>
      </c>
      <c r="F9" s="2015"/>
      <c r="G9" s="2015"/>
      <c r="H9" s="2015"/>
      <c r="I9" s="2016" t="s">
        <v>2055</v>
      </c>
      <c r="J9" s="2015"/>
      <c r="K9" s="2015"/>
      <c r="L9" s="2014"/>
      <c r="M9" s="847"/>
      <c r="N9" s="1962"/>
    </row>
    <row r="10" spans="1:14" x14ac:dyDescent="0.25">
      <c r="A10" s="1963"/>
      <c r="B10" s="847"/>
      <c r="C10" s="1919"/>
      <c r="D10" s="2013"/>
      <c r="E10" s="2012" t="s">
        <v>422</v>
      </c>
      <c r="F10" s="2009" t="s">
        <v>423</v>
      </c>
      <c r="G10" s="2010" t="s">
        <v>429</v>
      </c>
      <c r="H10" s="2011"/>
      <c r="I10" s="2009" t="s">
        <v>422</v>
      </c>
      <c r="J10" s="2009" t="s">
        <v>423</v>
      </c>
      <c r="K10" s="2010" t="s">
        <v>429</v>
      </c>
      <c r="L10" s="2009"/>
      <c r="M10" s="847"/>
      <c r="N10" s="1962"/>
    </row>
    <row r="11" spans="1:14" ht="51" x14ac:dyDescent="0.25">
      <c r="A11" s="2500" t="s">
        <v>478</v>
      </c>
      <c r="B11" s="2501"/>
      <c r="C11" s="2502"/>
      <c r="D11" s="2008" t="s">
        <v>865</v>
      </c>
      <c r="E11" s="2008" t="s">
        <v>64</v>
      </c>
      <c r="F11" s="2008" t="s">
        <v>6</v>
      </c>
      <c r="G11" s="2007" t="s">
        <v>2054</v>
      </c>
      <c r="H11" s="2006" t="s">
        <v>155</v>
      </c>
      <c r="I11" s="2008" t="s">
        <v>64</v>
      </c>
      <c r="J11" s="2008" t="s">
        <v>6</v>
      </c>
      <c r="K11" s="2007" t="s">
        <v>1995</v>
      </c>
      <c r="L11" s="2006" t="s">
        <v>155</v>
      </c>
      <c r="M11" s="847"/>
      <c r="N11" s="1962"/>
    </row>
    <row r="12" spans="1:14" x14ac:dyDescent="0.25">
      <c r="A12" s="1992">
        <v>1</v>
      </c>
      <c r="B12" s="2004" t="s">
        <v>812</v>
      </c>
      <c r="C12" s="2003"/>
      <c r="D12" s="2002">
        <v>2320</v>
      </c>
      <c r="E12" s="2001">
        <f>'Expenditures 15-22'!K50</f>
        <v>483245</v>
      </c>
      <c r="F12" s="1999"/>
      <c r="G12" s="2000">
        <f>G68</f>
        <v>0</v>
      </c>
      <c r="H12" s="1996">
        <f t="shared" ref="H12:H18" si="0">SUM(E12:G12)</f>
        <v>483245</v>
      </c>
      <c r="I12" s="1997">
        <v>389221</v>
      </c>
      <c r="J12" s="1999"/>
      <c r="K12" s="1997"/>
      <c r="L12" s="1996">
        <f t="shared" ref="L12:L18" si="1">SUM(I12:K12)</f>
        <v>389221</v>
      </c>
      <c r="M12" s="847"/>
      <c r="N12" s="1962"/>
    </row>
    <row r="13" spans="1:14" x14ac:dyDescent="0.25">
      <c r="A13" s="1992">
        <v>2</v>
      </c>
      <c r="B13" s="2004" t="s">
        <v>42</v>
      </c>
      <c r="C13" s="2003"/>
      <c r="D13" s="2002">
        <v>2330</v>
      </c>
      <c r="E13" s="2001">
        <f>'Expenditures 15-22'!K51</f>
        <v>515491</v>
      </c>
      <c r="F13" s="1999"/>
      <c r="G13" s="2000">
        <f>H68</f>
        <v>0</v>
      </c>
      <c r="H13" s="1996">
        <f t="shared" si="0"/>
        <v>515491</v>
      </c>
      <c r="I13" s="1997">
        <v>218897</v>
      </c>
      <c r="J13" s="1999"/>
      <c r="K13" s="1997"/>
      <c r="L13" s="1996">
        <f t="shared" si="1"/>
        <v>218897</v>
      </c>
      <c r="M13" s="847"/>
      <c r="N13" s="1962"/>
    </row>
    <row r="14" spans="1:14" x14ac:dyDescent="0.25">
      <c r="A14" s="1992">
        <v>3</v>
      </c>
      <c r="B14" s="2004" t="s">
        <v>43</v>
      </c>
      <c r="C14" s="2003"/>
      <c r="D14" s="2005">
        <v>2490</v>
      </c>
      <c r="E14" s="2001">
        <f>'Expenditures 15-22'!K56</f>
        <v>0</v>
      </c>
      <c r="F14" s="1999"/>
      <c r="G14" s="2000">
        <f>I68</f>
        <v>0</v>
      </c>
      <c r="H14" s="1996">
        <f t="shared" si="0"/>
        <v>0</v>
      </c>
      <c r="I14" s="1997"/>
      <c r="J14" s="1999"/>
      <c r="K14" s="1997"/>
      <c r="L14" s="1996">
        <f t="shared" si="1"/>
        <v>0</v>
      </c>
      <c r="M14" s="847"/>
      <c r="N14" s="1962"/>
    </row>
    <row r="15" spans="1:14" x14ac:dyDescent="0.25">
      <c r="A15" s="1992">
        <v>4</v>
      </c>
      <c r="B15" s="2004" t="s">
        <v>1058</v>
      </c>
      <c r="C15" s="2003"/>
      <c r="D15" s="2002">
        <v>2510</v>
      </c>
      <c r="E15" s="2001">
        <f>'Expenditures 15-22'!K59</f>
        <v>87547</v>
      </c>
      <c r="F15" s="2001">
        <f>'Expenditures 15-22'!K122</f>
        <v>0</v>
      </c>
      <c r="G15" s="2000">
        <f>J68</f>
        <v>0</v>
      </c>
      <c r="H15" s="1996">
        <f t="shared" si="0"/>
        <v>87547</v>
      </c>
      <c r="I15" s="1997">
        <v>91755</v>
      </c>
      <c r="J15" s="1997"/>
      <c r="K15" s="1997"/>
      <c r="L15" s="1996">
        <f t="shared" si="1"/>
        <v>91755</v>
      </c>
      <c r="M15" s="847"/>
      <c r="N15" s="1962"/>
    </row>
    <row r="16" spans="1:14" x14ac:dyDescent="0.25">
      <c r="A16" s="1992">
        <v>5</v>
      </c>
      <c r="B16" s="2004" t="s">
        <v>101</v>
      </c>
      <c r="C16" s="2003"/>
      <c r="D16" s="2002">
        <v>2570</v>
      </c>
      <c r="E16" s="2001">
        <f>'Expenditures 15-22'!K64</f>
        <v>18828</v>
      </c>
      <c r="F16" s="1999"/>
      <c r="G16" s="2000">
        <f>K68</f>
        <v>0</v>
      </c>
      <c r="H16" s="1996">
        <f t="shared" si="0"/>
        <v>18828</v>
      </c>
      <c r="I16" s="1997">
        <v>26443</v>
      </c>
      <c r="J16" s="1999"/>
      <c r="K16" s="1997"/>
      <c r="L16" s="1996">
        <f t="shared" si="1"/>
        <v>26443</v>
      </c>
      <c r="M16" s="847"/>
      <c r="N16" s="1962"/>
    </row>
    <row r="17" spans="1:14" x14ac:dyDescent="0.25">
      <c r="A17" s="1992">
        <v>6</v>
      </c>
      <c r="B17" s="2004" t="s">
        <v>1050</v>
      </c>
      <c r="C17" s="2003"/>
      <c r="D17" s="2002">
        <v>2610</v>
      </c>
      <c r="E17" s="2001">
        <f>'Expenditures 15-22'!K67</f>
        <v>169289</v>
      </c>
      <c r="F17" s="1999"/>
      <c r="G17" s="2000">
        <f>L68</f>
        <v>0</v>
      </c>
      <c r="H17" s="1996">
        <f t="shared" si="0"/>
        <v>169289</v>
      </c>
      <c r="I17" s="1997">
        <v>177765</v>
      </c>
      <c r="J17" s="1999"/>
      <c r="K17" s="1997"/>
      <c r="L17" s="1996">
        <f t="shared" si="1"/>
        <v>177765</v>
      </c>
      <c r="M17" s="847"/>
      <c r="N17" s="1962"/>
    </row>
    <row r="18" spans="1:14" ht="28.5" customHeight="1" x14ac:dyDescent="0.25">
      <c r="A18" s="1998">
        <v>7</v>
      </c>
      <c r="B18" s="2503" t="s">
        <v>7</v>
      </c>
      <c r="C18" s="2503"/>
      <c r="D18" s="2504"/>
      <c r="E18" s="1997"/>
      <c r="F18" s="1997"/>
      <c r="G18" s="1997"/>
      <c r="H18" s="1996">
        <f t="shared" si="0"/>
        <v>0</v>
      </c>
      <c r="I18" s="1997"/>
      <c r="J18" s="1997"/>
      <c r="K18" s="1997"/>
      <c r="L18" s="1996">
        <f t="shared" si="1"/>
        <v>0</v>
      </c>
      <c r="M18" s="847"/>
      <c r="N18" s="1962"/>
    </row>
    <row r="19" spans="1:14" ht="15.75" thickBot="1" x14ac:dyDescent="0.3">
      <c r="A19" s="1992">
        <v>8</v>
      </c>
      <c r="B19" s="1995" t="s">
        <v>1150</v>
      </c>
      <c r="C19" s="847"/>
      <c r="D19" s="1994"/>
      <c r="E19" s="1993">
        <f t="shared" ref="E19:L19" si="2">SUM(E12:E17)-E18</f>
        <v>1274400</v>
      </c>
      <c r="F19" s="1993">
        <f t="shared" si="2"/>
        <v>0</v>
      </c>
      <c r="G19" s="1993">
        <f t="shared" si="2"/>
        <v>0</v>
      </c>
      <c r="H19" s="1993">
        <f t="shared" si="2"/>
        <v>1274400</v>
      </c>
      <c r="I19" s="1993">
        <f t="shared" si="2"/>
        <v>904081</v>
      </c>
      <c r="J19" s="1993">
        <f t="shared" si="2"/>
        <v>0</v>
      </c>
      <c r="K19" s="1993">
        <f t="shared" si="2"/>
        <v>0</v>
      </c>
      <c r="L19" s="1993">
        <f t="shared" si="2"/>
        <v>904081</v>
      </c>
      <c r="M19" s="847"/>
      <c r="N19" s="1962"/>
    </row>
    <row r="20" spans="1:14" ht="15.75" thickTop="1" x14ac:dyDescent="0.25">
      <c r="A20" s="1992">
        <v>9</v>
      </c>
      <c r="B20" s="2492" t="s">
        <v>2053</v>
      </c>
      <c r="C20" s="2492"/>
      <c r="D20" s="2493"/>
      <c r="E20" s="1991"/>
      <c r="F20" s="1991"/>
      <c r="G20" s="1991"/>
      <c r="H20" s="1991"/>
      <c r="I20" s="1991"/>
      <c r="J20" s="1991"/>
      <c r="K20" s="1991"/>
      <c r="L20" s="1990">
        <f>IF(AND(H19&gt;0,L19&gt;0),(((L19-H19)/H19)),"Enter Budget Data")</f>
        <v>-0.29058301946013809</v>
      </c>
      <c r="M20" s="847"/>
      <c r="N20" s="1962"/>
    </row>
    <row r="21" spans="1:14" x14ac:dyDescent="0.25">
      <c r="A21" s="1989" t="s">
        <v>194</v>
      </c>
      <c r="B21" s="294" t="s">
        <v>2052</v>
      </c>
      <c r="C21" s="847"/>
      <c r="D21" s="1973"/>
      <c r="E21" s="1972"/>
      <c r="F21" s="1988"/>
      <c r="G21" s="1988"/>
      <c r="H21" s="1988"/>
      <c r="I21" s="1988"/>
      <c r="J21" s="1988"/>
      <c r="K21" s="1988"/>
      <c r="L21" s="1987"/>
      <c r="M21" s="847"/>
      <c r="N21" s="1962"/>
    </row>
    <row r="22" spans="1:14" x14ac:dyDescent="0.25">
      <c r="A22" s="1963"/>
      <c r="B22" s="1975"/>
      <c r="C22" s="847"/>
      <c r="D22" s="847"/>
      <c r="E22" s="847"/>
      <c r="F22" s="847"/>
      <c r="G22" s="847"/>
      <c r="H22" s="847"/>
      <c r="I22" s="847"/>
      <c r="J22" s="847"/>
      <c r="K22" s="847"/>
      <c r="L22" s="847"/>
      <c r="M22" s="847"/>
      <c r="N22" s="1962"/>
    </row>
    <row r="23" spans="1:14" x14ac:dyDescent="0.25">
      <c r="A23" s="1986" t="s">
        <v>132</v>
      </c>
      <c r="B23" s="1975"/>
      <c r="C23" s="847"/>
      <c r="D23" s="847"/>
      <c r="E23" s="847"/>
      <c r="F23" s="847"/>
      <c r="G23" s="847"/>
      <c r="H23" s="847"/>
      <c r="I23" s="847"/>
      <c r="J23" s="847"/>
      <c r="K23" s="847"/>
      <c r="L23" s="847"/>
      <c r="M23" s="847"/>
      <c r="N23" s="1962"/>
    </row>
    <row r="24" spans="1:14" x14ac:dyDescent="0.25">
      <c r="A24" s="1985" t="s">
        <v>2051</v>
      </c>
      <c r="B24" s="1984"/>
      <c r="C24" s="1983"/>
      <c r="D24" s="1983"/>
      <c r="E24" s="1983"/>
      <c r="F24" s="1983"/>
      <c r="G24" s="1983"/>
      <c r="H24" s="1983"/>
      <c r="I24" s="1983"/>
      <c r="J24" s="1983"/>
      <c r="K24" s="1983"/>
      <c r="L24" s="847"/>
      <c r="M24" s="847"/>
      <c r="N24" s="1962"/>
    </row>
    <row r="25" spans="1:14" x14ac:dyDescent="0.25">
      <c r="A25" s="1985" t="s">
        <v>2050</v>
      </c>
      <c r="B25" s="1984"/>
      <c r="C25" s="1983"/>
      <c r="D25" s="1983"/>
      <c r="E25" s="1983"/>
      <c r="F25" s="1983"/>
      <c r="G25" s="1983"/>
      <c r="H25" s="1983"/>
      <c r="I25" s="1983"/>
      <c r="J25" s="1983"/>
      <c r="K25" s="1983"/>
      <c r="L25" s="847"/>
      <c r="M25" s="847"/>
      <c r="N25" s="1962"/>
    </row>
    <row r="26" spans="1:14" x14ac:dyDescent="0.25">
      <c r="A26" s="1982"/>
      <c r="B26" s="1975"/>
      <c r="C26" s="847"/>
      <c r="D26" s="847"/>
      <c r="E26" s="847"/>
      <c r="F26" s="847"/>
      <c r="G26" s="847"/>
      <c r="H26" s="847"/>
      <c r="I26" s="847"/>
      <c r="J26" s="847"/>
      <c r="K26" s="847"/>
      <c r="L26" s="847"/>
      <c r="M26" s="847"/>
      <c r="N26" s="1962"/>
    </row>
    <row r="27" spans="1:14" x14ac:dyDescent="0.25">
      <c r="A27" s="1963"/>
      <c r="B27" s="1975"/>
      <c r="C27" s="2507"/>
      <c r="D27" s="2507"/>
      <c r="E27" s="1981"/>
      <c r="F27" s="2508"/>
      <c r="G27" s="2508"/>
      <c r="H27" s="2508"/>
      <c r="I27" s="847"/>
      <c r="J27" s="847"/>
      <c r="K27" s="847"/>
      <c r="L27" s="847"/>
      <c r="M27" s="847"/>
      <c r="N27" s="1962"/>
    </row>
    <row r="28" spans="1:14" x14ac:dyDescent="0.25">
      <c r="A28" s="1963"/>
      <c r="B28" s="1975"/>
      <c r="C28" s="1980" t="s">
        <v>1025</v>
      </c>
      <c r="D28" s="1979"/>
      <c r="E28" s="1978"/>
      <c r="F28" s="2509" t="s">
        <v>1489</v>
      </c>
      <c r="G28" s="2509"/>
      <c r="H28" s="2509"/>
      <c r="I28" s="847"/>
      <c r="J28" s="847"/>
      <c r="K28" s="847"/>
      <c r="L28" s="847"/>
      <c r="M28" s="847"/>
      <c r="N28" s="1962"/>
    </row>
    <row r="29" spans="1:14" x14ac:dyDescent="0.25">
      <c r="A29" s="1963"/>
      <c r="B29" s="1975"/>
      <c r="C29" s="2510"/>
      <c r="D29" s="2510"/>
      <c r="E29" s="846"/>
      <c r="F29" s="2510"/>
      <c r="G29" s="2510"/>
      <c r="H29" s="2510"/>
      <c r="I29" s="847"/>
      <c r="J29" s="847"/>
      <c r="K29" s="847"/>
      <c r="L29" s="847"/>
      <c r="M29" s="847"/>
      <c r="N29" s="1962"/>
    </row>
    <row r="30" spans="1:14" x14ac:dyDescent="0.25">
      <c r="A30" s="1963"/>
      <c r="B30" s="1975"/>
      <c r="C30" s="1977" t="s">
        <v>1541</v>
      </c>
      <c r="D30" s="847"/>
      <c r="E30" s="1976"/>
      <c r="F30" s="2511" t="s">
        <v>1490</v>
      </c>
      <c r="G30" s="2511"/>
      <c r="H30" s="2511"/>
      <c r="I30" s="847"/>
      <c r="J30" s="847"/>
      <c r="K30" s="847"/>
      <c r="L30" s="847"/>
      <c r="M30" s="847"/>
      <c r="N30" s="1962"/>
    </row>
    <row r="31" spans="1:14" x14ac:dyDescent="0.25">
      <c r="A31" s="1963"/>
      <c r="B31" s="1975"/>
      <c r="C31" s="1974"/>
      <c r="D31" s="847"/>
      <c r="E31" s="1973"/>
      <c r="F31" s="1972"/>
      <c r="G31" s="1972"/>
      <c r="H31" s="1972"/>
      <c r="I31" s="847"/>
      <c r="J31" s="847"/>
      <c r="K31" s="847"/>
      <c r="L31" s="847"/>
      <c r="M31" s="847"/>
      <c r="N31" s="1962"/>
    </row>
    <row r="32" spans="1:14" x14ac:dyDescent="0.25">
      <c r="A32" s="1963"/>
      <c r="B32" s="1971" t="s">
        <v>1026</v>
      </c>
      <c r="C32" s="847"/>
      <c r="D32" s="847"/>
      <c r="E32" s="847"/>
      <c r="F32" s="847"/>
      <c r="G32" s="847"/>
      <c r="H32" s="847"/>
      <c r="I32" s="847"/>
      <c r="J32" s="847"/>
      <c r="K32" s="847"/>
      <c r="L32" s="847"/>
      <c r="M32" s="847"/>
      <c r="N32" s="1962"/>
    </row>
    <row r="33" spans="1:14" x14ac:dyDescent="0.25">
      <c r="A33" s="1963"/>
      <c r="B33" s="1970"/>
      <c r="C33" s="847"/>
      <c r="D33" s="847"/>
      <c r="E33" s="847"/>
      <c r="F33" s="847"/>
      <c r="G33" s="847"/>
      <c r="H33" s="847"/>
      <c r="I33" s="847"/>
      <c r="J33" s="847"/>
      <c r="K33" s="847"/>
      <c r="L33" s="847"/>
      <c r="M33" s="847"/>
      <c r="N33" s="1962"/>
    </row>
    <row r="34" spans="1:14" x14ac:dyDescent="0.25">
      <c r="A34" s="1963"/>
      <c r="B34" s="1965"/>
      <c r="C34" s="2512" t="s">
        <v>2049</v>
      </c>
      <c r="D34" s="2512"/>
      <c r="E34" s="2512"/>
      <c r="F34" s="2512"/>
      <c r="G34" s="2512"/>
      <c r="H34" s="2512"/>
      <c r="I34" s="2512"/>
      <c r="J34" s="2512"/>
      <c r="K34" s="1969"/>
      <c r="L34" s="847"/>
      <c r="M34" s="847"/>
      <c r="N34" s="1962"/>
    </row>
    <row r="35" spans="1:14" x14ac:dyDescent="0.25">
      <c r="A35" s="1963"/>
      <c r="B35" s="847"/>
      <c r="C35" s="2512"/>
      <c r="D35" s="2512"/>
      <c r="E35" s="2512"/>
      <c r="F35" s="2512"/>
      <c r="G35" s="2512"/>
      <c r="H35" s="2512"/>
      <c r="I35" s="2512"/>
      <c r="J35" s="2512"/>
      <c r="K35" s="1969"/>
      <c r="L35" s="847"/>
      <c r="M35" s="847"/>
      <c r="N35" s="1962"/>
    </row>
    <row r="36" spans="1:14" x14ac:dyDescent="0.25">
      <c r="A36" s="1963"/>
      <c r="B36" s="847"/>
      <c r="C36" s="1968"/>
      <c r="D36" s="847"/>
      <c r="E36" s="847"/>
      <c r="F36" s="847"/>
      <c r="G36" s="847"/>
      <c r="H36" s="847"/>
      <c r="I36" s="847"/>
      <c r="J36" s="847"/>
      <c r="K36" s="847"/>
      <c r="L36" s="847"/>
      <c r="M36" s="847"/>
      <c r="N36" s="1962"/>
    </row>
    <row r="37" spans="1:14" x14ac:dyDescent="0.25">
      <c r="A37" s="1963"/>
      <c r="B37" s="1965"/>
      <c r="C37" s="2512" t="s">
        <v>2048</v>
      </c>
      <c r="D37" s="2512"/>
      <c r="E37" s="2512"/>
      <c r="F37" s="2512"/>
      <c r="G37" s="2512"/>
      <c r="H37" s="2512"/>
      <c r="I37" s="2512"/>
      <c r="J37" s="2512"/>
      <c r="K37" s="1969"/>
      <c r="L37" s="838"/>
      <c r="M37" s="847"/>
      <c r="N37" s="1962"/>
    </row>
    <row r="38" spans="1:14" x14ac:dyDescent="0.25">
      <c r="A38" s="1963"/>
      <c r="B38" s="847"/>
      <c r="C38" s="2512"/>
      <c r="D38" s="2512"/>
      <c r="E38" s="2512"/>
      <c r="F38" s="2512"/>
      <c r="G38" s="2512"/>
      <c r="H38" s="2512"/>
      <c r="I38" s="2512"/>
      <c r="J38" s="2512"/>
      <c r="K38" s="1969"/>
      <c r="L38" s="838"/>
      <c r="M38" s="847"/>
      <c r="N38" s="1962"/>
    </row>
    <row r="39" spans="1:14" x14ac:dyDescent="0.25">
      <c r="A39" s="1963"/>
      <c r="B39" s="847"/>
      <c r="C39" s="1968"/>
      <c r="D39" s="847"/>
      <c r="E39" s="1966"/>
      <c r="F39" s="1967"/>
      <c r="G39" s="1967"/>
      <c r="H39" s="1966"/>
      <c r="I39" s="847"/>
      <c r="J39" s="847"/>
      <c r="K39" s="847"/>
      <c r="L39" s="847"/>
      <c r="M39" s="847"/>
      <c r="N39" s="1962"/>
    </row>
    <row r="40" spans="1:14" x14ac:dyDescent="0.25">
      <c r="A40" s="1963"/>
      <c r="B40" s="1965"/>
      <c r="C40" s="2513" t="s">
        <v>2047</v>
      </c>
      <c r="D40" s="2514"/>
      <c r="E40" s="2514"/>
      <c r="F40" s="2514"/>
      <c r="G40" s="2514"/>
      <c r="H40" s="2514"/>
      <c r="I40" s="2514"/>
      <c r="J40" s="2514"/>
      <c r="K40" s="1964"/>
      <c r="L40" s="847"/>
      <c r="M40" s="847"/>
      <c r="N40" s="1962"/>
    </row>
    <row r="41" spans="1:14" x14ac:dyDescent="0.25">
      <c r="A41" s="1963"/>
      <c r="B41" s="847"/>
      <c r="C41" s="839"/>
      <c r="D41" s="839"/>
      <c r="E41" s="839"/>
      <c r="F41" s="839"/>
      <c r="G41" s="839"/>
      <c r="H41" s="839"/>
      <c r="I41" s="839"/>
      <c r="J41" s="839"/>
      <c r="K41" s="839"/>
      <c r="L41" s="847"/>
      <c r="M41" s="847"/>
      <c r="N41" s="1962"/>
    </row>
    <row r="42" spans="1:14" ht="15.75" thickBot="1" x14ac:dyDescent="0.3">
      <c r="A42" s="1961"/>
      <c r="B42" s="1960"/>
      <c r="C42" s="1960"/>
      <c r="D42" s="1960"/>
      <c r="E42" s="1960"/>
      <c r="F42" s="1960"/>
      <c r="G42" s="1960"/>
      <c r="H42" s="1960"/>
      <c r="I42" s="1960"/>
      <c r="J42" s="1960"/>
      <c r="K42" s="1960"/>
      <c r="L42" s="1960"/>
      <c r="M42" s="1960"/>
      <c r="N42" s="1959"/>
    </row>
    <row r="43" spans="1:14" ht="27" thickBot="1" x14ac:dyDescent="0.45">
      <c r="A43" s="2515" t="s">
        <v>2046</v>
      </c>
      <c r="B43" s="2516"/>
      <c r="C43" s="2516"/>
      <c r="D43" s="2516"/>
      <c r="E43" s="2516"/>
      <c r="F43" s="2516"/>
      <c r="G43" s="2516"/>
      <c r="H43" s="2516"/>
      <c r="I43" s="2516"/>
      <c r="J43" s="2516"/>
      <c r="K43" s="2516"/>
      <c r="L43" s="2516"/>
      <c r="M43" s="2516"/>
      <c r="N43" s="2517"/>
    </row>
    <row r="44" spans="1:14" x14ac:dyDescent="0.25">
      <c r="A44" s="1950"/>
      <c r="B44" s="1949"/>
      <c r="C44" s="1949"/>
      <c r="D44" s="1949"/>
      <c r="E44" s="1949"/>
      <c r="F44" s="1949"/>
      <c r="G44" s="1949"/>
      <c r="H44" s="1949"/>
      <c r="I44" s="1949"/>
      <c r="J44" s="1949"/>
      <c r="K44" s="1949"/>
      <c r="L44" s="1949"/>
      <c r="M44" s="1949"/>
      <c r="N44" s="1948"/>
    </row>
    <row r="45" spans="1:14" x14ac:dyDescent="0.25">
      <c r="A45" s="1950" t="s">
        <v>2045</v>
      </c>
      <c r="B45" s="1949"/>
      <c r="C45" s="1949"/>
      <c r="D45" s="1949"/>
      <c r="E45" s="1949"/>
      <c r="F45" s="1949"/>
      <c r="G45" s="1949"/>
      <c r="H45" s="1949"/>
      <c r="I45" s="1949"/>
      <c r="J45" s="1949"/>
      <c r="K45" s="1949"/>
      <c r="L45" s="1949"/>
      <c r="M45" s="1949"/>
      <c r="N45" s="1948"/>
    </row>
    <row r="46" spans="1:14" x14ac:dyDescent="0.25">
      <c r="A46" s="2518" t="s">
        <v>2044</v>
      </c>
      <c r="B46" s="2519"/>
      <c r="C46" s="2519"/>
      <c r="D46" s="2519"/>
      <c r="E46" s="2519"/>
      <c r="F46" s="2519"/>
      <c r="G46" s="2519"/>
      <c r="H46" s="2519"/>
      <c r="I46" s="2519"/>
      <c r="J46" s="2519"/>
      <c r="K46" s="2519"/>
      <c r="L46" s="2519"/>
      <c r="M46" s="2519"/>
      <c r="N46" s="2520"/>
    </row>
    <row r="47" spans="1:14" x14ac:dyDescent="0.25">
      <c r="A47" s="2518"/>
      <c r="B47" s="2519"/>
      <c r="C47" s="2519"/>
      <c r="D47" s="2519"/>
      <c r="E47" s="2519"/>
      <c r="F47" s="2519"/>
      <c r="G47" s="2519"/>
      <c r="H47" s="2519"/>
      <c r="I47" s="2519"/>
      <c r="J47" s="2519"/>
      <c r="K47" s="2519"/>
      <c r="L47" s="2519"/>
      <c r="M47" s="2519"/>
      <c r="N47" s="2520"/>
    </row>
    <row r="48" spans="1:14" x14ac:dyDescent="0.25">
      <c r="A48" s="1958"/>
      <c r="B48" s="1949"/>
      <c r="C48" s="1949"/>
      <c r="D48" s="1957"/>
      <c r="E48" s="1957"/>
      <c r="F48" s="1957"/>
      <c r="G48" s="1957"/>
      <c r="H48" s="1957"/>
      <c r="I48" s="1957"/>
      <c r="J48" s="1957"/>
      <c r="K48" s="1957"/>
      <c r="L48" s="1957"/>
      <c r="M48" s="1957"/>
      <c r="N48" s="1956"/>
    </row>
    <row r="49" spans="1:14" ht="15.75" x14ac:dyDescent="0.25">
      <c r="A49" s="1952" t="s">
        <v>2043</v>
      </c>
      <c r="B49" s="1955"/>
      <c r="C49" s="1955"/>
      <c r="D49" s="1954"/>
      <c r="E49" s="1954"/>
      <c r="F49" s="1954"/>
      <c r="G49" s="1954"/>
      <c r="H49" s="1954"/>
      <c r="I49" s="1954"/>
      <c r="J49" s="1954"/>
      <c r="K49" s="1954"/>
      <c r="L49" s="1954"/>
      <c r="M49" s="1954"/>
      <c r="N49" s="1953"/>
    </row>
    <row r="50" spans="1:14" x14ac:dyDescent="0.25">
      <c r="A50" s="1952" t="s">
        <v>2042</v>
      </c>
      <c r="B50" s="1949"/>
      <c r="C50" s="1949"/>
      <c r="D50" s="1949"/>
      <c r="E50" s="1949"/>
      <c r="F50" s="1949"/>
      <c r="G50" s="1949"/>
      <c r="H50" s="1949"/>
      <c r="I50" s="1949"/>
      <c r="J50" s="1949"/>
      <c r="K50" s="1949"/>
      <c r="L50" s="1949"/>
      <c r="M50" s="1949"/>
      <c r="N50" s="1948"/>
    </row>
    <row r="51" spans="1:14" x14ac:dyDescent="0.25">
      <c r="A51" s="1950"/>
      <c r="B51" s="1949"/>
      <c r="C51" s="1949"/>
      <c r="D51" s="1949"/>
      <c r="E51" s="1949"/>
      <c r="F51" s="1949"/>
      <c r="G51" s="1949"/>
      <c r="H51" s="1949"/>
      <c r="I51" s="1949"/>
      <c r="J51" s="1949"/>
      <c r="K51" s="1949"/>
      <c r="L51" s="1949"/>
      <c r="M51" s="1949"/>
      <c r="N51" s="1948"/>
    </row>
    <row r="52" spans="1:14" x14ac:dyDescent="0.25">
      <c r="A52" s="1950"/>
      <c r="B52" s="1949"/>
      <c r="C52" s="1949"/>
      <c r="D52" s="1949"/>
      <c r="E52" s="1949"/>
      <c r="F52" s="1949"/>
      <c r="G52" s="1949"/>
      <c r="H52" s="1949"/>
      <c r="I52" s="1949"/>
      <c r="J52" s="1949"/>
      <c r="K52" s="1951" t="s">
        <v>1020</v>
      </c>
      <c r="L52" s="2505" t="str">
        <f>J6</f>
        <v xml:space="preserve">   Antioch CCSD 34</v>
      </c>
      <c r="M52" s="2505"/>
      <c r="N52" s="2506"/>
    </row>
    <row r="53" spans="1:14" x14ac:dyDescent="0.25">
      <c r="A53" s="1950"/>
      <c r="B53" s="1949"/>
      <c r="C53" s="1949"/>
      <c r="D53" s="1949"/>
      <c r="E53" s="1949"/>
      <c r="F53" s="1949"/>
      <c r="G53" s="1949"/>
      <c r="H53" s="1949"/>
      <c r="I53" s="1949"/>
      <c r="J53" s="1949"/>
      <c r="K53" s="1951" t="s">
        <v>369</v>
      </c>
      <c r="L53" s="2523">
        <f>J7</f>
        <v>34049034004</v>
      </c>
      <c r="M53" s="2523"/>
      <c r="N53" s="2524"/>
    </row>
    <row r="54" spans="1:14" ht="15.75" thickBot="1" x14ac:dyDescent="0.3">
      <c r="A54" s="1950"/>
      <c r="B54" s="1949"/>
      <c r="C54" s="1949"/>
      <c r="D54" s="1949"/>
      <c r="E54" s="1949"/>
      <c r="F54" s="1949"/>
      <c r="G54" s="1949"/>
      <c r="H54" s="1949"/>
      <c r="I54" s="1949"/>
      <c r="J54" s="1949"/>
      <c r="K54" s="1949"/>
      <c r="L54" s="1949"/>
      <c r="M54" s="1949"/>
      <c r="N54" s="1948"/>
    </row>
    <row r="55" spans="1:14" x14ac:dyDescent="0.25">
      <c r="A55" s="2525"/>
      <c r="B55" s="2526"/>
      <c r="C55" s="2526"/>
      <c r="D55" s="1932"/>
      <c r="E55" s="1932"/>
      <c r="F55" s="1932"/>
      <c r="G55" s="2527" t="s">
        <v>2041</v>
      </c>
      <c r="H55" s="2527"/>
      <c r="I55" s="2527"/>
      <c r="J55" s="2527"/>
      <c r="K55" s="2527"/>
      <c r="L55" s="2527"/>
      <c r="M55" s="2527"/>
      <c r="N55" s="2528"/>
    </row>
    <row r="56" spans="1:14" ht="64.5" x14ac:dyDescent="0.25">
      <c r="A56" s="2529" t="s">
        <v>2040</v>
      </c>
      <c r="B56" s="2530"/>
      <c r="C56" s="2531"/>
      <c r="D56" s="1946" t="s">
        <v>2039</v>
      </c>
      <c r="E56" s="1946" t="s">
        <v>2038</v>
      </c>
      <c r="F56" s="1947"/>
      <c r="G56" s="1946" t="s">
        <v>2037</v>
      </c>
      <c r="H56" s="1946" t="s">
        <v>2036</v>
      </c>
      <c r="I56" s="1946" t="s">
        <v>2035</v>
      </c>
      <c r="J56" s="1946" t="s">
        <v>2034</v>
      </c>
      <c r="K56" s="1946" t="s">
        <v>2033</v>
      </c>
      <c r="L56" s="1946" t="s">
        <v>2032</v>
      </c>
      <c r="M56" s="1946" t="s">
        <v>2031</v>
      </c>
      <c r="N56" s="1945" t="s">
        <v>2030</v>
      </c>
    </row>
    <row r="57" spans="1:14" ht="24" customHeight="1" x14ac:dyDescent="0.25">
      <c r="A57" s="2532" t="s">
        <v>296</v>
      </c>
      <c r="B57" s="2533"/>
      <c r="C57" s="2533"/>
      <c r="D57" s="1944">
        <v>2361</v>
      </c>
      <c r="E57" s="1943">
        <f>'Expenditures 15-22'!K319</f>
        <v>0</v>
      </c>
      <c r="F57" s="1936"/>
      <c r="G57" s="1942"/>
      <c r="H57" s="1941"/>
      <c r="I57" s="1941"/>
      <c r="J57" s="1941"/>
      <c r="K57" s="1941"/>
      <c r="L57" s="1941"/>
      <c r="M57" s="1941"/>
      <c r="N57" s="1933">
        <f t="shared" ref="N57:N67" si="3">IF((SUM(G57:M57))=E57,SUM(G57:M57),"Column N does not agree with Column E")</f>
        <v>0</v>
      </c>
    </row>
    <row r="58" spans="1:14" ht="24.75" customHeight="1" x14ac:dyDescent="0.25">
      <c r="A58" s="2534" t="s">
        <v>2029</v>
      </c>
      <c r="B58" s="2535"/>
      <c r="C58" s="2535"/>
      <c r="D58" s="1940">
        <v>2362</v>
      </c>
      <c r="E58" s="1943">
        <f>'Expenditures 15-22'!K320</f>
        <v>96003</v>
      </c>
      <c r="F58" s="1936"/>
      <c r="G58" s="1939"/>
      <c r="H58" s="1938"/>
      <c r="I58" s="1938"/>
      <c r="J58" s="1938"/>
      <c r="K58" s="1938"/>
      <c r="L58" s="1938"/>
      <c r="M58" s="1938">
        <v>96003</v>
      </c>
      <c r="N58" s="1933">
        <f t="shared" si="3"/>
        <v>96003</v>
      </c>
    </row>
    <row r="59" spans="1:14" ht="24.75" customHeight="1" x14ac:dyDescent="0.25">
      <c r="A59" s="2521" t="s">
        <v>297</v>
      </c>
      <c r="B59" s="2522"/>
      <c r="C59" s="2522"/>
      <c r="D59" s="1940">
        <v>2363</v>
      </c>
      <c r="E59" s="1943">
        <f>'Expenditures 15-22'!K321</f>
        <v>0</v>
      </c>
      <c r="F59" s="1936"/>
      <c r="G59" s="1939"/>
      <c r="H59" s="1938"/>
      <c r="I59" s="1938"/>
      <c r="J59" s="1938"/>
      <c r="K59" s="1938"/>
      <c r="L59" s="1938"/>
      <c r="M59" s="1938"/>
      <c r="N59" s="1933">
        <f t="shared" si="3"/>
        <v>0</v>
      </c>
    </row>
    <row r="60" spans="1:14" ht="24.75" customHeight="1" x14ac:dyDescent="0.25">
      <c r="A60" s="2521" t="s">
        <v>236</v>
      </c>
      <c r="B60" s="2522"/>
      <c r="C60" s="2522"/>
      <c r="D60" s="1940">
        <v>2364</v>
      </c>
      <c r="E60" s="1943">
        <f>'Expenditures 15-22'!K322</f>
        <v>11492</v>
      </c>
      <c r="F60" s="1936"/>
      <c r="G60" s="1939"/>
      <c r="H60" s="1938"/>
      <c r="I60" s="1938"/>
      <c r="J60" s="1938"/>
      <c r="K60" s="1938"/>
      <c r="L60" s="1938"/>
      <c r="M60" s="1938">
        <v>11492</v>
      </c>
      <c r="N60" s="1933">
        <f t="shared" si="3"/>
        <v>11492</v>
      </c>
    </row>
    <row r="61" spans="1:14" ht="24.75" customHeight="1" x14ac:dyDescent="0.25">
      <c r="A61" s="2521" t="s">
        <v>696</v>
      </c>
      <c r="B61" s="2522"/>
      <c r="C61" s="2522"/>
      <c r="D61" s="1940">
        <v>2365</v>
      </c>
      <c r="E61" s="1943">
        <f>'Expenditures 15-22'!K323</f>
        <v>0</v>
      </c>
      <c r="F61" s="1936"/>
      <c r="G61" s="1939"/>
      <c r="H61" s="1938"/>
      <c r="I61" s="1938"/>
      <c r="J61" s="1938"/>
      <c r="K61" s="1938"/>
      <c r="L61" s="1938"/>
      <c r="M61" s="1938"/>
      <c r="N61" s="1933">
        <f t="shared" si="3"/>
        <v>0</v>
      </c>
    </row>
    <row r="62" spans="1:14" ht="24.75" customHeight="1" x14ac:dyDescent="0.25">
      <c r="A62" s="2521" t="s">
        <v>237</v>
      </c>
      <c r="B62" s="2522"/>
      <c r="C62" s="2522"/>
      <c r="D62" s="1940">
        <v>2366</v>
      </c>
      <c r="E62" s="1943">
        <f>'Expenditures 15-22'!K324</f>
        <v>0</v>
      </c>
      <c r="F62" s="1936"/>
      <c r="G62" s="1939"/>
      <c r="H62" s="1938"/>
      <c r="I62" s="1938"/>
      <c r="J62" s="1938"/>
      <c r="K62" s="1938"/>
      <c r="L62" s="1938"/>
      <c r="M62" s="1938"/>
      <c r="N62" s="1933">
        <f t="shared" si="3"/>
        <v>0</v>
      </c>
    </row>
    <row r="63" spans="1:14" ht="24.75" customHeight="1" x14ac:dyDescent="0.25">
      <c r="A63" s="2534" t="s">
        <v>1021</v>
      </c>
      <c r="B63" s="2535"/>
      <c r="C63" s="2535"/>
      <c r="D63" s="1940">
        <v>2367</v>
      </c>
      <c r="E63" s="1943">
        <f>'Expenditures 15-22'!K325</f>
        <v>0</v>
      </c>
      <c r="F63" s="1936"/>
      <c r="G63" s="1939"/>
      <c r="H63" s="1938"/>
      <c r="I63" s="1938"/>
      <c r="J63" s="1938"/>
      <c r="K63" s="1938"/>
      <c r="L63" s="1938"/>
      <c r="M63" s="1938"/>
      <c r="N63" s="1933">
        <f t="shared" si="3"/>
        <v>0</v>
      </c>
    </row>
    <row r="64" spans="1:14" ht="24.75" customHeight="1" x14ac:dyDescent="0.25">
      <c r="A64" s="2521" t="s">
        <v>1022</v>
      </c>
      <c r="B64" s="2522"/>
      <c r="C64" s="2522"/>
      <c r="D64" s="1940">
        <v>2368</v>
      </c>
      <c r="E64" s="1943">
        <f>'Expenditures 15-22'!K326</f>
        <v>0</v>
      </c>
      <c r="F64" s="1936"/>
      <c r="G64" s="1939"/>
      <c r="H64" s="1938"/>
      <c r="I64" s="1938"/>
      <c r="J64" s="1938"/>
      <c r="K64" s="1938"/>
      <c r="L64" s="1938"/>
      <c r="M64" s="1938"/>
      <c r="N64" s="1933">
        <f t="shared" si="3"/>
        <v>0</v>
      </c>
    </row>
    <row r="65" spans="1:14" ht="24" customHeight="1" x14ac:dyDescent="0.25">
      <c r="A65" s="2521" t="s">
        <v>964</v>
      </c>
      <c r="B65" s="2522"/>
      <c r="C65" s="2522"/>
      <c r="D65" s="1940">
        <v>2369</v>
      </c>
      <c r="E65" s="1943">
        <f>'Expenditures 15-22'!K327</f>
        <v>0</v>
      </c>
      <c r="F65" s="1936"/>
      <c r="G65" s="1939"/>
      <c r="H65" s="1938"/>
      <c r="I65" s="1938"/>
      <c r="J65" s="1938"/>
      <c r="K65" s="1938"/>
      <c r="L65" s="1938"/>
      <c r="M65" s="1938"/>
      <c r="N65" s="1933">
        <f t="shared" si="3"/>
        <v>0</v>
      </c>
    </row>
    <row r="66" spans="1:14" ht="24.75" customHeight="1" x14ac:dyDescent="0.25">
      <c r="A66" s="2521" t="s">
        <v>469</v>
      </c>
      <c r="B66" s="2522"/>
      <c r="C66" s="2522"/>
      <c r="D66" s="1940">
        <v>2371</v>
      </c>
      <c r="E66" s="1943">
        <f>'Expenditures 15-22'!K328</f>
        <v>0</v>
      </c>
      <c r="F66" s="1936"/>
      <c r="G66" s="1939"/>
      <c r="H66" s="1938"/>
      <c r="I66" s="1938"/>
      <c r="J66" s="1938"/>
      <c r="K66" s="1938"/>
      <c r="L66" s="1938"/>
      <c r="M66" s="1938"/>
      <c r="N66" s="1933">
        <f t="shared" si="3"/>
        <v>0</v>
      </c>
    </row>
    <row r="67" spans="1:14" ht="24.75" customHeight="1" x14ac:dyDescent="0.25">
      <c r="A67" s="2541" t="s">
        <v>2028</v>
      </c>
      <c r="B67" s="2542"/>
      <c r="C67" s="2542"/>
      <c r="D67" s="1937">
        <v>2372</v>
      </c>
      <c r="E67" s="1943">
        <f>'Expenditures 15-22'!K329</f>
        <v>0</v>
      </c>
      <c r="F67" s="1936"/>
      <c r="G67" s="1935"/>
      <c r="H67" s="1934"/>
      <c r="I67" s="1934"/>
      <c r="J67" s="1934"/>
      <c r="K67" s="1934"/>
      <c r="L67" s="1934"/>
      <c r="M67" s="1934"/>
      <c r="N67" s="1933">
        <f t="shared" si="3"/>
        <v>0</v>
      </c>
    </row>
    <row r="68" spans="1:14" x14ac:dyDescent="0.25">
      <c r="A68" s="2543" t="s">
        <v>1150</v>
      </c>
      <c r="B68" s="2544"/>
      <c r="C68" s="2544"/>
      <c r="D68" s="1932"/>
      <c r="E68" s="1930">
        <f>SUM(E57:E67)</f>
        <v>107495</v>
      </c>
      <c r="F68" s="1931"/>
      <c r="G68" s="1930">
        <f t="shared" ref="G68:N68" si="4">SUM(G57:G67)</f>
        <v>0</v>
      </c>
      <c r="H68" s="1930">
        <f t="shared" si="4"/>
        <v>0</v>
      </c>
      <c r="I68" s="1930">
        <f t="shared" si="4"/>
        <v>0</v>
      </c>
      <c r="J68" s="1930">
        <f t="shared" si="4"/>
        <v>0</v>
      </c>
      <c r="K68" s="1930">
        <f t="shared" si="4"/>
        <v>0</v>
      </c>
      <c r="L68" s="1930">
        <f t="shared" si="4"/>
        <v>0</v>
      </c>
      <c r="M68" s="1930">
        <f t="shared" si="4"/>
        <v>107495</v>
      </c>
      <c r="N68" s="1929">
        <f t="shared" si="4"/>
        <v>107495</v>
      </c>
    </row>
    <row r="69" spans="1:14" x14ac:dyDescent="0.25">
      <c r="A69" s="1925"/>
      <c r="B69" s="1924"/>
      <c r="C69" s="1924"/>
      <c r="D69" s="1924"/>
      <c r="E69" s="1924"/>
      <c r="F69" s="1924"/>
      <c r="G69" s="1924"/>
      <c r="H69" s="1928" t="s">
        <v>2027</v>
      </c>
      <c r="I69" s="1924"/>
      <c r="J69" s="1924"/>
      <c r="K69" s="1924"/>
      <c r="L69" s="1928" t="s">
        <v>2026</v>
      </c>
      <c r="M69" s="1924"/>
      <c r="N69" s="1927"/>
    </row>
    <row r="70" spans="1:14" ht="46.5" customHeight="1" x14ac:dyDescent="0.25">
      <c r="A70" s="1926" t="s">
        <v>2025</v>
      </c>
      <c r="B70" s="1924"/>
      <c r="C70" s="1924"/>
      <c r="D70" s="1924"/>
      <c r="E70" s="1924"/>
      <c r="F70" s="1924"/>
      <c r="G70" s="1924"/>
      <c r="H70" s="2537" t="s">
        <v>2024</v>
      </c>
      <c r="I70" s="2537"/>
      <c r="J70" s="2537"/>
      <c r="K70" s="1924"/>
      <c r="L70" s="2537" t="s">
        <v>2023</v>
      </c>
      <c r="M70" s="2537"/>
      <c r="N70" s="2538"/>
    </row>
    <row r="71" spans="1:14" ht="42.75" customHeight="1" x14ac:dyDescent="0.25">
      <c r="A71" s="1925"/>
      <c r="B71" s="1924"/>
      <c r="C71" s="1924"/>
      <c r="D71" s="1924"/>
      <c r="E71" s="1924"/>
      <c r="F71" s="1924"/>
      <c r="G71" s="1924"/>
      <c r="H71" s="2537" t="s">
        <v>2022</v>
      </c>
      <c r="I71" s="2537"/>
      <c r="J71" s="2537"/>
      <c r="K71" s="1924"/>
      <c r="L71" s="2539" t="s">
        <v>2021</v>
      </c>
      <c r="M71" s="2539"/>
      <c r="N71" s="2540"/>
    </row>
    <row r="72" spans="1:14" ht="52.5" customHeight="1" thickBot="1" x14ac:dyDescent="0.3">
      <c r="A72" s="1923"/>
      <c r="B72" s="1922"/>
      <c r="C72" s="1922"/>
      <c r="D72" s="1922"/>
      <c r="E72" s="1922"/>
      <c r="F72" s="1922"/>
      <c r="G72" s="1922"/>
      <c r="H72" s="2536" t="s">
        <v>2020</v>
      </c>
      <c r="I72" s="2536"/>
      <c r="J72" s="2536"/>
      <c r="K72" s="1922"/>
      <c r="L72" s="1922"/>
      <c r="M72" s="1922"/>
      <c r="N72" s="1921"/>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33"/>
  </sheetPr>
  <dimension ref="A2:D65"/>
  <sheetViews>
    <sheetView showGridLines="0" zoomScale="110" zoomScaleNormal="110" workbookViewId="0">
      <selection activeCell="B26" sqref="B26"/>
    </sheetView>
  </sheetViews>
  <sheetFormatPr defaultRowHeight="12.75" x14ac:dyDescent="0.2"/>
  <cols>
    <col min="1" max="1" width="3" style="307" customWidth="1"/>
    <col min="2" max="2" width="54" style="307" customWidth="1"/>
    <col min="3" max="3" width="14.7109375" style="307" customWidth="1"/>
    <col min="4" max="4" width="41.85546875" style="307" bestFit="1" customWidth="1"/>
    <col min="5" max="16384" width="9.140625" style="307"/>
  </cols>
  <sheetData>
    <row r="2" spans="1:4" x14ac:dyDescent="0.2">
      <c r="A2" s="366" t="s">
        <v>256</v>
      </c>
    </row>
    <row r="3" spans="1:4" x14ac:dyDescent="0.2">
      <c r="A3" s="307" t="s">
        <v>257</v>
      </c>
      <c r="C3" s="368"/>
      <c r="D3" s="368"/>
    </row>
    <row r="4" spans="1:4" x14ac:dyDescent="0.2">
      <c r="C4" s="307" t="s">
        <v>2142</v>
      </c>
      <c r="D4" s="307" t="s">
        <v>478</v>
      </c>
    </row>
    <row r="5" spans="1:4" x14ac:dyDescent="0.2">
      <c r="A5" s="840">
        <v>1</v>
      </c>
      <c r="B5" s="307" t="s">
        <v>2143</v>
      </c>
      <c r="C5" s="307" t="s">
        <v>2166</v>
      </c>
      <c r="D5" s="307" t="s">
        <v>2193</v>
      </c>
    </row>
    <row r="6" spans="1:4" x14ac:dyDescent="0.2">
      <c r="A6" s="840">
        <v>2</v>
      </c>
      <c r="B6" s="307" t="s">
        <v>2143</v>
      </c>
      <c r="C6" s="307" t="s">
        <v>2167</v>
      </c>
      <c r="D6" s="307" t="s">
        <v>2168</v>
      </c>
    </row>
    <row r="7" spans="1:4" x14ac:dyDescent="0.2">
      <c r="A7" s="840">
        <v>3</v>
      </c>
      <c r="B7" s="307" t="s">
        <v>2144</v>
      </c>
      <c r="C7" s="307" t="s">
        <v>2146</v>
      </c>
      <c r="D7" s="307" t="s">
        <v>2169</v>
      </c>
    </row>
    <row r="8" spans="1:4" x14ac:dyDescent="0.2">
      <c r="A8" s="840">
        <v>4</v>
      </c>
      <c r="B8" s="307" t="s">
        <v>2145</v>
      </c>
      <c r="C8" s="307" t="s">
        <v>2147</v>
      </c>
      <c r="D8" s="307" t="s">
        <v>2170</v>
      </c>
    </row>
    <row r="9" spans="1:4" x14ac:dyDescent="0.2">
      <c r="A9" s="840">
        <v>5</v>
      </c>
      <c r="B9" s="307" t="s">
        <v>2148</v>
      </c>
      <c r="C9" s="307" t="s">
        <v>2149</v>
      </c>
      <c r="D9" s="307" t="s">
        <v>2171</v>
      </c>
    </row>
    <row r="10" spans="1:4" x14ac:dyDescent="0.2">
      <c r="A10" s="840">
        <v>6</v>
      </c>
      <c r="B10" s="307" t="s">
        <v>2150</v>
      </c>
      <c r="C10" s="307" t="s">
        <v>2151</v>
      </c>
      <c r="D10" s="307" t="s">
        <v>2172</v>
      </c>
    </row>
    <row r="11" spans="1:4" x14ac:dyDescent="0.2">
      <c r="A11" s="840">
        <v>7</v>
      </c>
      <c r="B11" s="307" t="s">
        <v>2150</v>
      </c>
      <c r="C11" s="307" t="s">
        <v>2152</v>
      </c>
      <c r="D11" s="307" t="s">
        <v>2173</v>
      </c>
    </row>
    <row r="12" spans="1:4" x14ac:dyDescent="0.2">
      <c r="A12" s="840">
        <v>8</v>
      </c>
      <c r="B12" s="307" t="s">
        <v>2153</v>
      </c>
      <c r="C12" s="307" t="s">
        <v>2154</v>
      </c>
      <c r="D12" s="307" t="s">
        <v>2174</v>
      </c>
    </row>
    <row r="13" spans="1:4" x14ac:dyDescent="0.2">
      <c r="A13" s="840">
        <v>9</v>
      </c>
      <c r="B13" s="307" t="s">
        <v>2153</v>
      </c>
      <c r="C13" s="307" t="s">
        <v>2155</v>
      </c>
      <c r="D13" s="307" t="s">
        <v>2184</v>
      </c>
    </row>
    <row r="14" spans="1:4" x14ac:dyDescent="0.2">
      <c r="A14" s="840">
        <v>10</v>
      </c>
      <c r="B14" s="307" t="s">
        <v>2156</v>
      </c>
      <c r="C14" s="307" t="s">
        <v>2157</v>
      </c>
      <c r="D14" s="307" t="s">
        <v>2185</v>
      </c>
    </row>
    <row r="15" spans="1:4" x14ac:dyDescent="0.2">
      <c r="A15" s="840">
        <v>11</v>
      </c>
      <c r="B15" s="307" t="s">
        <v>2156</v>
      </c>
      <c r="C15" s="307" t="s">
        <v>2158</v>
      </c>
      <c r="D15" s="307" t="s">
        <v>2186</v>
      </c>
    </row>
    <row r="16" spans="1:4" x14ac:dyDescent="0.2">
      <c r="A16" s="840">
        <v>12</v>
      </c>
      <c r="B16" s="307" t="s">
        <v>2156</v>
      </c>
      <c r="C16" s="307" t="s">
        <v>2159</v>
      </c>
      <c r="D16" s="307" t="s">
        <v>2187</v>
      </c>
    </row>
    <row r="17" spans="1:4" x14ac:dyDescent="0.2">
      <c r="A17" s="840">
        <v>13</v>
      </c>
      <c r="B17" s="307" t="s">
        <v>2161</v>
      </c>
      <c r="C17" s="307" t="s">
        <v>2160</v>
      </c>
      <c r="D17" s="307" t="s">
        <v>2188</v>
      </c>
    </row>
    <row r="18" spans="1:4" x14ac:dyDescent="0.2">
      <c r="A18" s="840">
        <v>14</v>
      </c>
      <c r="B18" s="307" t="s">
        <v>2163</v>
      </c>
      <c r="C18" s="307" t="s">
        <v>2162</v>
      </c>
      <c r="D18" s="307" t="s">
        <v>2175</v>
      </c>
    </row>
    <row r="19" spans="1:4" x14ac:dyDescent="0.2">
      <c r="A19" s="840">
        <v>15</v>
      </c>
      <c r="B19" s="307" t="s">
        <v>2165</v>
      </c>
      <c r="C19" s="307" t="s">
        <v>2164</v>
      </c>
      <c r="D19" s="307" t="s">
        <v>2176</v>
      </c>
    </row>
    <row r="20" spans="1:4" x14ac:dyDescent="0.2">
      <c r="A20" s="841"/>
    </row>
    <row r="21" spans="1:4" x14ac:dyDescent="0.2">
      <c r="A21" s="841"/>
      <c r="B21" s="307" t="s">
        <v>2177</v>
      </c>
    </row>
    <row r="22" spans="1:4" x14ac:dyDescent="0.2">
      <c r="A22" s="840">
        <v>1</v>
      </c>
      <c r="B22" s="307" t="s">
        <v>2183</v>
      </c>
    </row>
    <row r="23" spans="1:4" ht="26.25" customHeight="1" x14ac:dyDescent="0.2">
      <c r="A23" s="841"/>
      <c r="B23" s="2545" t="s">
        <v>2194</v>
      </c>
      <c r="C23" s="2545"/>
      <c r="D23" s="2545"/>
    </row>
    <row r="24" spans="1:4" x14ac:dyDescent="0.2">
      <c r="A24" s="841"/>
      <c r="B24" s="2109"/>
      <c r="C24" s="2109"/>
      <c r="D24" s="2109"/>
    </row>
    <row r="25" spans="1:4" x14ac:dyDescent="0.2">
      <c r="A25" s="841"/>
      <c r="B25" s="2109"/>
      <c r="C25" s="2109"/>
      <c r="D25" s="2109"/>
    </row>
    <row r="26" spans="1:4" x14ac:dyDescent="0.2">
      <c r="A26" s="841"/>
    </row>
    <row r="27" spans="1:4" x14ac:dyDescent="0.2">
      <c r="A27" s="841"/>
    </row>
    <row r="28" spans="1:4" x14ac:dyDescent="0.2">
      <c r="A28" s="841"/>
    </row>
    <row r="29" spans="1:4" x14ac:dyDescent="0.2">
      <c r="A29" s="841"/>
    </row>
    <row r="30" spans="1:4" x14ac:dyDescent="0.2">
      <c r="A30" s="841"/>
    </row>
    <row r="31" spans="1:4" x14ac:dyDescent="0.2">
      <c r="A31" s="841"/>
    </row>
    <row r="32" spans="1:4"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Antioch CCSD 34</v>
      </c>
    </row>
    <row r="65" spans="2:2" x14ac:dyDescent="0.2">
      <c r="B65" s="842">
        <f>COVER!A13</f>
        <v>34049034004</v>
      </c>
    </row>
  </sheetData>
  <mergeCells count="1">
    <mergeCell ref="B23:D23"/>
  </mergeCells>
  <phoneticPr fontId="21"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33"/>
    <pageSetUpPr fitToPage="1"/>
  </sheetPr>
  <dimension ref="A1:I84"/>
  <sheetViews>
    <sheetView showGridLines="0" topLeftCell="A61" zoomScale="110" zoomScaleNormal="110" workbookViewId="0">
      <selection activeCell="P30" sqref="P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3" t="s">
        <v>1591</v>
      </c>
    </row>
    <row r="23" spans="1:5" x14ac:dyDescent="0.2">
      <c r="A23" s="163"/>
      <c r="B23" s="157" t="s">
        <v>1822</v>
      </c>
      <c r="D23" s="162" t="s">
        <v>632</v>
      </c>
      <c r="E23" s="1463" t="s">
        <v>952</v>
      </c>
    </row>
    <row r="24" spans="1:5" x14ac:dyDescent="0.2">
      <c r="A24" s="163" t="s">
        <v>1589</v>
      </c>
      <c r="C24" s="157" t="s">
        <v>1158</v>
      </c>
      <c r="D24" s="162" t="s">
        <v>1374</v>
      </c>
      <c r="E24" s="165" t="s">
        <v>953</v>
      </c>
    </row>
    <row r="25" spans="1:5" x14ac:dyDescent="0.2">
      <c r="A25" s="163" t="s">
        <v>1834</v>
      </c>
      <c r="C25" s="157" t="s">
        <v>1158</v>
      </c>
      <c r="D25" s="164" t="s">
        <v>21</v>
      </c>
      <c r="E25" s="1463" t="s">
        <v>2057</v>
      </c>
    </row>
    <row r="26" spans="1:5" x14ac:dyDescent="0.2">
      <c r="A26" s="163" t="s">
        <v>1835</v>
      </c>
      <c r="C26" s="157" t="s">
        <v>1158</v>
      </c>
      <c r="D26" s="164" t="s">
        <v>559</v>
      </c>
      <c r="E26" s="1463">
        <v>34</v>
      </c>
    </row>
    <row r="27" spans="1:5" x14ac:dyDescent="0.2">
      <c r="A27" s="163" t="s">
        <v>1836</v>
      </c>
      <c r="C27" s="157" t="s">
        <v>1158</v>
      </c>
      <c r="D27" s="164" t="s">
        <v>553</v>
      </c>
      <c r="E27" s="1463">
        <v>35</v>
      </c>
    </row>
    <row r="28" spans="1:5" x14ac:dyDescent="0.2">
      <c r="A28" s="163" t="s">
        <v>1838</v>
      </c>
      <c r="D28" s="164" t="s">
        <v>678</v>
      </c>
      <c r="E28" s="1463">
        <v>36</v>
      </c>
    </row>
    <row r="29" spans="1:5" x14ac:dyDescent="0.2">
      <c r="A29" s="163" t="s">
        <v>1839</v>
      </c>
      <c r="D29" s="164" t="s">
        <v>1375</v>
      </c>
      <c r="E29" s="1463">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3" t="s">
        <v>2058</v>
      </c>
    </row>
    <row r="33" spans="1:5" x14ac:dyDescent="0.2">
      <c r="A33" s="167"/>
      <c r="D33" s="164"/>
      <c r="E33" s="166"/>
    </row>
    <row r="34" spans="1:5" x14ac:dyDescent="0.2">
      <c r="A34" s="167"/>
      <c r="D34" s="164"/>
      <c r="E34" s="166"/>
    </row>
    <row r="35" spans="1:5" ht="15.75" customHeight="1" thickBot="1" x14ac:dyDescent="0.25">
      <c r="A35" s="2226" t="s">
        <v>1055</v>
      </c>
      <c r="B35" s="2226"/>
      <c r="C35" s="2226"/>
      <c r="D35" s="2226"/>
      <c r="E35" s="222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3" t="s">
        <v>685</v>
      </c>
      <c r="B40" s="2223"/>
      <c r="C40" s="2223"/>
      <c r="D40" s="2223"/>
      <c r="E40" s="2223"/>
    </row>
    <row r="41" spans="1:5" x14ac:dyDescent="0.2">
      <c r="A41" s="2224" t="s">
        <v>1588</v>
      </c>
      <c r="B41" s="2224"/>
      <c r="C41" s="2224"/>
      <c r="D41" s="2224"/>
      <c r="E41" s="2224"/>
    </row>
    <row r="42" spans="1:5" ht="12.75" customHeight="1" x14ac:dyDescent="0.2">
      <c r="A42" s="2225" t="s">
        <v>1014</v>
      </c>
      <c r="B42" s="2225"/>
      <c r="C42" s="2225"/>
      <c r="D42" s="2225"/>
      <c r="E42" s="2225"/>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9" t="s">
        <v>1747</v>
      </c>
    </row>
    <row r="60" spans="1:3" x14ac:dyDescent="0.2">
      <c r="A60" s="191"/>
      <c r="B60" s="1249"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1"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0"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33"/>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21"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33"/>
  </sheetPr>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546" t="s">
        <v>1662</v>
      </c>
      <c r="B18" s="2546"/>
    </row>
  </sheetData>
  <sheetProtection selectLockedCells="1"/>
  <mergeCells count="1">
    <mergeCell ref="A18:B18"/>
  </mergeCells>
  <phoneticPr fontId="21"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1</xdr:row>
                <xdr:rowOff>0</xdr:rowOff>
              </from>
              <to>
                <xdr:col>1</xdr:col>
                <xdr:colOff>790575</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5">
            <anchor moveWithCells="1">
              <from>
                <xdr:col>0</xdr:col>
                <xdr:colOff>95250</xdr:colOff>
                <xdr:row>5</xdr:row>
                <xdr:rowOff>104775</xdr:rowOff>
              </from>
              <to>
                <xdr:col>1</xdr:col>
                <xdr:colOff>885825</xdr:colOff>
                <xdr:row>9</xdr:row>
                <xdr:rowOff>142875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33"/>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47" t="s">
        <v>1666</v>
      </c>
      <c r="B1" s="2548"/>
      <c r="C1" s="2548"/>
      <c r="D1" s="2548"/>
      <c r="E1" s="2548"/>
      <c r="F1" s="2549"/>
    </row>
    <row r="2" spans="1:8" ht="45" customHeight="1" x14ac:dyDescent="0.2">
      <c r="A2" s="255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58"/>
      <c r="C2" s="2558"/>
      <c r="D2" s="2558"/>
      <c r="E2" s="2558"/>
      <c r="F2" s="2559"/>
      <c r="G2" s="846"/>
      <c r="H2" s="846"/>
    </row>
    <row r="3" spans="1:8" ht="57" customHeight="1" x14ac:dyDescent="0.2">
      <c r="A3" s="2560" t="s">
        <v>1966</v>
      </c>
      <c r="B3" s="2561"/>
      <c r="C3" s="2561"/>
      <c r="D3" s="2561"/>
      <c r="E3" s="2561"/>
      <c r="F3" s="2562"/>
      <c r="G3" s="846"/>
      <c r="H3" s="846"/>
    </row>
    <row r="4" spans="1:8" ht="14.25" customHeight="1" x14ac:dyDescent="0.2">
      <c r="A4" s="256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67"/>
      <c r="C4" s="2567"/>
      <c r="D4" s="2567"/>
      <c r="E4" s="2567"/>
      <c r="F4" s="2568"/>
      <c r="G4" s="846"/>
      <c r="H4" s="846"/>
    </row>
    <row r="5" spans="1:8" ht="14.25" customHeight="1" x14ac:dyDescent="0.2">
      <c r="A5" s="256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70"/>
      <c r="C5" s="2570"/>
      <c r="D5" s="2570"/>
      <c r="E5" s="2570"/>
      <c r="F5" s="2571"/>
      <c r="G5" s="846"/>
      <c r="H5" s="846"/>
    </row>
    <row r="6" spans="1:8" s="847" customFormat="1" ht="41.25" customHeight="1" x14ac:dyDescent="0.2">
      <c r="A6" s="2563" t="s">
        <v>1667</v>
      </c>
      <c r="B6" s="2564"/>
      <c r="C6" s="2564"/>
      <c r="D6" s="2564"/>
      <c r="E6" s="2564"/>
      <c r="F6" s="2565"/>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29914570</v>
      </c>
      <c r="C8" s="1802">
        <f>'Acct Summary 7-8'!D8</f>
        <v>3185993</v>
      </c>
      <c r="D8" s="1802">
        <f>'Acct Summary 7-8'!F8</f>
        <v>2645021</v>
      </c>
      <c r="E8" s="1802">
        <f>'Acct Summary 7-8'!I8</f>
        <v>155235</v>
      </c>
      <c r="F8" s="1802">
        <f>SUM(B8:E8)</f>
        <v>35900819</v>
      </c>
    </row>
    <row r="9" spans="1:8" s="851" customFormat="1" ht="14.25" customHeight="1" thickBot="1" x14ac:dyDescent="0.25">
      <c r="A9" s="850" t="s">
        <v>1351</v>
      </c>
      <c r="B9" s="1803">
        <f>'Acct Summary 7-8'!C17</f>
        <v>28213240</v>
      </c>
      <c r="C9" s="1803">
        <f>'Acct Summary 7-8'!D17</f>
        <v>3060755</v>
      </c>
      <c r="D9" s="1803">
        <f>'Acct Summary 7-8'!F17</f>
        <v>2222414</v>
      </c>
      <c r="E9" s="1802"/>
      <c r="F9" s="1802">
        <f>SUM(B9:E9)</f>
        <v>33496409</v>
      </c>
    </row>
    <row r="10" spans="1:8" s="851" customFormat="1" ht="14.25" thickTop="1" thickBot="1" x14ac:dyDescent="0.25">
      <c r="A10" s="852" t="s">
        <v>1352</v>
      </c>
      <c r="B10" s="1804">
        <f>(B8-B9)</f>
        <v>1701330</v>
      </c>
      <c r="C10" s="1804">
        <f>(C8-C9)</f>
        <v>125238</v>
      </c>
      <c r="D10" s="1804">
        <f>(D8-D9)</f>
        <v>422607</v>
      </c>
      <c r="E10" s="1803">
        <f>(E8-E9)</f>
        <v>155235</v>
      </c>
      <c r="F10" s="1805">
        <f>SUM(F8-F9)</f>
        <v>2404410</v>
      </c>
    </row>
    <row r="11" spans="1:8" s="851" customFormat="1" ht="14.25" thickTop="1" thickBot="1" x14ac:dyDescent="0.25">
      <c r="A11" s="853" t="s">
        <v>1897</v>
      </c>
      <c r="B11" s="1806">
        <f>'Acct Summary 7-8'!C81</f>
        <v>18260877</v>
      </c>
      <c r="C11" s="1806">
        <f>'Acct Summary 7-8'!D81</f>
        <v>3487962</v>
      </c>
      <c r="D11" s="1806">
        <f>'Acct Summary 7-8'!F81</f>
        <v>1325962</v>
      </c>
      <c r="E11" s="1806">
        <f>'Acct Summary 7-8'!I81</f>
        <v>283121</v>
      </c>
      <c r="F11" s="1807">
        <f>SUM(B11:E11)</f>
        <v>23357922</v>
      </c>
    </row>
    <row r="12" spans="1:8" ht="16.5" customHeight="1" thickTop="1" x14ac:dyDescent="0.2">
      <c r="A12" s="854"/>
      <c r="B12" s="855"/>
      <c r="C12" s="2551" t="str">
        <f>IF(AND(F10&lt;0,F11&gt;=0,ABS(F10*3)&gt;ABS(F11)),A16,IF(AND(F10&lt;0,F11&gt;0,ABS(F10*3)&lt;=ABS(F11)),A17,IF(AND(F10&lt;0,F11&lt;0),A16,IF(F11=0,A19,A18))))</f>
        <v>Balanced - no deficit reduction plan is required.</v>
      </c>
      <c r="D12" s="2552"/>
      <c r="E12" s="2552"/>
      <c r="F12" s="2553"/>
    </row>
    <row r="13" spans="1:8" ht="19.5" customHeight="1" x14ac:dyDescent="0.2">
      <c r="A13" s="856"/>
      <c r="B13" s="857"/>
      <c r="C13" s="2551"/>
      <c r="D13" s="2552"/>
      <c r="E13" s="2552"/>
      <c r="F13" s="2553"/>
      <c r="H13" s="846"/>
    </row>
    <row r="14" spans="1:8" ht="19.5" customHeight="1" x14ac:dyDescent="0.2">
      <c r="A14" s="856"/>
      <c r="B14" s="857"/>
      <c r="C14" s="2551"/>
      <c r="D14" s="2552"/>
      <c r="E14" s="2552"/>
      <c r="F14" s="2553"/>
      <c r="H14" s="846"/>
    </row>
    <row r="15" spans="1:8" ht="17.25" customHeight="1" x14ac:dyDescent="0.2">
      <c r="A15" s="856"/>
      <c r="B15" s="857"/>
      <c r="C15" s="2554"/>
      <c r="D15" s="2555"/>
      <c r="E15" s="2555"/>
      <c r="F15" s="2556"/>
      <c r="H15" s="846"/>
    </row>
    <row r="16" spans="1:8" s="288" customFormat="1" ht="51.75" hidden="1" customHeight="1" x14ac:dyDescent="0.2">
      <c r="A16" s="2550" t="s">
        <v>1663</v>
      </c>
      <c r="B16" s="2550"/>
      <c r="C16" s="2550"/>
      <c r="D16" s="2550"/>
      <c r="E16" s="2550"/>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99FF33"/>
    <pageSetUpPr fitToPage="1"/>
  </sheetPr>
  <dimension ref="A1:L84"/>
  <sheetViews>
    <sheetView showGridLines="0" defaultGridColor="0" colorId="8" zoomScale="110" zoomScaleNormal="110" workbookViewId="0">
      <selection activeCell="C9" sqref="C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72" t="s">
        <v>660</v>
      </c>
      <c r="B3" s="2573"/>
      <c r="C3" s="2573"/>
      <c r="D3" s="2574"/>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83" t="s">
        <v>1484</v>
      </c>
      <c r="D7" s="2584"/>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75" t="s">
        <v>1000</v>
      </c>
      <c r="B15" s="2576"/>
      <c r="C15" s="2576"/>
      <c r="D15" s="2577"/>
    </row>
    <row r="16" spans="1:4" s="542" customFormat="1" ht="24" customHeight="1" x14ac:dyDescent="0.2">
      <c r="A16" s="2578" t="s">
        <v>658</v>
      </c>
      <c r="B16" s="2579"/>
      <c r="C16" s="2579"/>
      <c r="D16" s="2580"/>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87" t="s">
        <v>311</v>
      </c>
      <c r="D21" s="2588"/>
    </row>
    <row r="22" spans="1:10" ht="12.75" x14ac:dyDescent="0.2">
      <c r="A22" s="911"/>
      <c r="B22" s="912">
        <v>2</v>
      </c>
      <c r="C22" s="2585" t="s">
        <v>1504</v>
      </c>
      <c r="D22" s="2586"/>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89" t="s">
        <v>533</v>
      </c>
      <c r="D43" s="2590"/>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81" t="s">
        <v>778</v>
      </c>
      <c r="D56" s="2582"/>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581" t="s">
        <v>1671</v>
      </c>
      <c r="D70" s="2582"/>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ht="22.5" x14ac:dyDescent="0.2">
      <c r="A82" s="870"/>
      <c r="B82" s="892">
        <v>15</v>
      </c>
      <c r="C82" s="902" t="s">
        <v>1878</v>
      </c>
      <c r="D82" s="1888"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21"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1961</v>
      </c>
      <c r="F1" s="1536" t="s">
        <v>1962</v>
      </c>
      <c r="G1" s="1887" t="s">
        <v>1972</v>
      </c>
    </row>
    <row r="2" spans="1:7" ht="15.75" x14ac:dyDescent="0.25">
      <c r="A2" t="s">
        <v>260</v>
      </c>
      <c r="B2" s="135">
        <f>COVER!A13</f>
        <v>34049034004</v>
      </c>
      <c r="E2" s="1535">
        <v>2020</v>
      </c>
      <c r="F2" s="1535">
        <v>1</v>
      </c>
      <c r="G2" s="1886">
        <v>101000300</v>
      </c>
    </row>
    <row r="3" spans="1:7" ht="15" x14ac:dyDescent="0.25">
      <c r="A3" t="s">
        <v>949</v>
      </c>
      <c r="B3" s="135" t="str">
        <f>COVER!A15</f>
        <v>LAKE</v>
      </c>
      <c r="E3" s="1819" t="s">
        <v>1965</v>
      </c>
      <c r="F3" s="1819" t="s">
        <v>1964</v>
      </c>
      <c r="G3" s="1886">
        <v>101000400</v>
      </c>
    </row>
    <row r="4" spans="1:7" ht="15" x14ac:dyDescent="0.25">
      <c r="A4" t="s">
        <v>999</v>
      </c>
      <c r="B4" s="135" t="str">
        <f>COVER!A17</f>
        <v xml:space="preserve">   Antioch CCSD 34</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Yes</v>
      </c>
      <c r="G12" s="1886">
        <v>202100600</v>
      </c>
    </row>
    <row r="13" spans="1:7" ht="15" x14ac:dyDescent="0.25">
      <c r="A13" s="1" t="s">
        <v>1524</v>
      </c>
      <c r="B13" s="135" t="str">
        <f>IF(COVER!J30="x","Yes",IF(COVER!L30="x","No",0))</f>
        <v>Yes</v>
      </c>
      <c r="G13" s="1886">
        <v>202100800</v>
      </c>
    </row>
    <row r="14" spans="1:7" ht="15" x14ac:dyDescent="0.25">
      <c r="A14" t="s">
        <v>473</v>
      </c>
      <c r="B14" s="135" t="str">
        <f>IF(COVER!J31="x","Yes",IF(COVER!L31="x","No",0))</f>
        <v>Yes</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Yes</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33239</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2410139</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18310</v>
      </c>
      <c r="D76" s="2" t="str">
        <f t="shared" si="0"/>
        <v>Error?</v>
      </c>
      <c r="G76" s="1886">
        <v>102570600</v>
      </c>
    </row>
    <row r="77" spans="1:7" ht="15" x14ac:dyDescent="0.25">
      <c r="A77" s="5">
        <v>16</v>
      </c>
      <c r="B77" s="1821">
        <f>'Assets-Liab 5-6'!C13</f>
        <v>18433279</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172402</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172402</v>
      </c>
      <c r="C91" s="2" t="s">
        <v>569</v>
      </c>
      <c r="D91" s="2" t="str">
        <f t="shared" si="0"/>
        <v>Error?</v>
      </c>
      <c r="G91" s="1886">
        <v>102640400</v>
      </c>
    </row>
    <row r="92" spans="1:7" ht="15" x14ac:dyDescent="0.25">
      <c r="A92" s="5">
        <v>31</v>
      </c>
      <c r="B92" s="1821">
        <f>'Assets-Liab 5-6'!C39</f>
        <v>18258716</v>
      </c>
      <c r="D92" s="2" t="str">
        <f t="shared" si="0"/>
        <v>Error?</v>
      </c>
      <c r="G92" s="1886">
        <v>102640600</v>
      </c>
    </row>
    <row r="93" spans="1:7" ht="15" x14ac:dyDescent="0.25">
      <c r="A93" s="5">
        <v>32</v>
      </c>
      <c r="B93" s="1821">
        <f>'Assets-Liab 5-6'!C41</f>
        <v>18433279</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486165</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3497994</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183</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10032</v>
      </c>
      <c r="C122" s="2" t="s">
        <v>569</v>
      </c>
      <c r="D122" s="2" t="str">
        <f t="shared" si="0"/>
        <v>Error?</v>
      </c>
      <c r="G122" s="1886">
        <v>203000300</v>
      </c>
    </row>
    <row r="123" spans="1:7" ht="15" x14ac:dyDescent="0.25">
      <c r="A123" s="5">
        <v>62</v>
      </c>
      <c r="B123" s="1821">
        <f>'Assets-Liab 5-6'!D39</f>
        <v>3487962</v>
      </c>
      <c r="D123" s="2" t="str">
        <f t="shared" si="0"/>
        <v>Error?</v>
      </c>
      <c r="G123" s="1886">
        <v>203000400</v>
      </c>
    </row>
    <row r="124" spans="1:7" ht="15" x14ac:dyDescent="0.25">
      <c r="A124" s="5">
        <v>63</v>
      </c>
      <c r="B124" s="1821">
        <f>'Assets-Liab 5-6'!D41</f>
        <v>3497994</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236038</v>
      </c>
      <c r="C139" s="2" t="s">
        <v>569</v>
      </c>
      <c r="D139" s="2" t="str">
        <f t="shared" si="1"/>
        <v>Error?</v>
      </c>
    </row>
    <row r="140" spans="1:7" x14ac:dyDescent="0.2">
      <c r="A140" s="5">
        <v>79</v>
      </c>
      <c r="B140" s="1821">
        <f>'Assets-Liab 5-6'!E39</f>
        <v>-236038</v>
      </c>
      <c r="D140" s="2" t="str">
        <f t="shared" si="1"/>
        <v>Error?</v>
      </c>
    </row>
    <row r="141" spans="1:7" x14ac:dyDescent="0.2">
      <c r="A141" s="5">
        <v>80</v>
      </c>
      <c r="B141" s="1821">
        <f>'Assets-Liab 5-6'!E41</f>
        <v>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227933</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1330577</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4615</v>
      </c>
      <c r="C169" s="2" t="s">
        <v>569</v>
      </c>
      <c r="D169" s="2" t="str">
        <f t="shared" si="1"/>
        <v>Error?</v>
      </c>
    </row>
    <row r="170" spans="1:4" x14ac:dyDescent="0.2">
      <c r="A170" s="5">
        <v>109</v>
      </c>
      <c r="B170" s="1821">
        <f>'Assets-Liab 5-6'!F39</f>
        <v>1325962</v>
      </c>
      <c r="D170" s="2" t="str">
        <f t="shared" si="1"/>
        <v>Error?</v>
      </c>
    </row>
    <row r="171" spans="1:4" x14ac:dyDescent="0.2">
      <c r="A171" s="5">
        <v>110</v>
      </c>
      <c r="B171" s="1821">
        <f>'Assets-Liab 5-6'!F41</f>
        <v>1330577</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257649</v>
      </c>
      <c r="D177" s="2" t="str">
        <f t="shared" si="1"/>
        <v>Error?</v>
      </c>
    </row>
    <row r="178" spans="1:4" x14ac:dyDescent="0.2">
      <c r="A178" s="10">
        <v>117</v>
      </c>
      <c r="B178" s="1821"/>
      <c r="D178" s="2" t="str">
        <f t="shared" si="1"/>
        <v>OK</v>
      </c>
    </row>
    <row r="179" spans="1:4" x14ac:dyDescent="0.2">
      <c r="A179" s="5">
        <v>118</v>
      </c>
      <c r="B179" s="1821">
        <f>'Assets-Liab 5-6'!G12</f>
        <v>13240</v>
      </c>
      <c r="D179" s="2" t="str">
        <f t="shared" si="1"/>
        <v>Error?</v>
      </c>
    </row>
    <row r="180" spans="1:4" x14ac:dyDescent="0.2">
      <c r="A180" s="5">
        <v>119</v>
      </c>
      <c r="B180" s="1821">
        <f>'Assets-Liab 5-6'!G13</f>
        <v>1747124</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1540501</v>
      </c>
      <c r="D189" s="2" t="str">
        <f t="shared" si="1"/>
        <v>Error?</v>
      </c>
    </row>
    <row r="190" spans="1:4" x14ac:dyDescent="0.2">
      <c r="A190" s="5">
        <v>129</v>
      </c>
      <c r="B190" s="1821">
        <f>'Assets-Liab 5-6'!G41</f>
        <v>1747124</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700735</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700735</v>
      </c>
      <c r="D212" s="2" t="str">
        <f t="shared" si="2"/>
        <v>Error?</v>
      </c>
    </row>
    <row r="213" spans="1:4" x14ac:dyDescent="0.2">
      <c r="A213" s="12">
        <v>152</v>
      </c>
      <c r="B213" s="1821">
        <f>'Assets-Liab 5-6'!H41</f>
        <v>700735</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3264362</v>
      </c>
      <c r="D273" s="2" t="str">
        <f t="shared" si="3"/>
        <v>Error?</v>
      </c>
    </row>
    <row r="274" spans="1:4" x14ac:dyDescent="0.2">
      <c r="A274" s="5">
        <v>213</v>
      </c>
      <c r="B274" s="1821">
        <f>'Assets-Liab 5-6'!M17</f>
        <v>30159178</v>
      </c>
      <c r="D274" s="2" t="str">
        <f t="shared" si="3"/>
        <v>Error?</v>
      </c>
    </row>
    <row r="275" spans="1:4" x14ac:dyDescent="0.2">
      <c r="A275" s="5">
        <v>214</v>
      </c>
      <c r="B275" s="1821">
        <f>'Assets-Liab 5-6'!M18</f>
        <v>4707781</v>
      </c>
      <c r="D275" s="2" t="str">
        <f t="shared" si="3"/>
        <v>Error?</v>
      </c>
    </row>
    <row r="276" spans="1:4" x14ac:dyDescent="0.2">
      <c r="A276" s="5">
        <v>215</v>
      </c>
      <c r="B276" s="1821">
        <f>'Assets-Liab 5-6'!M19</f>
        <v>7819069</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70938297</v>
      </c>
      <c r="C279" s="2" t="s">
        <v>569</v>
      </c>
      <c r="D279" s="2" t="str">
        <f t="shared" si="3"/>
        <v>Error?</v>
      </c>
    </row>
    <row r="280" spans="1:4" x14ac:dyDescent="0.2">
      <c r="A280" s="5">
        <v>219</v>
      </c>
      <c r="B280" s="1821">
        <f>'Assets-Liab 5-6'!M40</f>
        <v>70938297</v>
      </c>
      <c r="D280" s="2" t="str">
        <f t="shared" si="3"/>
        <v>Error?</v>
      </c>
    </row>
    <row r="281" spans="1:4" x14ac:dyDescent="0.2">
      <c r="A281" s="5">
        <v>220</v>
      </c>
      <c r="B281" s="1821">
        <f>'Assets-Liab 5-6'!M41</f>
        <v>70938297</v>
      </c>
      <c r="C281" s="2" t="s">
        <v>569</v>
      </c>
      <c r="D281" s="2" t="str">
        <f t="shared" si="3"/>
        <v>Error?</v>
      </c>
    </row>
    <row r="282" spans="1:4" x14ac:dyDescent="0.2">
      <c r="A282" s="5">
        <v>221</v>
      </c>
      <c r="B282" s="1821">
        <f>'Assets-Liab 5-6'!N21</f>
        <v>-236038</v>
      </c>
      <c r="D282" s="2" t="str">
        <f t="shared" si="3"/>
        <v>Error?</v>
      </c>
    </row>
    <row r="283" spans="1:4" x14ac:dyDescent="0.2">
      <c r="A283" s="5">
        <v>222</v>
      </c>
      <c r="B283" s="1821">
        <f>'Assets-Liab 5-6'!N22</f>
        <v>18056690</v>
      </c>
      <c r="D283" s="2" t="str">
        <f t="shared" si="3"/>
        <v>Error?</v>
      </c>
    </row>
    <row r="284" spans="1:4" x14ac:dyDescent="0.2">
      <c r="A284" s="5">
        <v>223</v>
      </c>
      <c r="B284" s="1821">
        <f>'Assets-Liab 5-6'!N23</f>
        <v>17820652</v>
      </c>
      <c r="C284" s="2" t="s">
        <v>569</v>
      </c>
      <c r="D284" s="2" t="str">
        <f t="shared" si="3"/>
        <v>Error?</v>
      </c>
    </row>
    <row r="285" spans="1:4" x14ac:dyDescent="0.2">
      <c r="A285" s="5">
        <v>224</v>
      </c>
      <c r="B285" s="1821">
        <f>'Assets-Liab 5-6'!N36</f>
        <v>17820652</v>
      </c>
      <c r="D285" s="2" t="str">
        <f t="shared" si="3"/>
        <v>Error?</v>
      </c>
    </row>
    <row r="286" spans="1:4" x14ac:dyDescent="0.2">
      <c r="A286" s="10">
        <v>225</v>
      </c>
      <c r="B286" s="1821"/>
      <c r="D286" s="2" t="str">
        <f t="shared" si="3"/>
        <v>OK</v>
      </c>
    </row>
    <row r="287" spans="1:4" x14ac:dyDescent="0.2">
      <c r="A287" s="5">
        <v>226</v>
      </c>
      <c r="B287" s="1821">
        <f>'Assets-Liab 5-6'!N37</f>
        <v>17820652</v>
      </c>
      <c r="C287" s="2" t="s">
        <v>569</v>
      </c>
      <c r="D287" s="2" t="str">
        <f t="shared" si="3"/>
        <v>Error?</v>
      </c>
    </row>
    <row r="288" spans="1:4" x14ac:dyDescent="0.2">
      <c r="A288" s="5">
        <v>227</v>
      </c>
      <c r="B288" s="1821">
        <f>'Assets-Liab 5-6'!N41</f>
        <v>17820652</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11342994</v>
      </c>
      <c r="D705" s="2" t="str">
        <f t="shared" si="10"/>
        <v>Error?</v>
      </c>
    </row>
    <row r="706" spans="1:4" x14ac:dyDescent="0.2">
      <c r="A706" s="5">
        <v>645</v>
      </c>
      <c r="B706" s="1821">
        <f>'Expenditures 15-22'!C16</f>
        <v>203851</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12167</v>
      </c>
      <c r="D718" s="2" t="str">
        <f t="shared" si="10"/>
        <v>Error?</v>
      </c>
    </row>
    <row r="719" spans="1:4" x14ac:dyDescent="0.2">
      <c r="A719" s="5">
        <v>658</v>
      </c>
      <c r="B719" s="1821">
        <f>'Expenditures 15-22'!C15</f>
        <v>26868</v>
      </c>
      <c r="D719" s="2" t="str">
        <f t="shared" si="10"/>
        <v>Error?</v>
      </c>
    </row>
    <row r="720" spans="1:4" x14ac:dyDescent="0.2">
      <c r="A720" s="5">
        <v>659</v>
      </c>
      <c r="B720" s="1821">
        <f>'Expenditures 15-22'!C33</f>
        <v>14690314</v>
      </c>
      <c r="C720" s="2" t="s">
        <v>569</v>
      </c>
      <c r="D720" s="2" t="str">
        <f t="shared" si="10"/>
        <v>Error?</v>
      </c>
    </row>
    <row r="721" spans="1:4" x14ac:dyDescent="0.2">
      <c r="A721" s="5">
        <v>660</v>
      </c>
      <c r="B721" s="1821">
        <f>'Expenditures 15-22'!C36</f>
        <v>471998</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493449</v>
      </c>
      <c r="D723" s="2" t="str">
        <f t="shared" si="10"/>
        <v>Error?</v>
      </c>
    </row>
    <row r="724" spans="1:4" x14ac:dyDescent="0.2">
      <c r="A724" s="5">
        <v>663</v>
      </c>
      <c r="B724" s="1821">
        <f>'Expenditures 15-22'!C39</f>
        <v>355333</v>
      </c>
      <c r="D724" s="2" t="str">
        <f t="shared" si="10"/>
        <v>Error?</v>
      </c>
    </row>
    <row r="725" spans="1:4" x14ac:dyDescent="0.2">
      <c r="A725" s="5">
        <v>664</v>
      </c>
      <c r="B725" s="1821">
        <f>'Expenditures 15-22'!C40</f>
        <v>492182</v>
      </c>
      <c r="D725" s="2" t="str">
        <f t="shared" si="10"/>
        <v>Error?</v>
      </c>
    </row>
    <row r="726" spans="1:4" x14ac:dyDescent="0.2">
      <c r="A726" s="5">
        <v>665</v>
      </c>
      <c r="B726" s="1821">
        <f>'Expenditures 15-22'!C41</f>
        <v>159</v>
      </c>
      <c r="D726" s="2" t="str">
        <f t="shared" si="10"/>
        <v>Error?</v>
      </c>
    </row>
    <row r="727" spans="1:4" x14ac:dyDescent="0.2">
      <c r="A727" s="5">
        <v>666</v>
      </c>
      <c r="B727" s="1821">
        <f>'Expenditures 15-22'!C42</f>
        <v>1813121</v>
      </c>
      <c r="C727" s="2" t="s">
        <v>569</v>
      </c>
      <c r="D727" s="2" t="str">
        <f t="shared" si="10"/>
        <v>Error?</v>
      </c>
    </row>
    <row r="728" spans="1:4" x14ac:dyDescent="0.2">
      <c r="A728" s="5">
        <v>667</v>
      </c>
      <c r="B728" s="1821">
        <f>'Expenditures 15-22'!C44</f>
        <v>111054</v>
      </c>
      <c r="D728" s="2" t="str">
        <f t="shared" si="10"/>
        <v>Error?</v>
      </c>
    </row>
    <row r="729" spans="1:4" x14ac:dyDescent="0.2">
      <c r="A729" s="5">
        <v>668</v>
      </c>
      <c r="B729" s="1821">
        <f>'Expenditures 15-22'!C45</f>
        <v>196073</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307127</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367364</v>
      </c>
      <c r="D733" s="2" t="str">
        <f t="shared" si="10"/>
        <v>Error?</v>
      </c>
    </row>
    <row r="734" spans="1:4" x14ac:dyDescent="0.2">
      <c r="A734" s="5">
        <v>673</v>
      </c>
      <c r="B734" s="1821">
        <f>'Expenditures 15-22'!C53</f>
        <v>788482</v>
      </c>
      <c r="C734" s="2" t="s">
        <v>569</v>
      </c>
      <c r="D734" s="2" t="str">
        <f t="shared" si="10"/>
        <v>Error?</v>
      </c>
    </row>
    <row r="735" spans="1:4" x14ac:dyDescent="0.2">
      <c r="A735" s="5">
        <v>674</v>
      </c>
      <c r="B735" s="1821">
        <f>'Expenditures 15-22'!C55</f>
        <v>1351604</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1351604</v>
      </c>
      <c r="C737" s="2" t="s">
        <v>569</v>
      </c>
      <c r="D737" s="2" t="str">
        <f t="shared" si="10"/>
        <v>Error?</v>
      </c>
    </row>
    <row r="738" spans="1:4" x14ac:dyDescent="0.2">
      <c r="A738" s="5">
        <v>677</v>
      </c>
      <c r="B738" s="1821">
        <f>'Expenditures 15-22'!C59</f>
        <v>71022</v>
      </c>
      <c r="D738" s="2" t="str">
        <f t="shared" si="10"/>
        <v>Error?</v>
      </c>
    </row>
    <row r="739" spans="1:4" x14ac:dyDescent="0.2">
      <c r="A739" s="5">
        <v>678</v>
      </c>
      <c r="B739" s="1821">
        <f>'Expenditures 15-22'!C60</f>
        <v>196613</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345610</v>
      </c>
      <c r="D742" s="2" t="str">
        <f t="shared" si="10"/>
        <v>Error?</v>
      </c>
    </row>
    <row r="743" spans="1:4" x14ac:dyDescent="0.2">
      <c r="A743" s="5">
        <v>682</v>
      </c>
      <c r="B743" s="1821">
        <f>'Expenditures 15-22'!C64</f>
        <v>18828</v>
      </c>
      <c r="D743" s="2" t="str">
        <f t="shared" si="10"/>
        <v>Error?</v>
      </c>
    </row>
    <row r="744" spans="1:4" x14ac:dyDescent="0.2">
      <c r="A744" s="10">
        <v>683</v>
      </c>
      <c r="B744" s="1821"/>
      <c r="D744" s="2" t="str">
        <f t="shared" si="10"/>
        <v>OK</v>
      </c>
    </row>
    <row r="745" spans="1:4" x14ac:dyDescent="0.2">
      <c r="A745" s="5">
        <v>684</v>
      </c>
      <c r="B745" s="1821">
        <f>'Expenditures 15-22'!C65</f>
        <v>632073</v>
      </c>
      <c r="C745" s="2" t="s">
        <v>569</v>
      </c>
      <c r="D745" s="2" t="str">
        <f t="shared" si="10"/>
        <v>Error?</v>
      </c>
    </row>
    <row r="746" spans="1:4" x14ac:dyDescent="0.2">
      <c r="A746" s="5">
        <v>685</v>
      </c>
      <c r="B746" s="1821">
        <f>'Expenditures 15-22'!C67</f>
        <v>134590</v>
      </c>
      <c r="D746" s="2" t="str">
        <f t="shared" si="10"/>
        <v>Error?</v>
      </c>
    </row>
    <row r="747" spans="1:4" x14ac:dyDescent="0.2">
      <c r="A747" s="5">
        <v>686</v>
      </c>
      <c r="B747" s="1821">
        <f>'Expenditures 15-22'!C68</f>
        <v>46561</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165659</v>
      </c>
      <c r="D749" s="2" t="str">
        <f t="shared" si="10"/>
        <v>Error?</v>
      </c>
    </row>
    <row r="750" spans="1:4" x14ac:dyDescent="0.2">
      <c r="A750" s="10">
        <v>689</v>
      </c>
      <c r="B750" s="1821"/>
      <c r="D750" s="2" t="str">
        <f t="shared" si="10"/>
        <v>OK</v>
      </c>
    </row>
    <row r="751" spans="1:4" x14ac:dyDescent="0.2">
      <c r="A751" s="5">
        <v>690</v>
      </c>
      <c r="B751" s="1821">
        <f>'Expenditures 15-22'!C71</f>
        <v>340554</v>
      </c>
      <c r="D751" s="2" t="str">
        <f t="shared" si="10"/>
        <v>Error?</v>
      </c>
    </row>
    <row r="752" spans="1:4" x14ac:dyDescent="0.2">
      <c r="A752" s="10">
        <v>691</v>
      </c>
      <c r="B752" s="1821"/>
      <c r="D752" s="2" t="str">
        <f t="shared" si="10"/>
        <v>OK</v>
      </c>
    </row>
    <row r="753" spans="1:4" x14ac:dyDescent="0.2">
      <c r="A753" s="5">
        <v>692</v>
      </c>
      <c r="B753" s="1821">
        <f>'Expenditures 15-22'!C72</f>
        <v>687364</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5579771</v>
      </c>
      <c r="C755" s="2" t="s">
        <v>569</v>
      </c>
      <c r="D755" s="2" t="str">
        <f t="shared" si="10"/>
        <v>Error?</v>
      </c>
    </row>
    <row r="756" spans="1:4" x14ac:dyDescent="0.2">
      <c r="A756" s="5">
        <v>695</v>
      </c>
      <c r="B756" s="1821">
        <f>'Expenditures 15-22'!C75</f>
        <v>74347</v>
      </c>
      <c r="D756" s="2" t="str">
        <f t="shared" si="10"/>
        <v>Error?</v>
      </c>
    </row>
    <row r="757" spans="1:4" x14ac:dyDescent="0.2">
      <c r="A757" s="5">
        <v>696</v>
      </c>
      <c r="B757" s="1821">
        <f>'Expenditures 15-22'!C114</f>
        <v>20344432</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1313279</v>
      </c>
      <c r="D763" s="2" t="str">
        <f t="shared" si="10"/>
        <v>Error?</v>
      </c>
    </row>
    <row r="764" spans="1:4" x14ac:dyDescent="0.2">
      <c r="A764" s="5">
        <v>703</v>
      </c>
      <c r="B764" s="1821">
        <f>'Expenditures 15-22'!D16</f>
        <v>17045</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1163</v>
      </c>
      <c r="D776" s="2" t="str">
        <f t="shared" si="11"/>
        <v>Error?</v>
      </c>
    </row>
    <row r="777" spans="1:4" x14ac:dyDescent="0.2">
      <c r="A777" s="5">
        <v>716</v>
      </c>
      <c r="B777" s="1821">
        <f>'Expenditures 15-22'!D15</f>
        <v>2620</v>
      </c>
      <c r="D777" s="2" t="str">
        <f t="shared" si="11"/>
        <v>Error?</v>
      </c>
    </row>
    <row r="778" spans="1:4" x14ac:dyDescent="0.2">
      <c r="A778" s="5">
        <v>717</v>
      </c>
      <c r="B778" s="1821">
        <f>'Expenditures 15-22'!D33</f>
        <v>1845023</v>
      </c>
      <c r="C778" s="2" t="s">
        <v>569</v>
      </c>
      <c r="D778" s="2" t="str">
        <f t="shared" si="11"/>
        <v>Error?</v>
      </c>
    </row>
    <row r="779" spans="1:4" x14ac:dyDescent="0.2">
      <c r="A779" s="5">
        <v>718</v>
      </c>
      <c r="B779" s="1821">
        <f>'Expenditures 15-22'!D36</f>
        <v>60840</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52005</v>
      </c>
      <c r="D781" s="2" t="str">
        <f t="shared" si="11"/>
        <v>Error?</v>
      </c>
    </row>
    <row r="782" spans="1:4" x14ac:dyDescent="0.2">
      <c r="A782" s="5">
        <v>721</v>
      </c>
      <c r="B782" s="1821">
        <f>'Expenditures 15-22'!D39</f>
        <v>40032</v>
      </c>
      <c r="D782" s="2" t="str">
        <f t="shared" si="11"/>
        <v>Error?</v>
      </c>
    </row>
    <row r="783" spans="1:4" x14ac:dyDescent="0.2">
      <c r="A783" s="5">
        <v>722</v>
      </c>
      <c r="B783" s="1821">
        <f>'Expenditures 15-22'!D40</f>
        <v>39117</v>
      </c>
      <c r="D783" s="2" t="str">
        <f t="shared" si="11"/>
        <v>Error?</v>
      </c>
    </row>
    <row r="784" spans="1:4" x14ac:dyDescent="0.2">
      <c r="A784" s="5">
        <v>723</v>
      </c>
      <c r="B784" s="1821">
        <f>'Expenditures 15-22'!D41</f>
        <v>1</v>
      </c>
      <c r="D784" s="2" t="str">
        <f t="shared" si="11"/>
        <v>Error?</v>
      </c>
    </row>
    <row r="785" spans="1:4" x14ac:dyDescent="0.2">
      <c r="A785" s="5">
        <v>724</v>
      </c>
      <c r="B785" s="1821">
        <f>'Expenditures 15-22'!D42</f>
        <v>191995</v>
      </c>
      <c r="C785" s="2" t="s">
        <v>569</v>
      </c>
      <c r="D785" s="2" t="str">
        <f t="shared" si="11"/>
        <v>Error?</v>
      </c>
    </row>
    <row r="786" spans="1:4" x14ac:dyDescent="0.2">
      <c r="A786" s="5">
        <v>725</v>
      </c>
      <c r="B786" s="1821">
        <f>'Expenditures 15-22'!D44</f>
        <v>23320</v>
      </c>
      <c r="D786" s="2" t="str">
        <f t="shared" si="11"/>
        <v>Error?</v>
      </c>
    </row>
    <row r="787" spans="1:4" x14ac:dyDescent="0.2">
      <c r="A787" s="5">
        <v>726</v>
      </c>
      <c r="B787" s="1821">
        <f>'Expenditures 15-22'!D45</f>
        <v>17343</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40663</v>
      </c>
      <c r="C789" s="2" t="s">
        <v>569</v>
      </c>
      <c r="D789" s="2" t="str">
        <f t="shared" si="11"/>
        <v>Error?</v>
      </c>
    </row>
    <row r="790" spans="1:4" x14ac:dyDescent="0.2">
      <c r="A790" s="5">
        <v>729</v>
      </c>
      <c r="B790" s="1821">
        <f>'Expenditures 15-22'!D49</f>
        <v>1056</v>
      </c>
      <c r="D790" s="2" t="str">
        <f t="shared" si="11"/>
        <v>Error?</v>
      </c>
    </row>
    <row r="791" spans="1:4" x14ac:dyDescent="0.2">
      <c r="A791" s="5">
        <v>730</v>
      </c>
      <c r="B791" s="1821">
        <f>'Expenditures 15-22'!D50</f>
        <v>36247</v>
      </c>
      <c r="D791" s="2" t="str">
        <f t="shared" si="11"/>
        <v>Error?</v>
      </c>
    </row>
    <row r="792" spans="1:4" x14ac:dyDescent="0.2">
      <c r="A792" s="5">
        <v>731</v>
      </c>
      <c r="B792" s="1821">
        <f>'Expenditures 15-22'!D53</f>
        <v>127481</v>
      </c>
      <c r="C792" s="2" t="s">
        <v>569</v>
      </c>
      <c r="D792" s="2" t="str">
        <f t="shared" si="11"/>
        <v>Error?</v>
      </c>
    </row>
    <row r="793" spans="1:4" x14ac:dyDescent="0.2">
      <c r="A793" s="5">
        <v>732</v>
      </c>
      <c r="B793" s="1821">
        <f>'Expenditures 15-22'!D55</f>
        <v>273869</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273869</v>
      </c>
      <c r="C795" s="2" t="s">
        <v>569</v>
      </c>
      <c r="D795" s="2" t="str">
        <f t="shared" si="11"/>
        <v>Error?</v>
      </c>
    </row>
    <row r="796" spans="1:4" x14ac:dyDescent="0.2">
      <c r="A796" s="5">
        <v>735</v>
      </c>
      <c r="B796" s="1821">
        <f>'Expenditures 15-22'!D59</f>
        <v>16525</v>
      </c>
      <c r="D796" s="2" t="str">
        <f t="shared" si="11"/>
        <v>Error?</v>
      </c>
    </row>
    <row r="797" spans="1:4" x14ac:dyDescent="0.2">
      <c r="A797" s="5">
        <v>736</v>
      </c>
      <c r="B797" s="1821">
        <f>'Expenditures 15-22'!D60</f>
        <v>24748</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10462</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51735</v>
      </c>
      <c r="C803" s="2" t="s">
        <v>569</v>
      </c>
      <c r="D803" s="2" t="str">
        <f t="shared" si="11"/>
        <v>Error?</v>
      </c>
    </row>
    <row r="804" spans="1:4" x14ac:dyDescent="0.2">
      <c r="A804" s="5">
        <v>743</v>
      </c>
      <c r="B804" s="1821">
        <f>'Expenditures 15-22'!D67</f>
        <v>34699</v>
      </c>
      <c r="D804" s="2" t="str">
        <f t="shared" si="11"/>
        <v>Error?</v>
      </c>
    </row>
    <row r="805" spans="1:4" x14ac:dyDescent="0.2">
      <c r="A805" s="5">
        <v>744</v>
      </c>
      <c r="B805" s="1821">
        <f>'Expenditures 15-22'!D68</f>
        <v>285</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23318</v>
      </c>
      <c r="D807" s="2" t="str">
        <f t="shared" si="11"/>
        <v>Error?</v>
      </c>
    </row>
    <row r="808" spans="1:4" x14ac:dyDescent="0.2">
      <c r="A808" s="10">
        <v>747</v>
      </c>
      <c r="B808" s="1821"/>
      <c r="D808" s="2" t="str">
        <f t="shared" si="11"/>
        <v>OK</v>
      </c>
    </row>
    <row r="809" spans="1:4" x14ac:dyDescent="0.2">
      <c r="A809" s="5">
        <v>748</v>
      </c>
      <c r="B809" s="1821">
        <f>'Expenditures 15-22'!D71</f>
        <v>43179</v>
      </c>
      <c r="D809" s="2" t="str">
        <f t="shared" si="11"/>
        <v>Error?</v>
      </c>
    </row>
    <row r="810" spans="1:4" x14ac:dyDescent="0.2">
      <c r="A810" s="10">
        <v>749</v>
      </c>
      <c r="B810" s="1821"/>
      <c r="D810" s="2" t="str">
        <f t="shared" si="11"/>
        <v>OK</v>
      </c>
    </row>
    <row r="811" spans="1:4" x14ac:dyDescent="0.2">
      <c r="A811" s="5">
        <v>750</v>
      </c>
      <c r="B811" s="1821">
        <f>'Expenditures 15-22'!D72</f>
        <v>101481</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787224</v>
      </c>
      <c r="C813" s="2" t="s">
        <v>569</v>
      </c>
      <c r="D813" s="2" t="str">
        <f t="shared" si="11"/>
        <v>Error?</v>
      </c>
    </row>
    <row r="814" spans="1:4" x14ac:dyDescent="0.2">
      <c r="A814" s="5">
        <v>753</v>
      </c>
      <c r="B814" s="1821">
        <f>'Expenditures 15-22'!D75</f>
        <v>128</v>
      </c>
      <c r="D814" s="2" t="str">
        <f t="shared" si="11"/>
        <v>Error?</v>
      </c>
    </row>
    <row r="815" spans="1:4" x14ac:dyDescent="0.2">
      <c r="A815" s="5">
        <v>754</v>
      </c>
      <c r="B815" s="1821">
        <f>'Expenditures 15-22'!D114</f>
        <v>2632375</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247567</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20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9326</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436969</v>
      </c>
      <c r="C836" s="2" t="s">
        <v>569</v>
      </c>
      <c r="D836" s="2" t="str">
        <f t="shared" si="12"/>
        <v>Error?</v>
      </c>
    </row>
    <row r="837" spans="1:4" x14ac:dyDescent="0.2">
      <c r="A837" s="5">
        <v>776</v>
      </c>
      <c r="B837" s="1821">
        <f>'Expenditures 15-22'!E36</f>
        <v>33184</v>
      </c>
      <c r="D837" s="2" t="str">
        <f t="shared" si="12"/>
        <v>Error?</v>
      </c>
    </row>
    <row r="838" spans="1:4" x14ac:dyDescent="0.2">
      <c r="A838" s="5">
        <v>777</v>
      </c>
      <c r="B838" s="1821">
        <f>'Expenditures 15-22'!E37</f>
        <v>2975</v>
      </c>
      <c r="D838" s="2" t="str">
        <f t="shared" si="12"/>
        <v>Error?</v>
      </c>
    </row>
    <row r="839" spans="1:4" x14ac:dyDescent="0.2">
      <c r="A839" s="5">
        <v>778</v>
      </c>
      <c r="B839" s="1821">
        <f>'Expenditures 15-22'!E38</f>
        <v>1301</v>
      </c>
      <c r="D839" s="2" t="str">
        <f t="shared" si="12"/>
        <v>Error?</v>
      </c>
    </row>
    <row r="840" spans="1:4" x14ac:dyDescent="0.2">
      <c r="A840" s="5">
        <v>779</v>
      </c>
      <c r="B840" s="1821">
        <f>'Expenditures 15-22'!E39</f>
        <v>105010</v>
      </c>
      <c r="D840" s="2" t="str">
        <f t="shared" si="12"/>
        <v>Error?</v>
      </c>
    </row>
    <row r="841" spans="1:4" x14ac:dyDescent="0.2">
      <c r="A841" s="5">
        <v>780</v>
      </c>
      <c r="B841" s="1821">
        <f>'Expenditures 15-22'!E40</f>
        <v>107802</v>
      </c>
      <c r="D841" s="2" t="str">
        <f t="shared" si="12"/>
        <v>Error?</v>
      </c>
    </row>
    <row r="842" spans="1:4" x14ac:dyDescent="0.2">
      <c r="A842" s="5">
        <v>781</v>
      </c>
      <c r="B842" s="1821">
        <f>'Expenditures 15-22'!E41</f>
        <v>400</v>
      </c>
      <c r="D842" s="2" t="str">
        <f t="shared" si="12"/>
        <v>Error?</v>
      </c>
    </row>
    <row r="843" spans="1:4" x14ac:dyDescent="0.2">
      <c r="A843" s="5">
        <v>782</v>
      </c>
      <c r="B843" s="1821">
        <f>'Expenditures 15-22'!E42</f>
        <v>250672</v>
      </c>
      <c r="C843" s="2" t="s">
        <v>569</v>
      </c>
      <c r="D843" s="2" t="str">
        <f t="shared" si="12"/>
        <v>Error?</v>
      </c>
    </row>
    <row r="844" spans="1:4" x14ac:dyDescent="0.2">
      <c r="A844" s="5">
        <v>783</v>
      </c>
      <c r="B844" s="1821">
        <f>'Expenditures 15-22'!E44</f>
        <v>283493</v>
      </c>
      <c r="D844" s="2" t="str">
        <f t="shared" si="12"/>
        <v>Error?</v>
      </c>
    </row>
    <row r="845" spans="1:4" x14ac:dyDescent="0.2">
      <c r="A845" s="5">
        <v>784</v>
      </c>
      <c r="B845" s="1821">
        <f>'Expenditures 15-22'!E45</f>
        <v>0</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283493</v>
      </c>
      <c r="C847" s="2" t="s">
        <v>569</v>
      </c>
      <c r="D847" s="2" t="str">
        <f t="shared" si="12"/>
        <v>Error?</v>
      </c>
    </row>
    <row r="848" spans="1:4" x14ac:dyDescent="0.2">
      <c r="A848" s="5">
        <v>787</v>
      </c>
      <c r="B848" s="1821">
        <f>'Expenditures 15-22'!E49</f>
        <v>408646</v>
      </c>
      <c r="D848" s="2" t="str">
        <f t="shared" si="12"/>
        <v>Error?</v>
      </c>
    </row>
    <row r="849" spans="1:4" x14ac:dyDescent="0.2">
      <c r="A849" s="5">
        <v>788</v>
      </c>
      <c r="B849" s="1821">
        <f>'Expenditures 15-22'!E50</f>
        <v>58592</v>
      </c>
      <c r="D849" s="2" t="str">
        <f t="shared" si="12"/>
        <v>Error?</v>
      </c>
    </row>
    <row r="850" spans="1:4" x14ac:dyDescent="0.2">
      <c r="A850" s="5">
        <v>789</v>
      </c>
      <c r="B850" s="1821">
        <f>'Expenditures 15-22'!E53</f>
        <v>467238</v>
      </c>
      <c r="C850" s="2" t="s">
        <v>569</v>
      </c>
      <c r="D850" s="2" t="str">
        <f t="shared" si="12"/>
        <v>Error?</v>
      </c>
    </row>
    <row r="851" spans="1:4" x14ac:dyDescent="0.2">
      <c r="A851" s="5">
        <v>790</v>
      </c>
      <c r="B851" s="1821">
        <f>'Expenditures 15-22'!E55</f>
        <v>0</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0</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34062</v>
      </c>
      <c r="D855" s="2" t="str">
        <f t="shared" si="12"/>
        <v>Error?</v>
      </c>
    </row>
    <row r="856" spans="1:4" x14ac:dyDescent="0.2">
      <c r="A856" s="5">
        <v>795</v>
      </c>
      <c r="B856" s="1821">
        <f>'Expenditures 15-22'!E61</f>
        <v>107391</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310</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141763</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629213</v>
      </c>
      <c r="D864" s="2" t="str">
        <f t="shared" si="12"/>
        <v>Error?</v>
      </c>
    </row>
    <row r="865" spans="1:4" x14ac:dyDescent="0.2">
      <c r="A865" s="5">
        <v>804</v>
      </c>
      <c r="B865" s="1821">
        <f>'Expenditures 15-22'!E70</f>
        <v>7430</v>
      </c>
      <c r="D865" s="2" t="str">
        <f t="shared" si="12"/>
        <v>Error?</v>
      </c>
    </row>
    <row r="866" spans="1:4" x14ac:dyDescent="0.2">
      <c r="A866" s="10">
        <v>805</v>
      </c>
      <c r="B866" s="1821"/>
      <c r="D866" s="2" t="str">
        <f t="shared" si="12"/>
        <v>OK</v>
      </c>
    </row>
    <row r="867" spans="1:4" x14ac:dyDescent="0.2">
      <c r="A867" s="5">
        <v>806</v>
      </c>
      <c r="B867" s="1821">
        <f>'Expenditures 15-22'!E71</f>
        <v>63324</v>
      </c>
      <c r="D867" s="2" t="str">
        <f t="shared" si="12"/>
        <v>Error?</v>
      </c>
    </row>
    <row r="868" spans="1:4" x14ac:dyDescent="0.2">
      <c r="A868" s="10">
        <v>807</v>
      </c>
      <c r="B868" s="1821"/>
      <c r="D868" s="2" t="str">
        <f t="shared" si="12"/>
        <v>OK</v>
      </c>
    </row>
    <row r="869" spans="1:4" x14ac:dyDescent="0.2">
      <c r="A869" s="5">
        <v>808</v>
      </c>
      <c r="B869" s="1821">
        <f>'Expenditures 15-22'!E72</f>
        <v>699967</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1843133</v>
      </c>
      <c r="C871" s="2" t="s">
        <v>569</v>
      </c>
      <c r="D871" s="2" t="str">
        <f t="shared" si="12"/>
        <v>Error?</v>
      </c>
    </row>
    <row r="872" spans="1:4" x14ac:dyDescent="0.2">
      <c r="A872" s="5">
        <v>811</v>
      </c>
      <c r="B872" s="1821">
        <f>'Expenditures 15-22'!E75</f>
        <v>13094</v>
      </c>
      <c r="D872" s="2" t="str">
        <f t="shared" si="12"/>
        <v>Error?</v>
      </c>
    </row>
    <row r="873" spans="1:4" x14ac:dyDescent="0.2">
      <c r="A873" s="5">
        <v>812</v>
      </c>
      <c r="B873" s="1821">
        <f>'Expenditures 15-22'!E114</f>
        <v>2336403</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519514</v>
      </c>
      <c r="D879" s="2" t="str">
        <f t="shared" si="12"/>
        <v>Error?</v>
      </c>
    </row>
    <row r="880" spans="1:4" x14ac:dyDescent="0.2">
      <c r="A880" s="5">
        <v>819</v>
      </c>
      <c r="B880" s="1821">
        <f>'Expenditures 15-22'!F16</f>
        <v>1540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803</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273</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634182</v>
      </c>
      <c r="C894" s="2" t="s">
        <v>569</v>
      </c>
      <c r="D894" s="2" t="str">
        <f t="shared" si="12"/>
        <v>Error?</v>
      </c>
    </row>
    <row r="895" spans="1:4" x14ac:dyDescent="0.2">
      <c r="A895" s="5">
        <v>834</v>
      </c>
      <c r="B895" s="1821">
        <f>'Expenditures 15-22'!F36</f>
        <v>1795</v>
      </c>
      <c r="D895" s="2" t="str">
        <f t="shared" ref="D895:D958" si="13">IF(ISBLANK(B895),"OK",IF(A895-B895=0,"OK","Error?"))</f>
        <v>Error?</v>
      </c>
    </row>
    <row r="896" spans="1:4" x14ac:dyDescent="0.2">
      <c r="A896" s="5">
        <v>835</v>
      </c>
      <c r="B896" s="1821">
        <f>'Expenditures 15-22'!F37</f>
        <v>2889</v>
      </c>
      <c r="D896" s="2" t="str">
        <f t="shared" si="13"/>
        <v>Error?</v>
      </c>
    </row>
    <row r="897" spans="1:4" x14ac:dyDescent="0.2">
      <c r="A897" s="5">
        <v>836</v>
      </c>
      <c r="B897" s="1821">
        <f>'Expenditures 15-22'!F38</f>
        <v>8814</v>
      </c>
      <c r="D897" s="2" t="str">
        <f t="shared" si="13"/>
        <v>Error?</v>
      </c>
    </row>
    <row r="898" spans="1:4" x14ac:dyDescent="0.2">
      <c r="A898" s="5">
        <v>837</v>
      </c>
      <c r="B898" s="1821">
        <f>'Expenditures 15-22'!F39</f>
        <v>215</v>
      </c>
      <c r="D898" s="2" t="str">
        <f t="shared" si="13"/>
        <v>Error?</v>
      </c>
    </row>
    <row r="899" spans="1:4" x14ac:dyDescent="0.2">
      <c r="A899" s="5">
        <v>838</v>
      </c>
      <c r="B899" s="1821">
        <f>'Expenditures 15-22'!F40</f>
        <v>1118</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14831</v>
      </c>
      <c r="C901" s="2" t="s">
        <v>569</v>
      </c>
      <c r="D901" s="2" t="str">
        <f t="shared" si="13"/>
        <v>Error?</v>
      </c>
    </row>
    <row r="902" spans="1:4" x14ac:dyDescent="0.2">
      <c r="A902" s="5">
        <v>841</v>
      </c>
      <c r="B902" s="1821">
        <f>'Expenditures 15-22'!F44</f>
        <v>8923</v>
      </c>
      <c r="D902" s="2" t="str">
        <f t="shared" si="13"/>
        <v>Error?</v>
      </c>
    </row>
    <row r="903" spans="1:4" x14ac:dyDescent="0.2">
      <c r="A903" s="5">
        <v>842</v>
      </c>
      <c r="B903" s="1821">
        <f>'Expenditures 15-22'!F45</f>
        <v>9805</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18728</v>
      </c>
      <c r="C905" s="2" t="s">
        <v>569</v>
      </c>
      <c r="D905" s="2" t="str">
        <f t="shared" si="13"/>
        <v>Error?</v>
      </c>
    </row>
    <row r="906" spans="1:4" x14ac:dyDescent="0.2">
      <c r="A906" s="5">
        <v>845</v>
      </c>
      <c r="B906" s="1821">
        <f>'Expenditures 15-22'!F49</f>
        <v>5126</v>
      </c>
      <c r="D906" s="2" t="str">
        <f t="shared" si="13"/>
        <v>Error?</v>
      </c>
    </row>
    <row r="907" spans="1:4" x14ac:dyDescent="0.2">
      <c r="A907" s="5">
        <v>846</v>
      </c>
      <c r="B907" s="1821">
        <f>'Expenditures 15-22'!F50</f>
        <v>9078</v>
      </c>
      <c r="D907" s="2" t="str">
        <f t="shared" si="13"/>
        <v>Error?</v>
      </c>
    </row>
    <row r="908" spans="1:4" x14ac:dyDescent="0.2">
      <c r="A908" s="5">
        <v>847</v>
      </c>
      <c r="B908" s="1821">
        <f>'Expenditures 15-22'!F53</f>
        <v>18399</v>
      </c>
      <c r="C908" s="2" t="s">
        <v>569</v>
      </c>
      <c r="D908" s="2" t="str">
        <f t="shared" si="13"/>
        <v>Error?</v>
      </c>
    </row>
    <row r="909" spans="1:4" x14ac:dyDescent="0.2">
      <c r="A909" s="5">
        <v>848</v>
      </c>
      <c r="B909" s="1821">
        <f>'Expenditures 15-22'!F55</f>
        <v>0</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0</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1611</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242284</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243895</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760</v>
      </c>
      <c r="D922" s="2" t="str">
        <f t="shared" si="13"/>
        <v>Error?</v>
      </c>
    </row>
    <row r="923" spans="1:4" x14ac:dyDescent="0.2">
      <c r="A923" s="5">
        <v>862</v>
      </c>
      <c r="B923" s="1821">
        <f>'Expenditures 15-22'!F70</f>
        <v>433</v>
      </c>
      <c r="D923" s="2" t="str">
        <f t="shared" si="13"/>
        <v>Error?</v>
      </c>
    </row>
    <row r="924" spans="1:4" x14ac:dyDescent="0.2">
      <c r="A924" s="10">
        <v>863</v>
      </c>
      <c r="B924" s="1821"/>
      <c r="D924" s="2" t="str">
        <f t="shared" si="13"/>
        <v>OK</v>
      </c>
    </row>
    <row r="925" spans="1:4" x14ac:dyDescent="0.2">
      <c r="A925" s="5">
        <v>864</v>
      </c>
      <c r="B925" s="1821">
        <f>'Expenditures 15-22'!F71</f>
        <v>37136</v>
      </c>
      <c r="D925" s="2" t="str">
        <f t="shared" si="13"/>
        <v>Error?</v>
      </c>
    </row>
    <row r="926" spans="1:4" x14ac:dyDescent="0.2">
      <c r="A926" s="10">
        <v>865</v>
      </c>
      <c r="B926" s="1821"/>
      <c r="D926" s="2" t="str">
        <f t="shared" si="13"/>
        <v>OK</v>
      </c>
    </row>
    <row r="927" spans="1:4" x14ac:dyDescent="0.2">
      <c r="A927" s="5">
        <v>866</v>
      </c>
      <c r="B927" s="1821">
        <f>'Expenditures 15-22'!F72</f>
        <v>38329</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334182</v>
      </c>
      <c r="C929" s="2" t="s">
        <v>569</v>
      </c>
      <c r="D929" s="2" t="str">
        <f t="shared" si="13"/>
        <v>Error?</v>
      </c>
    </row>
    <row r="930" spans="1:4" x14ac:dyDescent="0.2">
      <c r="A930" s="5">
        <v>869</v>
      </c>
      <c r="B930" s="1821">
        <f>'Expenditures 15-22'!F75</f>
        <v>3395</v>
      </c>
      <c r="D930" s="2" t="str">
        <f t="shared" si="13"/>
        <v>Error?</v>
      </c>
    </row>
    <row r="931" spans="1:4" x14ac:dyDescent="0.2">
      <c r="A931" s="5">
        <v>870</v>
      </c>
      <c r="B931" s="1821">
        <f>'Expenditures 15-22'!F114</f>
        <v>971759</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49849</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56849</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0</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56849</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4192</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739269</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8086</v>
      </c>
      <c r="D1022" s="2" t="str">
        <f t="shared" si="14"/>
        <v>Error?</v>
      </c>
    </row>
    <row r="1023" spans="1:4" x14ac:dyDescent="0.2">
      <c r="A1023" s="5">
        <v>962</v>
      </c>
      <c r="B1023" s="1821">
        <f>'Expenditures 15-22'!H50</f>
        <v>11964</v>
      </c>
      <c r="D1023" s="2" t="str">
        <f t="shared" ref="D1023:D1086" si="15">IF(ISBLANK(B1023),"OK",IF(A1023-B1023=0,"OK","Error?"))</f>
        <v>Error?</v>
      </c>
    </row>
    <row r="1024" spans="1:4" x14ac:dyDescent="0.2">
      <c r="A1024" s="5">
        <v>963</v>
      </c>
      <c r="B1024" s="1821">
        <f>'Expenditures 15-22'!H53</f>
        <v>20050</v>
      </c>
      <c r="C1024" s="2" t="s">
        <v>569</v>
      </c>
      <c r="D1024" s="2" t="str">
        <f t="shared" si="15"/>
        <v>Error?</v>
      </c>
    </row>
    <row r="1025" spans="1:4" x14ac:dyDescent="0.2">
      <c r="A1025" s="5">
        <v>964</v>
      </c>
      <c r="B1025" s="1821">
        <f>'Expenditures 15-22'!H55</f>
        <v>0</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0</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20050</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926915</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1686234</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1991</v>
      </c>
      <c r="E1056" s="4" t="s">
        <v>1990</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13632022</v>
      </c>
      <c r="C1093" s="2" t="s">
        <v>569</v>
      </c>
      <c r="D1093" s="2" t="str">
        <f t="shared" si="16"/>
        <v>Error?</v>
      </c>
    </row>
    <row r="1094" spans="1:4" x14ac:dyDescent="0.2">
      <c r="A1094" s="5">
        <v>1033</v>
      </c>
      <c r="B1094" s="1821">
        <f>'Expenditures 15-22'!K16</f>
        <v>222436</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823</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22929</v>
      </c>
      <c r="C1106" s="2" t="s">
        <v>569</v>
      </c>
      <c r="D1106" s="2" t="str">
        <f t="shared" si="16"/>
        <v>Error?</v>
      </c>
    </row>
    <row r="1107" spans="1:4" x14ac:dyDescent="0.2">
      <c r="A1107" s="5">
        <v>1046</v>
      </c>
      <c r="B1107" s="1821">
        <f>'Expenditures 15-22'!K15</f>
        <v>29488</v>
      </c>
      <c r="C1107" s="2" t="s">
        <v>569</v>
      </c>
      <c r="D1107" s="2" t="str">
        <f t="shared" si="16"/>
        <v>Error?</v>
      </c>
    </row>
    <row r="1108" spans="1:4" x14ac:dyDescent="0.2">
      <c r="A1108" s="5">
        <v>1047</v>
      </c>
      <c r="B1108" s="1821">
        <f>'Expenditures 15-22'!K33</f>
        <v>18574470</v>
      </c>
      <c r="C1108" s="2" t="s">
        <v>569</v>
      </c>
      <c r="D1108" s="2" t="str">
        <f t="shared" si="16"/>
        <v>Error?</v>
      </c>
    </row>
    <row r="1109" spans="1:4" x14ac:dyDescent="0.2">
      <c r="A1109" s="5">
        <v>1048</v>
      </c>
      <c r="B1109" s="1821">
        <f>'Expenditures 15-22'!K36</f>
        <v>567817</v>
      </c>
      <c r="C1109" s="2" t="s">
        <v>569</v>
      </c>
      <c r="D1109" s="2" t="str">
        <f t="shared" si="16"/>
        <v>Error?</v>
      </c>
    </row>
    <row r="1110" spans="1:4" x14ac:dyDescent="0.2">
      <c r="A1110" s="5">
        <v>1049</v>
      </c>
      <c r="B1110" s="1821">
        <f>'Expenditures 15-22'!K37</f>
        <v>5864</v>
      </c>
      <c r="C1110" s="2" t="s">
        <v>569</v>
      </c>
      <c r="D1110" s="2" t="str">
        <f t="shared" si="16"/>
        <v>Error?</v>
      </c>
    </row>
    <row r="1111" spans="1:4" x14ac:dyDescent="0.2">
      <c r="A1111" s="5">
        <v>1050</v>
      </c>
      <c r="B1111" s="1821">
        <f>'Expenditures 15-22'!K38</f>
        <v>555569</v>
      </c>
      <c r="C1111" s="2" t="s">
        <v>569</v>
      </c>
      <c r="D1111" s="2" t="str">
        <f t="shared" si="16"/>
        <v>Error?</v>
      </c>
    </row>
    <row r="1112" spans="1:4" x14ac:dyDescent="0.2">
      <c r="A1112" s="5">
        <v>1051</v>
      </c>
      <c r="B1112" s="1821">
        <f>'Expenditures 15-22'!K39</f>
        <v>500590</v>
      </c>
      <c r="C1112" s="2" t="s">
        <v>569</v>
      </c>
      <c r="D1112" s="2" t="str">
        <f t="shared" si="16"/>
        <v>Error?</v>
      </c>
    </row>
    <row r="1113" spans="1:4" x14ac:dyDescent="0.2">
      <c r="A1113" s="5">
        <v>1052</v>
      </c>
      <c r="B1113" s="1821">
        <f>'Expenditures 15-22'!K40</f>
        <v>640219</v>
      </c>
      <c r="C1113" s="2" t="s">
        <v>569</v>
      </c>
      <c r="D1113" s="2" t="str">
        <f t="shared" si="16"/>
        <v>Error?</v>
      </c>
    </row>
    <row r="1114" spans="1:4" x14ac:dyDescent="0.2">
      <c r="A1114" s="5">
        <v>1053</v>
      </c>
      <c r="B1114" s="1821">
        <f>'Expenditures 15-22'!K41</f>
        <v>560</v>
      </c>
      <c r="C1114" s="2" t="s">
        <v>569</v>
      </c>
      <c r="D1114" s="2" t="str">
        <f t="shared" si="16"/>
        <v>Error?</v>
      </c>
    </row>
    <row r="1115" spans="1:4" x14ac:dyDescent="0.2">
      <c r="A1115" s="5">
        <v>1054</v>
      </c>
      <c r="B1115" s="1821">
        <f>'Expenditures 15-22'!K42</f>
        <v>2270619</v>
      </c>
      <c r="C1115" s="2" t="s">
        <v>569</v>
      </c>
      <c r="D1115" s="2" t="str">
        <f t="shared" si="16"/>
        <v>Error?</v>
      </c>
    </row>
    <row r="1116" spans="1:4" x14ac:dyDescent="0.2">
      <c r="A1116" s="5">
        <v>1055</v>
      </c>
      <c r="B1116" s="1821">
        <f>'Expenditures 15-22'!K44</f>
        <v>426790</v>
      </c>
      <c r="C1116" s="2" t="s">
        <v>569</v>
      </c>
      <c r="D1116" s="2" t="str">
        <f t="shared" si="16"/>
        <v>Error?</v>
      </c>
    </row>
    <row r="1117" spans="1:4" x14ac:dyDescent="0.2">
      <c r="A1117" s="5">
        <v>1056</v>
      </c>
      <c r="B1117" s="1821">
        <f>'Expenditures 15-22'!K45</f>
        <v>223221</v>
      </c>
      <c r="C1117" s="2" t="s">
        <v>569</v>
      </c>
      <c r="D1117" s="2" t="str">
        <f t="shared" si="16"/>
        <v>Error?</v>
      </c>
    </row>
    <row r="1118" spans="1:4" x14ac:dyDescent="0.2">
      <c r="A1118" s="5">
        <v>1057</v>
      </c>
      <c r="B1118" s="1821">
        <f>'Expenditures 15-22'!K46</f>
        <v>0</v>
      </c>
      <c r="C1118" s="2" t="s">
        <v>569</v>
      </c>
      <c r="D1118" s="2" t="str">
        <f t="shared" si="16"/>
        <v>Error?</v>
      </c>
    </row>
    <row r="1119" spans="1:4" x14ac:dyDescent="0.2">
      <c r="A1119" s="5">
        <v>1058</v>
      </c>
      <c r="B1119" s="1821">
        <f>'Expenditures 15-22'!K47</f>
        <v>650011</v>
      </c>
      <c r="C1119" s="2" t="s">
        <v>569</v>
      </c>
      <c r="D1119" s="2" t="str">
        <f t="shared" si="16"/>
        <v>Error?</v>
      </c>
    </row>
    <row r="1120" spans="1:4" x14ac:dyDescent="0.2">
      <c r="A1120" s="5">
        <v>1059</v>
      </c>
      <c r="B1120" s="1821">
        <f>'Expenditures 15-22'!K49</f>
        <v>422914</v>
      </c>
      <c r="C1120" s="2" t="s">
        <v>569</v>
      </c>
      <c r="D1120" s="2" t="str">
        <f t="shared" si="16"/>
        <v>Error?</v>
      </c>
    </row>
    <row r="1121" spans="1:4" x14ac:dyDescent="0.2">
      <c r="A1121" s="5">
        <v>1060</v>
      </c>
      <c r="B1121" s="1821">
        <f>'Expenditures 15-22'!K50</f>
        <v>483245</v>
      </c>
      <c r="C1121" s="2" t="s">
        <v>569</v>
      </c>
      <c r="D1121" s="2" t="str">
        <f t="shared" si="16"/>
        <v>Error?</v>
      </c>
    </row>
    <row r="1122" spans="1:4" x14ac:dyDescent="0.2">
      <c r="A1122" s="5">
        <v>1061</v>
      </c>
      <c r="B1122" s="1821">
        <f>'Expenditures 15-22'!K53</f>
        <v>1421650</v>
      </c>
      <c r="C1122" s="2" t="s">
        <v>569</v>
      </c>
      <c r="D1122" s="2" t="str">
        <f t="shared" si="16"/>
        <v>Error?</v>
      </c>
    </row>
    <row r="1123" spans="1:4" x14ac:dyDescent="0.2">
      <c r="A1123" s="5">
        <v>1062</v>
      </c>
      <c r="B1123" s="1821">
        <f>'Expenditures 15-22'!K55</f>
        <v>1625473</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1625473</v>
      </c>
      <c r="C1125" s="2" t="s">
        <v>569</v>
      </c>
      <c r="D1125" s="2" t="str">
        <f t="shared" si="16"/>
        <v>Error?</v>
      </c>
    </row>
    <row r="1126" spans="1:4" x14ac:dyDescent="0.2">
      <c r="A1126" s="5">
        <v>1065</v>
      </c>
      <c r="B1126" s="1821">
        <f>'Expenditures 15-22'!K59</f>
        <v>87547</v>
      </c>
      <c r="C1126" s="2" t="s">
        <v>569</v>
      </c>
      <c r="D1126" s="2" t="str">
        <f t="shared" si="16"/>
        <v>Error?</v>
      </c>
    </row>
    <row r="1127" spans="1:4" x14ac:dyDescent="0.2">
      <c r="A1127" s="5">
        <v>1066</v>
      </c>
      <c r="B1127" s="1821">
        <f>'Expenditures 15-22'!K60</f>
        <v>257034</v>
      </c>
      <c r="C1127" s="2" t="s">
        <v>569</v>
      </c>
      <c r="D1127" s="2" t="str">
        <f t="shared" si="16"/>
        <v>Error?</v>
      </c>
    </row>
    <row r="1128" spans="1:4" x14ac:dyDescent="0.2">
      <c r="A1128" s="5">
        <v>1067</v>
      </c>
      <c r="B1128" s="1821">
        <f>'Expenditures 15-22'!K61</f>
        <v>107391</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611990</v>
      </c>
      <c r="C1130" s="2" t="s">
        <v>569</v>
      </c>
      <c r="D1130" s="2" t="str">
        <f t="shared" si="16"/>
        <v>Error?</v>
      </c>
    </row>
    <row r="1131" spans="1:4" x14ac:dyDescent="0.2">
      <c r="A1131" s="5">
        <v>1070</v>
      </c>
      <c r="B1131" s="1821">
        <f>'Expenditures 15-22'!K64</f>
        <v>18828</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1082790</v>
      </c>
      <c r="C1133" s="2" t="s">
        <v>569</v>
      </c>
      <c r="D1133" s="2" t="str">
        <f t="shared" si="16"/>
        <v>Error?</v>
      </c>
    </row>
    <row r="1134" spans="1:4" x14ac:dyDescent="0.2">
      <c r="A1134" s="5">
        <v>1073</v>
      </c>
      <c r="B1134" s="1821">
        <f>'Expenditures 15-22'!K67</f>
        <v>169289</v>
      </c>
      <c r="C1134" s="2" t="s">
        <v>569</v>
      </c>
      <c r="D1134" s="2" t="str">
        <f t="shared" si="16"/>
        <v>Error?</v>
      </c>
    </row>
    <row r="1135" spans="1:4" x14ac:dyDescent="0.2">
      <c r="A1135" s="5">
        <v>1074</v>
      </c>
      <c r="B1135" s="1821">
        <f>'Expenditures 15-22'!K68</f>
        <v>46846</v>
      </c>
      <c r="C1135" s="2" t="s">
        <v>569</v>
      </c>
      <c r="D1135" s="2" t="str">
        <f t="shared" si="16"/>
        <v>Error?</v>
      </c>
    </row>
    <row r="1136" spans="1:4" x14ac:dyDescent="0.2">
      <c r="A1136" s="5">
        <v>1075</v>
      </c>
      <c r="B1136" s="1821">
        <f>'Expenditures 15-22'!K69</f>
        <v>629973</v>
      </c>
      <c r="C1136" s="2" t="s">
        <v>569</v>
      </c>
      <c r="D1136" s="2" t="str">
        <f t="shared" si="16"/>
        <v>Error?</v>
      </c>
    </row>
    <row r="1137" spans="1:4" x14ac:dyDescent="0.2">
      <c r="A1137" s="5">
        <v>1076</v>
      </c>
      <c r="B1137" s="1821">
        <f>'Expenditures 15-22'!K70</f>
        <v>196840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484193</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1527141</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8577684</v>
      </c>
      <c r="C1143" s="2" t="s">
        <v>569</v>
      </c>
      <c r="D1143" s="2" t="str">
        <f t="shared" si="16"/>
        <v>Error?</v>
      </c>
    </row>
    <row r="1144" spans="1:4" x14ac:dyDescent="0.2">
      <c r="A1144" s="5">
        <v>1083</v>
      </c>
      <c r="B1144" s="1821">
        <f>'Expenditures 15-22'!K75</f>
        <v>90964</v>
      </c>
      <c r="C1144" s="2" t="s">
        <v>569</v>
      </c>
      <c r="D1144" s="2" t="str">
        <f t="shared" si="16"/>
        <v>Error?</v>
      </c>
    </row>
    <row r="1145" spans="1:4" x14ac:dyDescent="0.2">
      <c r="A1145" s="5">
        <v>1084</v>
      </c>
      <c r="B1145" s="1821">
        <f>'Expenditures 15-22'!K102</f>
        <v>970122</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28213240</v>
      </c>
      <c r="C1152" s="2" t="s">
        <v>569</v>
      </c>
      <c r="D1152" s="2" t="str">
        <f t="shared" si="17"/>
        <v>Error?</v>
      </c>
    </row>
    <row r="1153" spans="1:4" x14ac:dyDescent="0.2">
      <c r="A1153" s="5">
        <v>1092</v>
      </c>
      <c r="B1153" s="1821">
        <f>'Expenditures 15-22'!K115</f>
        <v>1701330</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1001935</v>
      </c>
      <c r="D1221" s="2" t="str">
        <f t="shared" si="18"/>
        <v>Error?</v>
      </c>
    </row>
    <row r="1222" spans="1:4" x14ac:dyDescent="0.2">
      <c r="A1222" s="10">
        <v>1161</v>
      </c>
      <c r="B1222" s="1821"/>
      <c r="D1222" s="2" t="str">
        <f t="shared" si="18"/>
        <v>OK</v>
      </c>
    </row>
    <row r="1223" spans="1:4" x14ac:dyDescent="0.2">
      <c r="A1223" s="5">
        <v>1162</v>
      </c>
      <c r="B1223" s="1821">
        <f>'Expenditures 15-22'!C127</f>
        <v>1001935</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1001935</v>
      </c>
      <c r="C1225" s="2" t="s">
        <v>569</v>
      </c>
      <c r="D1225" s="2" t="str">
        <f t="shared" si="18"/>
        <v>Error?</v>
      </c>
    </row>
    <row r="1226" spans="1:4" x14ac:dyDescent="0.2">
      <c r="A1226" s="5">
        <v>1165</v>
      </c>
      <c r="B1226" s="1821">
        <f>'Expenditures 15-22'!C151</f>
        <v>1001935</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137285</v>
      </c>
      <c r="D1229" s="2" t="str">
        <f t="shared" si="18"/>
        <v>Error?</v>
      </c>
    </row>
    <row r="1230" spans="1:4" x14ac:dyDescent="0.2">
      <c r="A1230" s="10">
        <v>1169</v>
      </c>
      <c r="B1230" s="1821"/>
      <c r="D1230" s="2" t="str">
        <f t="shared" si="18"/>
        <v>OK</v>
      </c>
    </row>
    <row r="1231" spans="1:4" x14ac:dyDescent="0.2">
      <c r="A1231" s="5">
        <v>1170</v>
      </c>
      <c r="B1231" s="1821">
        <f>'Expenditures 15-22'!D127</f>
        <v>137285</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137285</v>
      </c>
      <c r="C1233" s="2" t="s">
        <v>569</v>
      </c>
      <c r="D1233" s="2" t="str">
        <f t="shared" si="18"/>
        <v>Error?</v>
      </c>
    </row>
    <row r="1234" spans="1:4" x14ac:dyDescent="0.2">
      <c r="A1234" s="5">
        <v>1173</v>
      </c>
      <c r="B1234" s="1821">
        <f>'Expenditures 15-22'!D151</f>
        <v>137285</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163581</v>
      </c>
      <c r="D1236" s="2" t="str">
        <f t="shared" si="18"/>
        <v>Error?</v>
      </c>
    </row>
    <row r="1237" spans="1:4" x14ac:dyDescent="0.2">
      <c r="A1237" s="5">
        <v>1176</v>
      </c>
      <c r="B1237" s="1821">
        <f>'Expenditures 15-22'!E124</f>
        <v>406852</v>
      </c>
      <c r="D1237" s="2" t="str">
        <f t="shared" si="18"/>
        <v>Error?</v>
      </c>
    </row>
    <row r="1238" spans="1:4" x14ac:dyDescent="0.2">
      <c r="A1238" s="10">
        <v>1177</v>
      </c>
      <c r="B1238" s="1821"/>
      <c r="D1238" s="2" t="str">
        <f t="shared" si="18"/>
        <v>OK</v>
      </c>
    </row>
    <row r="1239" spans="1:4" x14ac:dyDescent="0.2">
      <c r="A1239" s="5">
        <v>1178</v>
      </c>
      <c r="B1239" s="1821">
        <f>'Expenditures 15-22'!E127</f>
        <v>570433</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570433</v>
      </c>
      <c r="C1241" s="2" t="s">
        <v>569</v>
      </c>
      <c r="D1241" s="2" t="str">
        <f t="shared" si="18"/>
        <v>Error?</v>
      </c>
    </row>
    <row r="1242" spans="1:4" x14ac:dyDescent="0.2">
      <c r="A1242" s="5">
        <v>1181</v>
      </c>
      <c r="B1242" s="1821">
        <f>'Expenditures 15-22'!E151</f>
        <v>622767</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636303</v>
      </c>
      <c r="D1245" s="2" t="str">
        <f t="shared" si="18"/>
        <v>Error?</v>
      </c>
    </row>
    <row r="1246" spans="1:4" x14ac:dyDescent="0.2">
      <c r="A1246" s="10">
        <v>1185</v>
      </c>
      <c r="B1246" s="1821"/>
      <c r="D1246" s="2" t="str">
        <f t="shared" si="18"/>
        <v>OK</v>
      </c>
    </row>
    <row r="1247" spans="1:4" x14ac:dyDescent="0.2">
      <c r="A1247" s="5">
        <v>1186</v>
      </c>
      <c r="B1247" s="1821">
        <f>'Expenditures 15-22'!F127</f>
        <v>636303</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636303</v>
      </c>
      <c r="C1249" s="2" t="s">
        <v>569</v>
      </c>
      <c r="D1249" s="2" t="str">
        <f t="shared" si="18"/>
        <v>Error?</v>
      </c>
    </row>
    <row r="1250" spans="1:4" x14ac:dyDescent="0.2">
      <c r="A1250" s="5">
        <v>1189</v>
      </c>
      <c r="B1250" s="1821">
        <f>'Expenditures 15-22'!F151</f>
        <v>636303</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571203</v>
      </c>
      <c r="D1252" s="2" t="str">
        <f t="shared" si="18"/>
        <v>Error?</v>
      </c>
    </row>
    <row r="1253" spans="1:4" x14ac:dyDescent="0.2">
      <c r="A1253" s="5">
        <v>1192</v>
      </c>
      <c r="B1253" s="1821">
        <f>'Expenditures 15-22'!G124</f>
        <v>50393</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621596</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621596</v>
      </c>
      <c r="C1258" s="2" t="s">
        <v>569</v>
      </c>
      <c r="D1258" s="2" t="str">
        <f t="shared" si="18"/>
        <v>Error?</v>
      </c>
    </row>
    <row r="1259" spans="1:4" x14ac:dyDescent="0.2">
      <c r="A1259" s="5">
        <v>1198</v>
      </c>
      <c r="B1259" s="1821">
        <f>'Expenditures 15-22'!G151</f>
        <v>621596</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976</v>
      </c>
      <c r="D1262" s="2" t="str">
        <f t="shared" si="18"/>
        <v>Error?</v>
      </c>
    </row>
    <row r="1263" spans="1:4" x14ac:dyDescent="0.2">
      <c r="A1263" s="10">
        <v>1202</v>
      </c>
      <c r="B1263" s="1821"/>
      <c r="D1263" s="2" t="str">
        <f t="shared" si="18"/>
        <v>OK</v>
      </c>
    </row>
    <row r="1264" spans="1:4" x14ac:dyDescent="0.2">
      <c r="A1264" s="5">
        <v>1203</v>
      </c>
      <c r="B1264" s="1821">
        <f>'Expenditures 15-22'!H127</f>
        <v>976</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976</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976</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743584</v>
      </c>
      <c r="C1275" s="2" t="s">
        <v>569</v>
      </c>
      <c r="D1275" s="2" t="str">
        <f t="shared" si="18"/>
        <v>Error?</v>
      </c>
    </row>
    <row r="1276" spans="1:4" x14ac:dyDescent="0.2">
      <c r="A1276" s="5">
        <v>1215</v>
      </c>
      <c r="B1276" s="1821">
        <f>'Expenditures 15-22'!K124</f>
        <v>2264837</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3008421</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3008421</v>
      </c>
      <c r="C1281" s="2" t="s">
        <v>569</v>
      </c>
      <c r="D1281" s="2" t="str">
        <f t="shared" si="19"/>
        <v>Error?</v>
      </c>
    </row>
    <row r="1282" spans="1:4" x14ac:dyDescent="0.2">
      <c r="A1282" s="5">
        <v>1221</v>
      </c>
      <c r="B1282" s="1821">
        <f>'Expenditures 15-22'!K139</f>
        <v>52334</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3060755</v>
      </c>
      <c r="C1288" s="2" t="s">
        <v>569</v>
      </c>
      <c r="D1288" s="2" t="str">
        <f t="shared" si="19"/>
        <v>Error?</v>
      </c>
    </row>
    <row r="1289" spans="1:4" x14ac:dyDescent="0.2">
      <c r="A1289" s="5">
        <v>1228</v>
      </c>
      <c r="B1289" s="1821">
        <f>'Expenditures 15-22'!K152</f>
        <v>125238</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1250</v>
      </c>
      <c r="D1307" s="2" t="str">
        <f t="shared" si="19"/>
        <v>Error?</v>
      </c>
    </row>
    <row r="1308" spans="1:4" x14ac:dyDescent="0.2">
      <c r="A1308" s="5">
        <v>1247</v>
      </c>
      <c r="B1308" s="1821">
        <f>'Expenditures 15-22'!E172</f>
        <v>1250</v>
      </c>
      <c r="C1308" s="2" t="s">
        <v>569</v>
      </c>
      <c r="D1308" s="2" t="str">
        <f t="shared" si="19"/>
        <v>Error?</v>
      </c>
    </row>
    <row r="1309" spans="1:4" x14ac:dyDescent="0.2">
      <c r="A1309" s="5">
        <v>1248</v>
      </c>
      <c r="B1309" s="1821">
        <f>'Expenditures 15-22'!E174</f>
        <v>1250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908113</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1185628</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2093741</v>
      </c>
      <c r="C1317" s="2" t="s">
        <v>569</v>
      </c>
      <c r="D1317" s="2" t="str">
        <f t="shared" si="19"/>
        <v>Error?</v>
      </c>
    </row>
    <row r="1318" spans="1:4" x14ac:dyDescent="0.2">
      <c r="A1318" s="5">
        <v>1257</v>
      </c>
      <c r="B1318" s="1821">
        <f>'Expenditures 15-22'!H174</f>
        <v>2093741</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908113</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1185628</v>
      </c>
      <c r="C1329" s="2" t="s">
        <v>569</v>
      </c>
      <c r="D1329" s="2" t="str">
        <f t="shared" si="19"/>
        <v>Error?</v>
      </c>
    </row>
    <row r="1330" spans="1:4" x14ac:dyDescent="0.2">
      <c r="A1330" s="5">
        <v>1269</v>
      </c>
      <c r="B1330" s="1821">
        <f>'Expenditures 15-22'!K171</f>
        <v>1250</v>
      </c>
      <c r="C1330" s="2" t="s">
        <v>569</v>
      </c>
      <c r="D1330" s="2" t="str">
        <f t="shared" si="19"/>
        <v>Error?</v>
      </c>
    </row>
    <row r="1331" spans="1:4" x14ac:dyDescent="0.2">
      <c r="A1331" s="5">
        <v>1270</v>
      </c>
      <c r="B1331" s="1821">
        <f>'Expenditures 15-22'!K172</f>
        <v>2094991</v>
      </c>
      <c r="C1331" s="2" t="s">
        <v>569</v>
      </c>
      <c r="D1331" s="2" t="str">
        <f t="shared" si="19"/>
        <v>Error?</v>
      </c>
    </row>
    <row r="1332" spans="1:4" x14ac:dyDescent="0.2">
      <c r="A1332" s="5">
        <v>1271</v>
      </c>
      <c r="B1332" s="1821">
        <f>'Expenditures 15-22'!K174</f>
        <v>2094991</v>
      </c>
      <c r="C1332" s="2" t="s">
        <v>569</v>
      </c>
      <c r="D1332" s="2" t="str">
        <f t="shared" si="19"/>
        <v>Error?</v>
      </c>
    </row>
    <row r="1333" spans="1:4" x14ac:dyDescent="0.2">
      <c r="A1333" s="5">
        <v>1272</v>
      </c>
      <c r="B1333" s="1821">
        <f>'Expenditures 15-22'!K175</f>
        <v>-751449</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980687</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980687</v>
      </c>
      <c r="C1339" s="2" t="s">
        <v>569</v>
      </c>
      <c r="D1339" s="2" t="str">
        <f t="shared" si="19"/>
        <v>Error?</v>
      </c>
    </row>
    <row r="1340" spans="1:4" x14ac:dyDescent="0.2">
      <c r="A1340" s="5">
        <v>1279</v>
      </c>
      <c r="B1340" s="1821">
        <f>'Expenditures 15-22'!C210</f>
        <v>980687</v>
      </c>
      <c r="C1340" s="2" t="s">
        <v>569</v>
      </c>
      <c r="D1340" s="2" t="str">
        <f t="shared" si="19"/>
        <v>Error?</v>
      </c>
    </row>
    <row r="1341" spans="1:4" x14ac:dyDescent="0.2">
      <c r="A1341" s="5">
        <v>1280</v>
      </c>
      <c r="B1341" s="1821">
        <f>'Expenditures 15-22'!D182</f>
        <v>49367</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49367</v>
      </c>
      <c r="C1345" s="2" t="s">
        <v>569</v>
      </c>
      <c r="D1345" s="2" t="str">
        <f t="shared" si="20"/>
        <v>Error?</v>
      </c>
    </row>
    <row r="1346" spans="1:4" x14ac:dyDescent="0.2">
      <c r="A1346" s="5">
        <v>1285</v>
      </c>
      <c r="B1346" s="1821">
        <f>'Expenditures 15-22'!D210</f>
        <v>49367</v>
      </c>
      <c r="C1346" s="2" t="s">
        <v>569</v>
      </c>
      <c r="D1346" s="2" t="str">
        <f t="shared" si="20"/>
        <v>Error?</v>
      </c>
    </row>
    <row r="1347" spans="1:4" x14ac:dyDescent="0.2">
      <c r="A1347" s="5">
        <v>1286</v>
      </c>
      <c r="B1347" s="1821">
        <f>'Expenditures 15-22'!E182</f>
        <v>761514</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761514</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761514</v>
      </c>
      <c r="C1353" s="2" t="s">
        <v>569</v>
      </c>
      <c r="D1353" s="2" t="str">
        <f t="shared" si="20"/>
        <v>Error?</v>
      </c>
    </row>
    <row r="1354" spans="1:4" x14ac:dyDescent="0.2">
      <c r="A1354" s="5">
        <v>1293</v>
      </c>
      <c r="B1354" s="1821">
        <f>'Expenditures 15-22'!F182</f>
        <v>138121</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138121</v>
      </c>
      <c r="C1358" s="2" t="s">
        <v>569</v>
      </c>
      <c r="D1358" s="2" t="str">
        <f t="shared" si="20"/>
        <v>Error?</v>
      </c>
    </row>
    <row r="1359" spans="1:4" x14ac:dyDescent="0.2">
      <c r="A1359" s="5">
        <v>1298</v>
      </c>
      <c r="B1359" s="1821">
        <f>'Expenditures 15-22'!F210</f>
        <v>138121</v>
      </c>
      <c r="C1359" s="2" t="s">
        <v>569</v>
      </c>
      <c r="D1359" s="2" t="str">
        <f t="shared" si="20"/>
        <v>Error?</v>
      </c>
    </row>
    <row r="1360" spans="1:4" x14ac:dyDescent="0.2">
      <c r="A1360" s="5">
        <v>1299</v>
      </c>
      <c r="B1360" s="1821">
        <f>'Expenditures 15-22'!G182</f>
        <v>292725</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292725</v>
      </c>
      <c r="C1364" s="2" t="s">
        <v>569</v>
      </c>
      <c r="D1364" s="2" t="str">
        <f t="shared" si="20"/>
        <v>Error?</v>
      </c>
    </row>
    <row r="1365" spans="1:4" x14ac:dyDescent="0.2">
      <c r="A1365" s="5">
        <v>1304</v>
      </c>
      <c r="B1365" s="1821">
        <f>'Expenditures 15-22'!G210</f>
        <v>292725</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2222414</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2222414</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2222414</v>
      </c>
      <c r="C1388" s="2" t="s">
        <v>569</v>
      </c>
      <c r="D1388" s="2" t="str">
        <f t="shared" si="20"/>
        <v>Error?</v>
      </c>
    </row>
    <row r="1389" spans="1:4" x14ac:dyDescent="0.2">
      <c r="A1389" s="5">
        <v>1328</v>
      </c>
      <c r="B1389" s="1821">
        <f>'Expenditures 15-22'!K211</f>
        <v>422607</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2946</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946</v>
      </c>
      <c r="D1408" s="2" t="str">
        <f t="shared" si="21"/>
        <v>Error?</v>
      </c>
    </row>
    <row r="1409" spans="1:4" x14ac:dyDescent="0.2">
      <c r="A1409" s="5">
        <v>1348</v>
      </c>
      <c r="B1409" s="1821">
        <f>'Expenditures 15-22'!D224</f>
        <v>1303</v>
      </c>
      <c r="D1409" s="2" t="str">
        <f t="shared" si="21"/>
        <v>Error?</v>
      </c>
    </row>
    <row r="1410" spans="1:4" x14ac:dyDescent="0.2">
      <c r="A1410" s="5">
        <v>1349</v>
      </c>
      <c r="B1410" s="1821">
        <f>'Expenditures 15-22'!D229</f>
        <v>421787</v>
      </c>
      <c r="C1410" s="2" t="s">
        <v>569</v>
      </c>
      <c r="D1410" s="2" t="str">
        <f t="shared" si="21"/>
        <v>Error?</v>
      </c>
    </row>
    <row r="1411" spans="1:4" x14ac:dyDescent="0.2">
      <c r="A1411" s="5">
        <v>1350</v>
      </c>
      <c r="B1411" s="1821">
        <f>'Expenditures 15-22'!D232</f>
        <v>6561</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76748</v>
      </c>
      <c r="D1413" s="2" t="str">
        <f t="shared" si="21"/>
        <v>Error?</v>
      </c>
    </row>
    <row r="1414" spans="1:4" x14ac:dyDescent="0.2">
      <c r="A1414" s="5">
        <v>1353</v>
      </c>
      <c r="B1414" s="1821">
        <f>'Expenditures 15-22'!D235</f>
        <v>5010</v>
      </c>
      <c r="D1414" s="2" t="str">
        <f t="shared" si="21"/>
        <v>Error?</v>
      </c>
    </row>
    <row r="1415" spans="1:4" x14ac:dyDescent="0.2">
      <c r="A1415" s="5">
        <v>1354</v>
      </c>
      <c r="B1415" s="1821">
        <f>'Expenditures 15-22'!D236</f>
        <v>6947</v>
      </c>
      <c r="D1415" s="2" t="str">
        <f t="shared" si="21"/>
        <v>Error?</v>
      </c>
    </row>
    <row r="1416" spans="1:4" x14ac:dyDescent="0.2">
      <c r="A1416" s="5">
        <v>1355</v>
      </c>
      <c r="B1416" s="1821">
        <f>'Expenditures 15-22'!D237</f>
        <v>27</v>
      </c>
      <c r="D1416" s="2" t="str">
        <f t="shared" si="21"/>
        <v>Error?</v>
      </c>
    </row>
    <row r="1417" spans="1:4" x14ac:dyDescent="0.2">
      <c r="A1417" s="5">
        <v>1356</v>
      </c>
      <c r="B1417" s="1821">
        <f>'Expenditures 15-22'!D238</f>
        <v>95293</v>
      </c>
      <c r="C1417" s="2" t="s">
        <v>569</v>
      </c>
      <c r="D1417" s="2" t="str">
        <f t="shared" si="21"/>
        <v>Error?</v>
      </c>
    </row>
    <row r="1418" spans="1:4" x14ac:dyDescent="0.2">
      <c r="A1418" s="5">
        <v>1357</v>
      </c>
      <c r="B1418" s="1821">
        <f>'Expenditures 15-22'!D240</f>
        <v>1680</v>
      </c>
      <c r="D1418" s="2" t="str">
        <f t="shared" si="21"/>
        <v>Error?</v>
      </c>
    </row>
    <row r="1419" spans="1:4" x14ac:dyDescent="0.2">
      <c r="A1419" s="5">
        <v>1358</v>
      </c>
      <c r="B1419" s="1821">
        <f>'Expenditures 15-22'!D241</f>
        <v>20295</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21975</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18670</v>
      </c>
      <c r="D1423" s="2" t="str">
        <f t="shared" si="21"/>
        <v>Error?</v>
      </c>
    </row>
    <row r="1424" spans="1:4" x14ac:dyDescent="0.2">
      <c r="A1424" s="5">
        <v>1363</v>
      </c>
      <c r="B1424" s="1821">
        <f>'Expenditures 15-22'!D257</f>
        <v>32881</v>
      </c>
      <c r="C1424" s="2" t="s">
        <v>569</v>
      </c>
      <c r="D1424" s="2" t="str">
        <f t="shared" si="21"/>
        <v>Error?</v>
      </c>
    </row>
    <row r="1425" spans="1:4" x14ac:dyDescent="0.2">
      <c r="A1425" s="5">
        <v>1364</v>
      </c>
      <c r="B1425" s="1821">
        <f>'Expenditures 15-22'!D259</f>
        <v>81920</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81920</v>
      </c>
      <c r="C1427" s="2" t="s">
        <v>569</v>
      </c>
      <c r="D1427" s="2" t="str">
        <f t="shared" si="21"/>
        <v>Error?</v>
      </c>
    </row>
    <row r="1428" spans="1:4" x14ac:dyDescent="0.2">
      <c r="A1428" s="5">
        <v>1367</v>
      </c>
      <c r="B1428" s="1821">
        <f>'Expenditures 15-22'!D263</f>
        <v>1010</v>
      </c>
      <c r="D1428" s="2" t="str">
        <f t="shared" si="21"/>
        <v>Error?</v>
      </c>
    </row>
    <row r="1429" spans="1:4" x14ac:dyDescent="0.2">
      <c r="A1429" s="5">
        <v>1368</v>
      </c>
      <c r="B1429" s="1821">
        <f>'Expenditures 15-22'!D264</f>
        <v>33602</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166756</v>
      </c>
      <c r="D1431" s="2" t="str">
        <f t="shared" si="21"/>
        <v>Error?</v>
      </c>
    </row>
    <row r="1432" spans="1:4" x14ac:dyDescent="0.2">
      <c r="A1432" s="5">
        <v>1371</v>
      </c>
      <c r="B1432" s="1821">
        <f>'Expenditures 15-22'!D267</f>
        <v>170131</v>
      </c>
      <c r="D1432" s="2" t="str">
        <f t="shared" si="21"/>
        <v>Error?</v>
      </c>
    </row>
    <row r="1433" spans="1:4" x14ac:dyDescent="0.2">
      <c r="A1433" s="5">
        <v>1372</v>
      </c>
      <c r="B1433" s="1821">
        <f>'Expenditures 15-22'!D268</f>
        <v>55194</v>
      </c>
      <c r="D1433" s="2" t="str">
        <f t="shared" si="21"/>
        <v>Error?</v>
      </c>
    </row>
    <row r="1434" spans="1:4" x14ac:dyDescent="0.2">
      <c r="A1434" s="5">
        <v>1373</v>
      </c>
      <c r="B1434" s="1821">
        <f>'Expenditures 15-22'!D269</f>
        <v>3342</v>
      </c>
      <c r="D1434" s="2" t="str">
        <f t="shared" si="21"/>
        <v>Error?</v>
      </c>
    </row>
    <row r="1435" spans="1:4" x14ac:dyDescent="0.2">
      <c r="A1435" s="10">
        <v>1374</v>
      </c>
      <c r="B1435" s="1821"/>
      <c r="D1435" s="2" t="str">
        <f t="shared" si="21"/>
        <v>OK</v>
      </c>
    </row>
    <row r="1436" spans="1:4" x14ac:dyDescent="0.2">
      <c r="A1436" s="5">
        <v>1375</v>
      </c>
      <c r="B1436" s="1821">
        <f>'Expenditures 15-22'!D270</f>
        <v>430035</v>
      </c>
      <c r="C1436" s="2" t="s">
        <v>569</v>
      </c>
      <c r="D1436" s="2" t="str">
        <f t="shared" si="21"/>
        <v>Error?</v>
      </c>
    </row>
    <row r="1437" spans="1:4" x14ac:dyDescent="0.2">
      <c r="A1437" s="5">
        <v>1376</v>
      </c>
      <c r="B1437" s="1821">
        <f>'Expenditures 15-22'!D272</f>
        <v>1760</v>
      </c>
      <c r="D1437" s="2" t="str">
        <f t="shared" si="21"/>
        <v>Error?</v>
      </c>
    </row>
    <row r="1438" spans="1:4" x14ac:dyDescent="0.2">
      <c r="A1438" s="5">
        <v>1377</v>
      </c>
      <c r="B1438" s="1821">
        <f>'Expenditures 15-22'!D273</f>
        <v>8294</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28954</v>
      </c>
      <c r="D1440" s="2" t="str">
        <f t="shared" si="21"/>
        <v>Error?</v>
      </c>
    </row>
    <row r="1441" spans="1:4" x14ac:dyDescent="0.2">
      <c r="A1441" s="10">
        <v>1380</v>
      </c>
      <c r="B1441" s="1821"/>
      <c r="D1441" s="2" t="str">
        <f t="shared" si="21"/>
        <v>OK</v>
      </c>
    </row>
    <row r="1442" spans="1:4" x14ac:dyDescent="0.2">
      <c r="A1442" s="5">
        <v>1381</v>
      </c>
      <c r="B1442" s="1821">
        <f>'Expenditures 15-22'!D276</f>
        <v>61185</v>
      </c>
      <c r="D1442" s="2" t="str">
        <f t="shared" si="21"/>
        <v>Error?</v>
      </c>
    </row>
    <row r="1443" spans="1:4" x14ac:dyDescent="0.2">
      <c r="A1443" s="10">
        <v>1382</v>
      </c>
      <c r="B1443" s="1821"/>
      <c r="D1443" s="2" t="str">
        <f t="shared" si="21"/>
        <v>OK</v>
      </c>
    </row>
    <row r="1444" spans="1:4" x14ac:dyDescent="0.2">
      <c r="A1444" s="5">
        <v>1383</v>
      </c>
      <c r="B1444" s="1821">
        <f>'Expenditures 15-22'!D277</f>
        <v>100193</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762297</v>
      </c>
      <c r="C1446" s="2" t="s">
        <v>569</v>
      </c>
      <c r="D1446" s="2" t="str">
        <f t="shared" si="21"/>
        <v>Error?</v>
      </c>
    </row>
    <row r="1447" spans="1:4" x14ac:dyDescent="0.2">
      <c r="A1447" s="5">
        <v>1386</v>
      </c>
      <c r="B1447" s="1821">
        <f>'Expenditures 15-22'!D280</f>
        <v>13271</v>
      </c>
      <c r="D1447" s="2" t="str">
        <f t="shared" si="21"/>
        <v>Error?</v>
      </c>
    </row>
    <row r="1448" spans="1:4" x14ac:dyDescent="0.2">
      <c r="A1448" s="5">
        <v>1387</v>
      </c>
      <c r="B1448" s="1821">
        <f>'Expenditures 15-22'!D295</f>
        <v>1232813</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2946</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946</v>
      </c>
      <c r="C1472" s="2" t="s">
        <v>569</v>
      </c>
      <c r="D1472" s="2" t="str">
        <f t="shared" si="22"/>
        <v>Error?</v>
      </c>
    </row>
    <row r="1473" spans="1:4" x14ac:dyDescent="0.2">
      <c r="A1473" s="5">
        <v>1412</v>
      </c>
      <c r="B1473" s="1821">
        <f>'Expenditures 15-22'!K224</f>
        <v>1303</v>
      </c>
      <c r="C1473" s="2" t="s">
        <v>569</v>
      </c>
      <c r="D1473" s="2" t="str">
        <f t="shared" si="22"/>
        <v>Error?</v>
      </c>
    </row>
    <row r="1474" spans="1:4" x14ac:dyDescent="0.2">
      <c r="A1474" s="5">
        <v>1413</v>
      </c>
      <c r="B1474" s="1821">
        <f>'Expenditures 15-22'!K229</f>
        <v>421787</v>
      </c>
      <c r="C1474" s="2" t="s">
        <v>569</v>
      </c>
      <c r="D1474" s="2" t="str">
        <f t="shared" si="22"/>
        <v>Error?</v>
      </c>
    </row>
    <row r="1475" spans="1:4" x14ac:dyDescent="0.2">
      <c r="A1475" s="5">
        <v>1414</v>
      </c>
      <c r="B1475" s="1821">
        <f>'Expenditures 15-22'!K232</f>
        <v>6561</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76748</v>
      </c>
      <c r="C1477" s="2" t="s">
        <v>569</v>
      </c>
      <c r="D1477" s="2" t="str">
        <f t="shared" si="22"/>
        <v>Error?</v>
      </c>
    </row>
    <row r="1478" spans="1:4" x14ac:dyDescent="0.2">
      <c r="A1478" s="5">
        <v>1417</v>
      </c>
      <c r="B1478" s="1821">
        <f>'Expenditures 15-22'!K235</f>
        <v>5010</v>
      </c>
      <c r="C1478" s="2" t="s">
        <v>569</v>
      </c>
      <c r="D1478" s="2" t="str">
        <f t="shared" si="22"/>
        <v>Error?</v>
      </c>
    </row>
    <row r="1479" spans="1:4" x14ac:dyDescent="0.2">
      <c r="A1479" s="5">
        <v>1418</v>
      </c>
      <c r="B1479" s="1821">
        <f>'Expenditures 15-22'!K236</f>
        <v>6947</v>
      </c>
      <c r="C1479" s="2" t="s">
        <v>569</v>
      </c>
      <c r="D1479" s="2" t="str">
        <f t="shared" si="22"/>
        <v>Error?</v>
      </c>
    </row>
    <row r="1480" spans="1:4" x14ac:dyDescent="0.2">
      <c r="A1480" s="5">
        <v>1419</v>
      </c>
      <c r="B1480" s="1821">
        <f>'Expenditures 15-22'!K237</f>
        <v>27</v>
      </c>
      <c r="C1480" s="2" t="s">
        <v>569</v>
      </c>
      <c r="D1480" s="2" t="str">
        <f t="shared" si="22"/>
        <v>Error?</v>
      </c>
    </row>
    <row r="1481" spans="1:4" x14ac:dyDescent="0.2">
      <c r="A1481" s="5">
        <v>1420</v>
      </c>
      <c r="B1481" s="1821">
        <f>'Expenditures 15-22'!K238</f>
        <v>95293</v>
      </c>
      <c r="C1481" s="2" t="s">
        <v>569</v>
      </c>
      <c r="D1481" s="2" t="str">
        <f t="shared" si="22"/>
        <v>Error?</v>
      </c>
    </row>
    <row r="1482" spans="1:4" x14ac:dyDescent="0.2">
      <c r="A1482" s="5">
        <v>1421</v>
      </c>
      <c r="B1482" s="1821">
        <f>'Expenditures 15-22'!K240</f>
        <v>1680</v>
      </c>
      <c r="C1482" s="2" t="s">
        <v>569</v>
      </c>
      <c r="D1482" s="2" t="str">
        <f t="shared" si="22"/>
        <v>Error?</v>
      </c>
    </row>
    <row r="1483" spans="1:4" x14ac:dyDescent="0.2">
      <c r="A1483" s="5">
        <v>1422</v>
      </c>
      <c r="B1483" s="1821">
        <f>'Expenditures 15-22'!K241</f>
        <v>20295</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21975</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18670</v>
      </c>
      <c r="C1487" s="2" t="s">
        <v>569</v>
      </c>
      <c r="D1487" s="2" t="str">
        <f t="shared" si="22"/>
        <v>Error?</v>
      </c>
    </row>
    <row r="1488" spans="1:4" x14ac:dyDescent="0.2">
      <c r="A1488" s="5">
        <v>1427</v>
      </c>
      <c r="B1488" s="1821">
        <f>'Expenditures 15-22'!K257</f>
        <v>32881</v>
      </c>
      <c r="C1488" s="2" t="s">
        <v>569</v>
      </c>
      <c r="D1488" s="2" t="str">
        <f t="shared" si="22"/>
        <v>Error?</v>
      </c>
    </row>
    <row r="1489" spans="1:4" x14ac:dyDescent="0.2">
      <c r="A1489" s="5">
        <v>1428</v>
      </c>
      <c r="B1489" s="1821">
        <f>'Expenditures 15-22'!K259</f>
        <v>81920</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81920</v>
      </c>
      <c r="C1491" s="2" t="s">
        <v>569</v>
      </c>
      <c r="D1491" s="2" t="str">
        <f t="shared" si="22"/>
        <v>Error?</v>
      </c>
    </row>
    <row r="1492" spans="1:4" x14ac:dyDescent="0.2">
      <c r="A1492" s="5">
        <v>1431</v>
      </c>
      <c r="B1492" s="1821">
        <f>'Expenditures 15-22'!K263</f>
        <v>1010</v>
      </c>
      <c r="C1492" s="2" t="s">
        <v>569</v>
      </c>
      <c r="D1492" s="2" t="str">
        <f t="shared" si="22"/>
        <v>Error?</v>
      </c>
    </row>
    <row r="1493" spans="1:4" x14ac:dyDescent="0.2">
      <c r="A1493" s="5">
        <v>1432</v>
      </c>
      <c r="B1493" s="1821">
        <f>'Expenditures 15-22'!K264</f>
        <v>33602</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166756</v>
      </c>
      <c r="C1495" s="2" t="s">
        <v>569</v>
      </c>
      <c r="D1495" s="2" t="str">
        <f t="shared" si="22"/>
        <v>Error?</v>
      </c>
    </row>
    <row r="1496" spans="1:4" x14ac:dyDescent="0.2">
      <c r="A1496" s="5">
        <v>1435</v>
      </c>
      <c r="B1496" s="1821">
        <f>'Expenditures 15-22'!K267</f>
        <v>170131</v>
      </c>
      <c r="C1496" s="2" t="s">
        <v>569</v>
      </c>
      <c r="D1496" s="2" t="str">
        <f t="shared" si="22"/>
        <v>Error?</v>
      </c>
    </row>
    <row r="1497" spans="1:4" x14ac:dyDescent="0.2">
      <c r="A1497" s="5">
        <v>1436</v>
      </c>
      <c r="B1497" s="1821">
        <f>'Expenditures 15-22'!K268</f>
        <v>55194</v>
      </c>
      <c r="C1497" s="2" t="s">
        <v>569</v>
      </c>
      <c r="D1497" s="2" t="str">
        <f t="shared" si="22"/>
        <v>Error?</v>
      </c>
    </row>
    <row r="1498" spans="1:4" x14ac:dyDescent="0.2">
      <c r="A1498" s="5">
        <v>1437</v>
      </c>
      <c r="B1498" s="1821">
        <f>'Expenditures 15-22'!K269</f>
        <v>3342</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430035</v>
      </c>
      <c r="C1500" s="2" t="s">
        <v>569</v>
      </c>
      <c r="D1500" s="2" t="str">
        <f t="shared" si="22"/>
        <v>Error?</v>
      </c>
    </row>
    <row r="1501" spans="1:4" x14ac:dyDescent="0.2">
      <c r="A1501" s="5">
        <v>1440</v>
      </c>
      <c r="B1501" s="1821">
        <f>'Expenditures 15-22'!K272</f>
        <v>1760</v>
      </c>
      <c r="C1501" s="2" t="s">
        <v>569</v>
      </c>
      <c r="D1501" s="2" t="str">
        <f t="shared" si="22"/>
        <v>Error?</v>
      </c>
    </row>
    <row r="1502" spans="1:4" x14ac:dyDescent="0.2">
      <c r="A1502" s="5">
        <v>1441</v>
      </c>
      <c r="B1502" s="1821">
        <f>'Expenditures 15-22'!K273</f>
        <v>8294</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28954</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61185</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100193</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762297</v>
      </c>
      <c r="C1510" s="2" t="s">
        <v>569</v>
      </c>
      <c r="D1510" s="2" t="str">
        <f t="shared" si="22"/>
        <v>Error?</v>
      </c>
    </row>
    <row r="1511" spans="1:4" x14ac:dyDescent="0.2">
      <c r="A1511" s="5">
        <v>1450</v>
      </c>
      <c r="B1511" s="1821">
        <f>'Expenditures 15-22'!K280</f>
        <v>13271</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1232813</v>
      </c>
      <c r="C1517" s="2" t="s">
        <v>569</v>
      </c>
      <c r="D1517" s="2" t="str">
        <f t="shared" si="22"/>
        <v>Error?</v>
      </c>
    </row>
    <row r="1518" spans="1:4" x14ac:dyDescent="0.2">
      <c r="A1518" s="5">
        <v>1457</v>
      </c>
      <c r="B1518" s="1821">
        <f>'Expenditures 15-22'!K296</f>
        <v>110600</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301232</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301232</v>
      </c>
      <c r="C1535" s="2" t="s">
        <v>569</v>
      </c>
      <c r="D1535" s="2" t="str">
        <f t="shared" ref="D1535:D1598" si="23">IF(ISBLANK(B1535),"OK",IF(A1535-B1535=0,"OK","Error?"))</f>
        <v>Error?</v>
      </c>
    </row>
    <row r="1536" spans="1:4" x14ac:dyDescent="0.2">
      <c r="A1536" s="5">
        <v>1475</v>
      </c>
      <c r="B1536" s="1821">
        <f>'Expenditures 15-22'!E312</f>
        <v>301232</v>
      </c>
      <c r="C1536" s="2" t="s">
        <v>569</v>
      </c>
      <c r="D1536" s="2" t="str">
        <f t="shared" si="23"/>
        <v>Error?</v>
      </c>
    </row>
    <row r="1537" spans="1:4" x14ac:dyDescent="0.2">
      <c r="A1537" s="5">
        <v>1476</v>
      </c>
      <c r="B1537" s="1821">
        <f>'Expenditures 15-22'!F301</f>
        <v>252105</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252105</v>
      </c>
      <c r="C1541" s="2" t="s">
        <v>569</v>
      </c>
      <c r="D1541" s="2" t="str">
        <f t="shared" si="23"/>
        <v>Error?</v>
      </c>
    </row>
    <row r="1542" spans="1:4" x14ac:dyDescent="0.2">
      <c r="A1542" s="5">
        <v>1481</v>
      </c>
      <c r="B1542" s="1821">
        <f>'Expenditures 15-22'!F312</f>
        <v>252105</v>
      </c>
      <c r="C1542" s="2" t="s">
        <v>569</v>
      </c>
      <c r="D1542" s="2" t="str">
        <f t="shared" si="23"/>
        <v>Error?</v>
      </c>
    </row>
    <row r="1543" spans="1:4" x14ac:dyDescent="0.2">
      <c r="A1543" s="5">
        <v>1482</v>
      </c>
      <c r="B1543" s="1821">
        <f>'Expenditures 15-22'!G301</f>
        <v>2884626</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2884626</v>
      </c>
      <c r="C1547" s="2" t="s">
        <v>569</v>
      </c>
      <c r="D1547" s="2" t="str">
        <f t="shared" si="23"/>
        <v>Error?</v>
      </c>
    </row>
    <row r="1548" spans="1:4" x14ac:dyDescent="0.2">
      <c r="A1548" s="5">
        <v>1487</v>
      </c>
      <c r="B1548" s="1821">
        <f>'Expenditures 15-22'!G312</f>
        <v>2884626</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3437963</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3437963</v>
      </c>
      <c r="C1559" s="2" t="s">
        <v>569</v>
      </c>
      <c r="D1559" s="2" t="str">
        <f t="shared" si="23"/>
        <v>Error?</v>
      </c>
    </row>
    <row r="1560" spans="1:4" x14ac:dyDescent="0.2">
      <c r="A1560" s="5">
        <v>1499</v>
      </c>
      <c r="B1560" s="1821">
        <f>'Expenditures 15-22'!K312</f>
        <v>3437963</v>
      </c>
      <c r="C1560" s="2" t="s">
        <v>569</v>
      </c>
      <c r="D1560" s="2" t="str">
        <f t="shared" si="23"/>
        <v>Error?</v>
      </c>
    </row>
    <row r="1561" spans="1:4" x14ac:dyDescent="0.2">
      <c r="A1561" s="5">
        <v>1500</v>
      </c>
      <c r="B1561" s="1821">
        <f>'Expenditures 15-22'!K313</f>
        <v>-3437961</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16923795</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18260877</v>
      </c>
      <c r="C1630" s="2" t="s">
        <v>569</v>
      </c>
      <c r="D1630" s="2" t="str">
        <f t="shared" si="24"/>
        <v>Error?</v>
      </c>
    </row>
    <row r="1631" spans="1:4" x14ac:dyDescent="0.2">
      <c r="A1631" s="5">
        <v>1570</v>
      </c>
      <c r="B1631" s="1821">
        <f>'Acct Summary 7-8'!D79</f>
        <v>3716043</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3487962</v>
      </c>
      <c r="C1644" s="2" t="s">
        <v>569</v>
      </c>
      <c r="D1644" s="2" t="str">
        <f t="shared" si="24"/>
        <v>Error?</v>
      </c>
    </row>
    <row r="1645" spans="1:4" x14ac:dyDescent="0.2">
      <c r="A1645" s="5">
        <v>1584</v>
      </c>
      <c r="B1645" s="1821">
        <f>'Acct Summary 7-8'!E79</f>
        <v>-229156</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-236038</v>
      </c>
      <c r="C1658" s="2" t="s">
        <v>569</v>
      </c>
      <c r="D1658" s="2" t="str">
        <f t="shared" si="24"/>
        <v>Error?</v>
      </c>
    </row>
    <row r="1659" spans="1:4" x14ac:dyDescent="0.2">
      <c r="A1659" s="5">
        <v>1598</v>
      </c>
      <c r="B1659" s="1821">
        <f>'Acct Summary 7-8'!F79</f>
        <v>903355</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1325962</v>
      </c>
      <c r="C1672" s="2" t="s">
        <v>569</v>
      </c>
      <c r="D1672" s="2" t="str">
        <f t="shared" si="25"/>
        <v>Error?</v>
      </c>
    </row>
    <row r="1673" spans="1:4" x14ac:dyDescent="0.2">
      <c r="A1673" s="5">
        <v>1612</v>
      </c>
      <c r="B1673" s="1821">
        <f>'Acct Summary 7-8'!G79</f>
        <v>1636524</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1747124</v>
      </c>
      <c r="C1686" s="2" t="s">
        <v>569</v>
      </c>
      <c r="D1686" s="2" t="str">
        <f t="shared" si="25"/>
        <v>Error?</v>
      </c>
    </row>
    <row r="1687" spans="1:4" x14ac:dyDescent="0.2">
      <c r="A1687" s="5">
        <v>1626</v>
      </c>
      <c r="B1687" s="1821">
        <f>'Acct Summary 7-8'!H79</f>
        <v>4138696</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700735</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19167617</v>
      </c>
      <c r="C1744" s="2" t="s">
        <v>569</v>
      </c>
      <c r="D1744" s="2" t="str">
        <f t="shared" si="26"/>
        <v>Error?</v>
      </c>
    </row>
    <row r="1745" spans="1:5" x14ac:dyDescent="0.2">
      <c r="A1745" s="5">
        <v>1684</v>
      </c>
      <c r="B1745" s="1821">
        <f>'Tax Sched 23'!B5</f>
        <v>2761162</v>
      </c>
      <c r="C1745" s="2" t="s">
        <v>569</v>
      </c>
      <c r="D1745" s="2" t="str">
        <f t="shared" si="26"/>
        <v>Error?</v>
      </c>
    </row>
    <row r="1746" spans="1:5" x14ac:dyDescent="0.2">
      <c r="A1746" s="5">
        <v>1685</v>
      </c>
      <c r="B1746" s="1821">
        <f>'Tax Sched 23'!B6</f>
        <v>1322475</v>
      </c>
      <c r="C1746" s="2" t="s">
        <v>569</v>
      </c>
      <c r="D1746" s="2" t="str">
        <f t="shared" si="26"/>
        <v>Error?</v>
      </c>
    </row>
    <row r="1747" spans="1:5" x14ac:dyDescent="0.2">
      <c r="A1747" s="5">
        <v>1686</v>
      </c>
      <c r="B1747" s="1821">
        <f>'Tax Sched 23'!B7</f>
        <v>1102939</v>
      </c>
      <c r="C1747" s="2" t="s">
        <v>569</v>
      </c>
      <c r="D1747" s="2" t="str">
        <f t="shared" si="26"/>
        <v>Error?</v>
      </c>
    </row>
    <row r="1748" spans="1:5" x14ac:dyDescent="0.2">
      <c r="A1748" s="5">
        <v>1687</v>
      </c>
      <c r="B1748" s="1821">
        <f>'Tax Sched 23'!B8</f>
        <v>656254</v>
      </c>
      <c r="C1748" s="2" t="s">
        <v>569</v>
      </c>
      <c r="D1748" s="2" t="str">
        <f t="shared" si="26"/>
        <v>Error?</v>
      </c>
    </row>
    <row r="1749" spans="1:5" x14ac:dyDescent="0.2">
      <c r="A1749" s="5">
        <v>1688</v>
      </c>
      <c r="B1749" s="1821">
        <f>'Tax Sched 23'!B10</f>
        <v>152822</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170260</v>
      </c>
      <c r="C1752" s="2" t="s">
        <v>569</v>
      </c>
      <c r="D1752" s="2" t="str">
        <f t="shared" si="26"/>
        <v>Error?</v>
      </c>
    </row>
    <row r="1753" spans="1:5" x14ac:dyDescent="0.2">
      <c r="A1753" s="5">
        <v>1692</v>
      </c>
      <c r="B1753" s="1821">
        <f>'Tax Sched 23'!B12</f>
        <v>32221</v>
      </c>
      <c r="C1753" s="2" t="s">
        <v>569</v>
      </c>
      <c r="D1753" s="2" t="str">
        <f t="shared" si="26"/>
        <v>Error?</v>
      </c>
    </row>
    <row r="1754" spans="1:5" x14ac:dyDescent="0.2">
      <c r="A1754" s="5">
        <v>1693</v>
      </c>
      <c r="B1754" s="1821">
        <f>'Tax Sched 23'!B14</f>
        <v>1394740</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27363966</v>
      </c>
      <c r="C1759" s="2" t="s">
        <v>569</v>
      </c>
      <c r="D1759" s="2" t="str">
        <f t="shared" si="26"/>
        <v>Error?</v>
      </c>
    </row>
    <row r="1760" spans="1:5" x14ac:dyDescent="0.2">
      <c r="A1760" s="5">
        <v>1699</v>
      </c>
      <c r="B1760" s="1821">
        <f>'Tax Sched 23'!D4</f>
        <v>9967710</v>
      </c>
      <c r="C1760" s="2" t="s">
        <v>569</v>
      </c>
      <c r="D1760" s="2" t="str">
        <f t="shared" si="26"/>
        <v>Error?</v>
      </c>
    </row>
    <row r="1761" spans="1:7" x14ac:dyDescent="0.2">
      <c r="A1761" s="5">
        <v>1700</v>
      </c>
      <c r="B1761" s="1821">
        <f>'Tax Sched 23'!D5</f>
        <v>1462224</v>
      </c>
      <c r="C1761" s="2" t="s">
        <v>569</v>
      </c>
      <c r="D1761" s="2" t="str">
        <f t="shared" si="26"/>
        <v>Error?</v>
      </c>
    </row>
    <row r="1762" spans="1:7" s="8" customFormat="1" x14ac:dyDescent="0.2">
      <c r="A1762" s="5">
        <v>1701</v>
      </c>
      <c r="B1762" s="1821">
        <f>'Tax Sched 23'!D6</f>
        <v>702623</v>
      </c>
      <c r="C1762" s="2" t="s">
        <v>569</v>
      </c>
      <c r="D1762" s="2" t="str">
        <f t="shared" si="26"/>
        <v>Error?</v>
      </c>
      <c r="E1762" s="9"/>
      <c r="G1762"/>
    </row>
    <row r="1763" spans="1:7" x14ac:dyDescent="0.2">
      <c r="A1763" s="5">
        <v>1702</v>
      </c>
      <c r="B1763" s="1821">
        <f>'Tax Sched 23'!D7</f>
        <v>583337</v>
      </c>
      <c r="C1763" s="2" t="s">
        <v>569</v>
      </c>
      <c r="D1763" s="2" t="str">
        <f t="shared" si="26"/>
        <v>Error?</v>
      </c>
    </row>
    <row r="1764" spans="1:7" x14ac:dyDescent="0.2">
      <c r="A1764" s="5">
        <v>1703</v>
      </c>
      <c r="B1764" s="1821">
        <f>'Tax Sched 23'!D8</f>
        <v>398612</v>
      </c>
      <c r="C1764" s="2" t="s">
        <v>569</v>
      </c>
      <c r="D1764" s="2" t="str">
        <f t="shared" si="26"/>
        <v>Error?</v>
      </c>
    </row>
    <row r="1765" spans="1:7" x14ac:dyDescent="0.2">
      <c r="A1765" s="5">
        <v>1704</v>
      </c>
      <c r="B1765" s="1821">
        <f>'Tax Sched 23'!D10</f>
        <v>80209</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90174</v>
      </c>
      <c r="C1768" s="2" t="s">
        <v>569</v>
      </c>
      <c r="D1768" s="2" t="str">
        <f t="shared" si="26"/>
        <v>Error?</v>
      </c>
    </row>
    <row r="1769" spans="1:7" x14ac:dyDescent="0.2">
      <c r="A1769" s="5">
        <v>1708</v>
      </c>
      <c r="B1769" s="1821">
        <f>'Tax Sched 23'!D12</f>
        <v>17064</v>
      </c>
      <c r="C1769" s="2" t="s">
        <v>569</v>
      </c>
      <c r="D1769" s="2" t="str">
        <f t="shared" si="26"/>
        <v>Error?</v>
      </c>
    </row>
    <row r="1770" spans="1:7" x14ac:dyDescent="0.2">
      <c r="A1770" s="5">
        <v>1709</v>
      </c>
      <c r="B1770" s="1821">
        <f>'Tax Sched 23'!D14</f>
        <v>729167</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14362303</v>
      </c>
      <c r="C1775" s="2" t="s">
        <v>569</v>
      </c>
      <c r="D1775" s="2" t="str">
        <f t="shared" si="26"/>
        <v>Error?</v>
      </c>
    </row>
    <row r="1776" spans="1:7" x14ac:dyDescent="0.2">
      <c r="A1776" s="5">
        <v>1715</v>
      </c>
      <c r="B1776" s="1821">
        <f>'Tax Sched 23'!C4</f>
        <v>9199907</v>
      </c>
      <c r="D1776" s="2" t="str">
        <f t="shared" si="26"/>
        <v>Error?</v>
      </c>
    </row>
    <row r="1777" spans="1:4" x14ac:dyDescent="0.2">
      <c r="A1777" s="5">
        <v>1716</v>
      </c>
      <c r="B1777" s="1821">
        <f>'Tax Sched 23'!C5</f>
        <v>1298938</v>
      </c>
      <c r="D1777" s="2" t="str">
        <f t="shared" si="26"/>
        <v>Error?</v>
      </c>
    </row>
    <row r="1778" spans="1:4" x14ac:dyDescent="0.2">
      <c r="A1778" s="5">
        <v>1717</v>
      </c>
      <c r="B1778" s="1821">
        <f>'Tax Sched 23'!C6</f>
        <v>619852</v>
      </c>
      <c r="D1778" s="2" t="str">
        <f t="shared" si="26"/>
        <v>Error?</v>
      </c>
    </row>
    <row r="1779" spans="1:4" x14ac:dyDescent="0.2">
      <c r="A1779" s="5">
        <v>1718</v>
      </c>
      <c r="B1779" s="1821">
        <f>'Tax Sched 23'!C7</f>
        <v>519602</v>
      </c>
      <c r="D1779" s="2" t="str">
        <f t="shared" si="26"/>
        <v>Error?</v>
      </c>
    </row>
    <row r="1780" spans="1:4" x14ac:dyDescent="0.2">
      <c r="A1780" s="5">
        <v>1719</v>
      </c>
      <c r="B1780" s="1821">
        <f>'Tax Sched 23'!C8</f>
        <v>257642</v>
      </c>
      <c r="D1780" s="2" t="str">
        <f t="shared" si="26"/>
        <v>Error?</v>
      </c>
    </row>
    <row r="1781" spans="1:4" x14ac:dyDescent="0.2">
      <c r="A1781" s="5">
        <v>1720</v>
      </c>
      <c r="B1781" s="1821">
        <f>'Tax Sched 23'!C10</f>
        <v>72613</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80086</v>
      </c>
      <c r="D1784" s="2" t="str">
        <f t="shared" si="26"/>
        <v>Error?</v>
      </c>
    </row>
    <row r="1785" spans="1:4" x14ac:dyDescent="0.2">
      <c r="A1785" s="5">
        <v>1724</v>
      </c>
      <c r="B1785" s="1821">
        <f>'Tax Sched 23'!C12</f>
        <v>15157</v>
      </c>
      <c r="D1785" s="2" t="str">
        <f t="shared" si="26"/>
        <v>Error?</v>
      </c>
    </row>
    <row r="1786" spans="1:4" x14ac:dyDescent="0.2">
      <c r="A1786" s="5">
        <v>1725</v>
      </c>
      <c r="B1786" s="1821">
        <f>'Tax Sched 23'!C14</f>
        <v>665573</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13001663</v>
      </c>
      <c r="C1791" s="2" t="s">
        <v>569</v>
      </c>
      <c r="D1791" s="2" t="str">
        <f t="shared" ref="D1791:D1854" si="27">IF(ISBLANK(B1791),"OK",IF(A1791-B1791=0,"OK","Error?"))</f>
        <v>Error?</v>
      </c>
    </row>
    <row r="1792" spans="1:4" x14ac:dyDescent="0.2">
      <c r="A1792" s="5">
        <v>1731</v>
      </c>
      <c r="B1792" s="1821">
        <f>'Tax Sched 23'!F4</f>
        <v>11722454</v>
      </c>
      <c r="C1792" s="2" t="s">
        <v>569</v>
      </c>
      <c r="D1792" s="2" t="str">
        <f t="shared" si="27"/>
        <v>Error?</v>
      </c>
    </row>
    <row r="1793" spans="1:4" x14ac:dyDescent="0.2">
      <c r="A1793" s="5">
        <v>1732</v>
      </c>
      <c r="B1793" s="1821">
        <f>'Tax Sched 23'!F5</f>
        <v>1655097</v>
      </c>
      <c r="C1793" s="2" t="s">
        <v>569</v>
      </c>
      <c r="D1793" s="2" t="str">
        <f t="shared" si="27"/>
        <v>Error?</v>
      </c>
    </row>
    <row r="1794" spans="1:4" x14ac:dyDescent="0.2">
      <c r="A1794" s="5">
        <v>1733</v>
      </c>
      <c r="B1794" s="1821">
        <f>'Tax Sched 23'!F6</f>
        <v>789811</v>
      </c>
      <c r="C1794" s="2" t="s">
        <v>569</v>
      </c>
      <c r="D1794" s="2" t="str">
        <f t="shared" si="27"/>
        <v>Error?</v>
      </c>
    </row>
    <row r="1795" spans="1:4" x14ac:dyDescent="0.2">
      <c r="A1795" s="5">
        <v>1734</v>
      </c>
      <c r="B1795" s="1821">
        <f>'Tax Sched 23'!F7</f>
        <v>662073</v>
      </c>
      <c r="C1795" s="2" t="s">
        <v>569</v>
      </c>
      <c r="D1795" s="2" t="str">
        <f t="shared" si="27"/>
        <v>Error?</v>
      </c>
    </row>
    <row r="1796" spans="1:4" x14ac:dyDescent="0.2">
      <c r="A1796" s="5">
        <v>1735</v>
      </c>
      <c r="B1796" s="1821">
        <f>'Tax Sched 23'!F8</f>
        <v>328286</v>
      </c>
      <c r="C1796" s="2" t="s">
        <v>569</v>
      </c>
      <c r="D1796" s="2" t="str">
        <f t="shared" si="27"/>
        <v>Error?</v>
      </c>
    </row>
    <row r="1797" spans="1:4" x14ac:dyDescent="0.2">
      <c r="A1797" s="5">
        <v>1736</v>
      </c>
      <c r="B1797" s="1821">
        <f>'Tax Sched 23'!F10</f>
        <v>92523</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102044</v>
      </c>
      <c r="C1800" s="2" t="s">
        <v>569</v>
      </c>
      <c r="D1800" s="2" t="str">
        <f t="shared" si="27"/>
        <v>Error?</v>
      </c>
    </row>
    <row r="1801" spans="1:4" x14ac:dyDescent="0.2">
      <c r="A1801" s="5">
        <v>1740</v>
      </c>
      <c r="B1801" s="1821">
        <f>'Tax Sched 23'!F12</f>
        <v>19313</v>
      </c>
      <c r="C1801" s="2" t="s">
        <v>569</v>
      </c>
      <c r="D1801" s="2" t="str">
        <f t="shared" si="27"/>
        <v>Error?</v>
      </c>
    </row>
    <row r="1802" spans="1:4" x14ac:dyDescent="0.2">
      <c r="A1802" s="5">
        <v>1741</v>
      </c>
      <c r="B1802" s="1821">
        <f>'Tax Sched 23'!F14</f>
        <v>848068</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16566624</v>
      </c>
      <c r="C1807" s="2" t="s">
        <v>569</v>
      </c>
      <c r="D1807" s="2" t="str">
        <f t="shared" si="27"/>
        <v>Error?</v>
      </c>
    </row>
    <row r="1808" spans="1:4" x14ac:dyDescent="0.2">
      <c r="A1808" s="5">
        <v>1747</v>
      </c>
      <c r="B1808" s="1821">
        <f>'Tax Sched 23'!E4</f>
        <v>20922361</v>
      </c>
      <c r="D1808" s="2" t="str">
        <f t="shared" si="27"/>
        <v>Error?</v>
      </c>
    </row>
    <row r="1809" spans="1:4" x14ac:dyDescent="0.2">
      <c r="A1809" s="5">
        <v>1748</v>
      </c>
      <c r="B1809" s="1821">
        <f>'Tax Sched 23'!E5</f>
        <v>2954035</v>
      </c>
      <c r="D1809" s="2" t="str">
        <f t="shared" si="27"/>
        <v>Error?</v>
      </c>
    </row>
    <row r="1810" spans="1:4" x14ac:dyDescent="0.2">
      <c r="A1810" s="5">
        <v>1749</v>
      </c>
      <c r="B1810" s="1821">
        <f>'Tax Sched 23'!E6</f>
        <v>1409663</v>
      </c>
      <c r="D1810" s="2" t="str">
        <f t="shared" si="27"/>
        <v>Error?</v>
      </c>
    </row>
    <row r="1811" spans="1:4" x14ac:dyDescent="0.2">
      <c r="A1811" s="5">
        <v>1750</v>
      </c>
      <c r="B1811" s="1821">
        <f>'Tax Sched 23'!E7</f>
        <v>1181675</v>
      </c>
      <c r="D1811" s="2" t="str">
        <f t="shared" si="27"/>
        <v>Error?</v>
      </c>
    </row>
    <row r="1812" spans="1:4" x14ac:dyDescent="0.2">
      <c r="A1812" s="5">
        <v>1751</v>
      </c>
      <c r="B1812" s="1821">
        <f>'Tax Sched 23'!E8</f>
        <v>585928</v>
      </c>
      <c r="D1812" s="2" t="str">
        <f t="shared" si="27"/>
        <v>Error?</v>
      </c>
    </row>
    <row r="1813" spans="1:4" x14ac:dyDescent="0.2">
      <c r="A1813" s="5">
        <v>1752</v>
      </c>
      <c r="B1813" s="1821">
        <f>'Tax Sched 23'!E10</f>
        <v>165136</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182130</v>
      </c>
      <c r="D1816" s="2" t="str">
        <f t="shared" si="27"/>
        <v>Error?</v>
      </c>
    </row>
    <row r="1817" spans="1:4" x14ac:dyDescent="0.2">
      <c r="A1817" s="5">
        <v>1756</v>
      </c>
      <c r="B1817" s="1821">
        <f>'Tax Sched 23'!E12</f>
        <v>34470</v>
      </c>
      <c r="D1817" s="2" t="str">
        <f t="shared" si="27"/>
        <v>Error?</v>
      </c>
    </row>
    <row r="1818" spans="1:4" x14ac:dyDescent="0.2">
      <c r="A1818" s="5">
        <v>1757</v>
      </c>
      <c r="B1818" s="1821">
        <f>'Tax Sched 23'!E14</f>
        <v>1513641</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29568287</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18500284</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1394740</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1394740</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1394740</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3264362</v>
      </c>
      <c r="D2008" s="2" t="str">
        <f t="shared" si="30"/>
        <v>Error?</v>
      </c>
    </row>
    <row r="2009" spans="1:4" x14ac:dyDescent="0.2">
      <c r="A2009" s="5">
        <v>1948</v>
      </c>
      <c r="B2009" s="1821">
        <f>'Cap Outlay Deprec 26'!C8</f>
        <v>30103249</v>
      </c>
      <c r="D2009" s="2" t="str">
        <f t="shared" si="30"/>
        <v>Error?</v>
      </c>
    </row>
    <row r="2010" spans="1:4" x14ac:dyDescent="0.2">
      <c r="A2010" s="5">
        <v>1949</v>
      </c>
      <c r="B2010" s="1821">
        <f>'Cap Outlay Deprec 26'!C10</f>
        <v>4447393</v>
      </c>
      <c r="D2010" s="2" t="str">
        <f t="shared" si="30"/>
        <v>Error?</v>
      </c>
    </row>
    <row r="2011" spans="1:4" x14ac:dyDescent="0.2">
      <c r="A2011" s="5">
        <v>1950</v>
      </c>
      <c r="B2011" s="1821">
        <f>'Cap Outlay Deprec 26'!C12</f>
        <v>4169604</v>
      </c>
      <c r="D2011" s="2" t="str">
        <f t="shared" si="30"/>
        <v>Error?</v>
      </c>
    </row>
    <row r="2012" spans="1:4" x14ac:dyDescent="0.2">
      <c r="A2012" s="5">
        <v>1951</v>
      </c>
      <c r="B2012" s="1821">
        <f>'Cap Outlay Deprec 26'!C13</f>
        <v>3275566</v>
      </c>
      <c r="D2012" s="2" t="str">
        <f t="shared" si="30"/>
        <v>Error?</v>
      </c>
    </row>
    <row r="2013" spans="1:4" x14ac:dyDescent="0.2">
      <c r="A2013" s="5">
        <v>1952</v>
      </c>
      <c r="B2013" s="1821">
        <f>'Cap Outlay Deprec 26'!C16</f>
        <v>67363455</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217429</v>
      </c>
      <c r="D2015" s="2" t="str">
        <f t="shared" si="30"/>
        <v>Error?</v>
      </c>
    </row>
    <row r="2016" spans="1:4" x14ac:dyDescent="0.2">
      <c r="A2016" s="5">
        <v>1955</v>
      </c>
      <c r="B2016" s="1821">
        <f>'Cap Outlay Deprec 26'!D10</f>
        <v>260388</v>
      </c>
      <c r="D2016" s="2" t="str">
        <f t="shared" si="30"/>
        <v>Error?</v>
      </c>
    </row>
    <row r="2017" spans="1:4" x14ac:dyDescent="0.2">
      <c r="A2017" s="5">
        <v>1956</v>
      </c>
      <c r="B2017" s="1821">
        <f>'Cap Outlay Deprec 26'!D12</f>
        <v>1319120</v>
      </c>
      <c r="D2017" s="2" t="str">
        <f t="shared" si="30"/>
        <v>Error?</v>
      </c>
    </row>
    <row r="2018" spans="1:4" x14ac:dyDescent="0.2">
      <c r="A2018" s="5">
        <v>1957</v>
      </c>
      <c r="B2018" s="1821">
        <f>'Cap Outlay Deprec 26'!D13</f>
        <v>314068</v>
      </c>
      <c r="D2018" s="2" t="str">
        <f t="shared" si="30"/>
        <v>Error?</v>
      </c>
    </row>
    <row r="2019" spans="1:4" x14ac:dyDescent="0.2">
      <c r="A2019" s="5">
        <v>1958</v>
      </c>
      <c r="B2019" s="1821">
        <f>'Cap Outlay Deprec 26'!D16</f>
        <v>4995631</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161500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1140589</v>
      </c>
      <c r="D2023" s="2" t="str">
        <f t="shared" si="30"/>
        <v>Error?</v>
      </c>
    </row>
    <row r="2024" spans="1:4" x14ac:dyDescent="0.2">
      <c r="A2024" s="5">
        <v>1963</v>
      </c>
      <c r="B2024" s="1821">
        <f>'Cap Outlay Deprec 26'!E13</f>
        <v>118700</v>
      </c>
      <c r="D2024" s="2" t="str">
        <f t="shared" si="30"/>
        <v>Error?</v>
      </c>
    </row>
    <row r="2025" spans="1:4" x14ac:dyDescent="0.2">
      <c r="A2025" s="5">
        <v>1964</v>
      </c>
      <c r="B2025" s="1821">
        <f>'Cap Outlay Deprec 26'!E16</f>
        <v>1420789</v>
      </c>
      <c r="C2025" s="2" t="s">
        <v>569</v>
      </c>
      <c r="D2025" s="2" t="str">
        <f t="shared" si="30"/>
        <v>Error?</v>
      </c>
    </row>
    <row r="2026" spans="1:4" x14ac:dyDescent="0.2">
      <c r="A2026" s="5">
        <v>1965</v>
      </c>
      <c r="B2026" s="1821">
        <f>'Cap Outlay Deprec 26'!F5</f>
        <v>3264362</v>
      </c>
      <c r="C2026" s="2" t="s">
        <v>569</v>
      </c>
      <c r="D2026" s="2" t="str">
        <f t="shared" si="30"/>
        <v>Error?</v>
      </c>
    </row>
    <row r="2027" spans="1:4" x14ac:dyDescent="0.2">
      <c r="A2027" s="5">
        <v>1966</v>
      </c>
      <c r="B2027" s="1821">
        <f>'Cap Outlay Deprec 26'!F8</f>
        <v>30159178</v>
      </c>
      <c r="C2027" s="2" t="s">
        <v>569</v>
      </c>
      <c r="D2027" s="2" t="str">
        <f t="shared" si="30"/>
        <v>Error?</v>
      </c>
    </row>
    <row r="2028" spans="1:4" x14ac:dyDescent="0.2">
      <c r="A2028" s="5">
        <v>1967</v>
      </c>
      <c r="B2028" s="1821">
        <f>'Cap Outlay Deprec 26'!F10</f>
        <v>4707781</v>
      </c>
      <c r="C2028" s="2" t="s">
        <v>569</v>
      </c>
      <c r="D2028" s="2" t="str">
        <f t="shared" si="30"/>
        <v>Error?</v>
      </c>
    </row>
    <row r="2029" spans="1:4" x14ac:dyDescent="0.2">
      <c r="A2029" s="5">
        <v>1968</v>
      </c>
      <c r="B2029" s="1821">
        <f>'Cap Outlay Deprec 26'!F12</f>
        <v>4348135</v>
      </c>
      <c r="C2029" s="2" t="s">
        <v>569</v>
      </c>
      <c r="D2029" s="2" t="str">
        <f t="shared" si="30"/>
        <v>Error?</v>
      </c>
    </row>
    <row r="2030" spans="1:4" x14ac:dyDescent="0.2">
      <c r="A2030" s="5">
        <v>1969</v>
      </c>
      <c r="B2030" s="1821">
        <f>'Cap Outlay Deprec 26'!F13</f>
        <v>3470934</v>
      </c>
      <c r="C2030" s="2" t="s">
        <v>569</v>
      </c>
      <c r="D2030" s="2" t="str">
        <f t="shared" si="30"/>
        <v>Error?</v>
      </c>
    </row>
    <row r="2031" spans="1:4" x14ac:dyDescent="0.2">
      <c r="A2031" s="5">
        <v>1970</v>
      </c>
      <c r="B2031" s="1821">
        <f>'Cap Outlay Deprec 26'!F16</f>
        <v>70938297</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14341042</v>
      </c>
      <c r="D2033" s="2" t="str">
        <f t="shared" si="30"/>
        <v>Error?</v>
      </c>
    </row>
    <row r="2034" spans="1:4" x14ac:dyDescent="0.2">
      <c r="A2034" s="5">
        <v>1973</v>
      </c>
      <c r="B2034" s="1821">
        <f>'Cap Outlay Deprec 26'!H10</f>
        <v>2588343</v>
      </c>
      <c r="D2034" s="2" t="str">
        <f t="shared" si="30"/>
        <v>Error?</v>
      </c>
    </row>
    <row r="2035" spans="1:4" x14ac:dyDescent="0.2">
      <c r="A2035" s="5">
        <v>1974</v>
      </c>
      <c r="B2035" s="1821">
        <f>'Cap Outlay Deprec 26'!H12</f>
        <v>3301837</v>
      </c>
      <c r="D2035" s="2" t="str">
        <f t="shared" si="30"/>
        <v>Error?</v>
      </c>
    </row>
    <row r="2036" spans="1:4" x14ac:dyDescent="0.2">
      <c r="A2036" s="5">
        <v>1975</v>
      </c>
      <c r="B2036" s="1821">
        <f>'Cap Outlay Deprec 26'!H13</f>
        <v>1676525</v>
      </c>
      <c r="D2036" s="2" t="str">
        <f t="shared" si="30"/>
        <v>Error?</v>
      </c>
    </row>
    <row r="2037" spans="1:4" x14ac:dyDescent="0.2">
      <c r="A2037" s="5">
        <v>1976</v>
      </c>
      <c r="B2037" s="1821">
        <f>'Cap Outlay Deprec 26'!H16</f>
        <v>21907747</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649833</v>
      </c>
      <c r="D2039" s="2" t="str">
        <f t="shared" si="30"/>
        <v>Error?</v>
      </c>
    </row>
    <row r="2040" spans="1:4" x14ac:dyDescent="0.2">
      <c r="A2040" s="5">
        <v>1979</v>
      </c>
      <c r="B2040" s="1821">
        <f>'Cap Outlay Deprec 26'!I10</f>
        <v>148497</v>
      </c>
      <c r="D2040" s="2" t="str">
        <f t="shared" si="30"/>
        <v>Error?</v>
      </c>
    </row>
    <row r="2041" spans="1:4" x14ac:dyDescent="0.2">
      <c r="A2041" s="5">
        <v>1980</v>
      </c>
      <c r="B2041" s="1821">
        <f>'Cap Outlay Deprec 26'!I12</f>
        <v>1079366</v>
      </c>
      <c r="D2041" s="2" t="str">
        <f t="shared" si="30"/>
        <v>Error?</v>
      </c>
    </row>
    <row r="2042" spans="1:4" x14ac:dyDescent="0.2">
      <c r="A2042" s="5">
        <v>1981</v>
      </c>
      <c r="B2042" s="1821">
        <f>'Cap Outlay Deprec 26'!I13</f>
        <v>321912</v>
      </c>
      <c r="D2042" s="2" t="str">
        <f t="shared" si="30"/>
        <v>Error?</v>
      </c>
    </row>
    <row r="2043" spans="1:4" x14ac:dyDescent="0.2">
      <c r="A2043" s="5">
        <v>1982</v>
      </c>
      <c r="B2043" s="1821">
        <f>'Cap Outlay Deprec 26'!I16</f>
        <v>2199608</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80390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1013844</v>
      </c>
      <c r="D2047" s="2" t="str">
        <f t="shared" ref="D2047:D2110" si="31">IF(ISBLANK(B2047),"OK",IF(A2047-B2047=0,"OK","Error?"))</f>
        <v>Error?</v>
      </c>
    </row>
    <row r="2048" spans="1:4" x14ac:dyDescent="0.2">
      <c r="A2048" s="5">
        <v>1987</v>
      </c>
      <c r="B2048" s="1821">
        <f>'Cap Outlay Deprec 26'!J13</f>
        <v>117525</v>
      </c>
      <c r="D2048" s="2" t="str">
        <f t="shared" si="31"/>
        <v>Error?</v>
      </c>
    </row>
    <row r="2049" spans="1:4" x14ac:dyDescent="0.2">
      <c r="A2049" s="5">
        <v>1988</v>
      </c>
      <c r="B2049" s="1821">
        <f>'Cap Outlay Deprec 26'!J16</f>
        <v>1211759</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14910485</v>
      </c>
      <c r="C2051" s="2" t="s">
        <v>569</v>
      </c>
      <c r="D2051" s="2" t="str">
        <f t="shared" si="31"/>
        <v>Error?</v>
      </c>
    </row>
    <row r="2052" spans="1:4" x14ac:dyDescent="0.2">
      <c r="A2052" s="5">
        <v>1991</v>
      </c>
      <c r="B2052" s="1821">
        <f>'Cap Outlay Deprec 26'!K10</f>
        <v>2736840</v>
      </c>
      <c r="C2052" s="2" t="s">
        <v>569</v>
      </c>
      <c r="D2052" s="2" t="str">
        <f t="shared" si="31"/>
        <v>Error?</v>
      </c>
    </row>
    <row r="2053" spans="1:4" x14ac:dyDescent="0.2">
      <c r="A2053" s="5">
        <v>1992</v>
      </c>
      <c r="B2053" s="1821">
        <f>'Cap Outlay Deprec 26'!K12</f>
        <v>3367359</v>
      </c>
      <c r="C2053" s="2" t="s">
        <v>569</v>
      </c>
      <c r="D2053" s="2" t="str">
        <f t="shared" si="31"/>
        <v>Error?</v>
      </c>
    </row>
    <row r="2054" spans="1:4" x14ac:dyDescent="0.2">
      <c r="A2054" s="5">
        <v>1993</v>
      </c>
      <c r="B2054" s="1821">
        <f>'Cap Outlay Deprec 26'!K13</f>
        <v>1880912</v>
      </c>
      <c r="C2054" s="2" t="s">
        <v>569</v>
      </c>
      <c r="D2054" s="2" t="str">
        <f t="shared" si="31"/>
        <v>Error?</v>
      </c>
    </row>
    <row r="2055" spans="1:4" x14ac:dyDescent="0.2">
      <c r="A2055" s="5">
        <v>1994</v>
      </c>
      <c r="B2055" s="1821">
        <f>'Cap Outlay Deprec 26'!K16</f>
        <v>22895596</v>
      </c>
      <c r="C2055" s="2" t="s">
        <v>569</v>
      </c>
      <c r="D2055" s="2" t="str">
        <f t="shared" si="31"/>
        <v>Error?</v>
      </c>
    </row>
    <row r="2056" spans="1:4" x14ac:dyDescent="0.2">
      <c r="A2056" s="5">
        <v>1995</v>
      </c>
      <c r="B2056" s="1821">
        <f>'Cap Outlay Deprec 26'!L5</f>
        <v>3264362</v>
      </c>
      <c r="C2056" s="2" t="s">
        <v>569</v>
      </c>
      <c r="D2056" s="2" t="str">
        <f t="shared" si="31"/>
        <v>Error?</v>
      </c>
    </row>
    <row r="2057" spans="1:4" x14ac:dyDescent="0.2">
      <c r="A2057" s="5">
        <v>1996</v>
      </c>
      <c r="B2057" s="1821">
        <f>'Cap Outlay Deprec 26'!L8</f>
        <v>15248693</v>
      </c>
      <c r="C2057" s="2" t="s">
        <v>569</v>
      </c>
      <c r="D2057" s="2" t="str">
        <f t="shared" si="31"/>
        <v>Error?</v>
      </c>
    </row>
    <row r="2058" spans="1:4" x14ac:dyDescent="0.2">
      <c r="A2058" s="5">
        <v>1997</v>
      </c>
      <c r="B2058" s="1821">
        <f>'Cap Outlay Deprec 26'!L10</f>
        <v>1970941</v>
      </c>
      <c r="C2058" s="2" t="s">
        <v>569</v>
      </c>
      <c r="D2058" s="2" t="str">
        <f t="shared" si="31"/>
        <v>Error?</v>
      </c>
    </row>
    <row r="2059" spans="1:4" x14ac:dyDescent="0.2">
      <c r="A2059" s="5">
        <v>1998</v>
      </c>
      <c r="B2059" s="1821">
        <f>'Cap Outlay Deprec 26'!L12</f>
        <v>980776</v>
      </c>
      <c r="C2059" s="2" t="s">
        <v>569</v>
      </c>
      <c r="D2059" s="2" t="str">
        <f t="shared" si="31"/>
        <v>Error?</v>
      </c>
    </row>
    <row r="2060" spans="1:4" x14ac:dyDescent="0.2">
      <c r="A2060" s="5">
        <v>1999</v>
      </c>
      <c r="B2060" s="1821">
        <f>'Cap Outlay Deprec 26'!L13</f>
        <v>1590022</v>
      </c>
      <c r="C2060" s="2" t="s">
        <v>569</v>
      </c>
      <c r="D2060" s="2" t="str">
        <f t="shared" si="31"/>
        <v>Error?</v>
      </c>
    </row>
    <row r="2061" spans="1:4" x14ac:dyDescent="0.2">
      <c r="A2061" s="5">
        <v>2000</v>
      </c>
      <c r="B2061" s="1821">
        <f>'Cap Outlay Deprec 26'!L16</f>
        <v>48042701</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43207</v>
      </c>
      <c r="C2088" s="2" t="s">
        <v>569</v>
      </c>
      <c r="D2088" s="2" t="str">
        <f t="shared" si="31"/>
        <v>Error?</v>
      </c>
    </row>
    <row r="2089" spans="1:4" x14ac:dyDescent="0.2">
      <c r="A2089" s="5">
        <v>2028</v>
      </c>
      <c r="B2089" s="1821">
        <f>'Expenditures 15-22'!K92</f>
        <v>926915</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52334</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27000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2161</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206623</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21647252</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7006853</v>
      </c>
      <c r="C2553" s="2" t="s">
        <v>569</v>
      </c>
      <c r="D2553" s="2" t="str">
        <f t="shared" si="38"/>
        <v>Error?</v>
      </c>
    </row>
    <row r="2554" spans="1:4" x14ac:dyDescent="0.2">
      <c r="A2554" s="5">
        <v>2493</v>
      </c>
      <c r="B2554" s="1821">
        <f>'Acct Summary 7-8'!C7</f>
        <v>1260465</v>
      </c>
      <c r="C2554" s="2" t="s">
        <v>569</v>
      </c>
      <c r="D2554" s="2" t="str">
        <f t="shared" si="38"/>
        <v>Error?</v>
      </c>
    </row>
    <row r="2555" spans="1:4" x14ac:dyDescent="0.2">
      <c r="A2555" s="5">
        <v>2494</v>
      </c>
      <c r="B2555" s="1821">
        <f>'Acct Summary 7-8'!C8</f>
        <v>29914570</v>
      </c>
      <c r="C2555" s="2" t="s">
        <v>569</v>
      </c>
      <c r="D2555" s="2" t="str">
        <f t="shared" si="38"/>
        <v>Error?</v>
      </c>
    </row>
    <row r="2556" spans="1:4" x14ac:dyDescent="0.2">
      <c r="A2556" s="5">
        <v>2495</v>
      </c>
      <c r="B2556" s="1821">
        <f>'Acct Summary 7-8'!C12</f>
        <v>18574470</v>
      </c>
      <c r="C2556" s="2" t="s">
        <v>569</v>
      </c>
      <c r="D2556" s="2" t="str">
        <f t="shared" si="38"/>
        <v>Error?</v>
      </c>
    </row>
    <row r="2557" spans="1:4" x14ac:dyDescent="0.2">
      <c r="A2557" s="5">
        <v>2496</v>
      </c>
      <c r="B2557" s="1821">
        <f>'Acct Summary 7-8'!C13</f>
        <v>8577684</v>
      </c>
      <c r="C2557" s="2" t="s">
        <v>569</v>
      </c>
      <c r="D2557" s="2" t="str">
        <f t="shared" si="38"/>
        <v>Error?</v>
      </c>
    </row>
    <row r="2558" spans="1:4" x14ac:dyDescent="0.2">
      <c r="A2558" s="5">
        <v>2497</v>
      </c>
      <c r="B2558" s="1821">
        <f>'Acct Summary 7-8'!C14</f>
        <v>90964</v>
      </c>
      <c r="C2558" s="2" t="s">
        <v>569</v>
      </c>
      <c r="D2558" s="2" t="str">
        <f t="shared" si="38"/>
        <v>Error?</v>
      </c>
    </row>
    <row r="2559" spans="1:4" x14ac:dyDescent="0.2">
      <c r="A2559" s="5">
        <v>2498</v>
      </c>
      <c r="B2559" s="1821">
        <f>'Acct Summary 7-8'!C15</f>
        <v>970122</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28213240</v>
      </c>
      <c r="C2561" s="2" t="s">
        <v>569</v>
      </c>
      <c r="D2561" s="2" t="str">
        <f t="shared" si="39"/>
        <v>Error?</v>
      </c>
    </row>
    <row r="2562" spans="1:4" x14ac:dyDescent="0.2">
      <c r="A2562" s="5">
        <v>2501</v>
      </c>
      <c r="B2562" s="1821">
        <f>'Acct Summary 7-8'!C20</f>
        <v>1701330</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3135993</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50000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3185993</v>
      </c>
      <c r="C2568" s="2" t="s">
        <v>569</v>
      </c>
      <c r="D2568" s="2" t="str">
        <f t="shared" si="39"/>
        <v>Error?</v>
      </c>
    </row>
    <row r="2569" spans="1:4" x14ac:dyDescent="0.2">
      <c r="A2569" s="5">
        <v>2508</v>
      </c>
      <c r="B2569" s="1821">
        <f>'Acct Summary 7-8'!D13</f>
        <v>3008421</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52334</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3060755</v>
      </c>
      <c r="C2573" s="2" t="s">
        <v>569</v>
      </c>
      <c r="D2573" s="2" t="str">
        <f t="shared" si="39"/>
        <v>Error?</v>
      </c>
    </row>
    <row r="2574" spans="1:4" x14ac:dyDescent="0.2">
      <c r="A2574" s="5">
        <v>2513</v>
      </c>
      <c r="B2574" s="1821">
        <f>'Acct Summary 7-8'!D20</f>
        <v>125238</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1120505</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1524516</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2645021</v>
      </c>
      <c r="C2595" s="2" t="s">
        <v>569</v>
      </c>
      <c r="D2595" s="2" t="str">
        <f t="shared" si="39"/>
        <v>Error?</v>
      </c>
    </row>
    <row r="2596" spans="1:4" x14ac:dyDescent="0.2">
      <c r="A2596" s="5">
        <v>2535</v>
      </c>
      <c r="B2596" s="1821">
        <f>'Acct Summary 7-8'!F13</f>
        <v>2222414</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2222414</v>
      </c>
      <c r="C2600" s="2" t="s">
        <v>569</v>
      </c>
      <c r="D2600" s="2" t="str">
        <f t="shared" si="39"/>
        <v>Error?</v>
      </c>
    </row>
    <row r="2601" spans="1:4" x14ac:dyDescent="0.2">
      <c r="A2601" s="5">
        <v>2540</v>
      </c>
      <c r="B2601" s="1821">
        <f>'Acct Summary 7-8'!F20</f>
        <v>422607</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1343413</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1343413</v>
      </c>
      <c r="C2606" s="2" t="s">
        <v>569</v>
      </c>
      <c r="D2606" s="2" t="str">
        <f t="shared" si="39"/>
        <v>Error?</v>
      </c>
    </row>
    <row r="2607" spans="1:4" x14ac:dyDescent="0.2">
      <c r="A2607" s="5">
        <v>2546</v>
      </c>
      <c r="B2607" s="1821">
        <f>'Acct Summary 7-8'!G12</f>
        <v>421787</v>
      </c>
      <c r="C2607" s="2" t="s">
        <v>569</v>
      </c>
      <c r="D2607" s="2" t="str">
        <f t="shared" si="39"/>
        <v>Error?</v>
      </c>
    </row>
    <row r="2608" spans="1:4" x14ac:dyDescent="0.2">
      <c r="A2608" s="5">
        <v>2547</v>
      </c>
      <c r="B2608" s="1821">
        <f>'Acct Summary 7-8'!G13</f>
        <v>762297</v>
      </c>
      <c r="C2608" s="2" t="s">
        <v>569</v>
      </c>
      <c r="D2608" s="2" t="str">
        <f t="shared" si="39"/>
        <v>Error?</v>
      </c>
    </row>
    <row r="2609" spans="1:4" x14ac:dyDescent="0.2">
      <c r="A2609" s="5">
        <v>2548</v>
      </c>
      <c r="B2609" s="1821">
        <f>'Acct Summary 7-8'!G14</f>
        <v>13271</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1232813</v>
      </c>
      <c r="C2612" s="2" t="s">
        <v>569</v>
      </c>
      <c r="D2612" s="2" t="str">
        <f t="shared" si="39"/>
        <v>Error?</v>
      </c>
    </row>
    <row r="2613" spans="1:4" x14ac:dyDescent="0.2">
      <c r="A2613" s="5">
        <v>2552</v>
      </c>
      <c r="B2613" s="1821">
        <f>'Acct Summary 7-8'!G20</f>
        <v>110600</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1343542</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1343542</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2094991</v>
      </c>
      <c r="C2634" s="2" t="s">
        <v>569</v>
      </c>
      <c r="D2634" s="2" t="str">
        <f t="shared" si="40"/>
        <v>Error?</v>
      </c>
    </row>
    <row r="2635" spans="1:4" x14ac:dyDescent="0.2">
      <c r="A2635" s="5">
        <v>2574</v>
      </c>
      <c r="B2635" s="1821">
        <f>'Acct Summary 7-8'!E17</f>
        <v>2094991</v>
      </c>
      <c r="C2635" s="2" t="s">
        <v>569</v>
      </c>
      <c r="D2635" s="2" t="str">
        <f t="shared" si="40"/>
        <v>Error?</v>
      </c>
    </row>
    <row r="2636" spans="1:4" x14ac:dyDescent="0.2">
      <c r="A2636" s="5">
        <v>2575</v>
      </c>
      <c r="B2636" s="1821">
        <f>'Acct Summary 7-8'!E20</f>
        <v>-751449</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2</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2</v>
      </c>
      <c r="C2658" s="2" t="s">
        <v>569</v>
      </c>
      <c r="D2658" s="2" t="str">
        <f t="shared" si="40"/>
        <v>Error?</v>
      </c>
    </row>
    <row r="2659" spans="1:4" x14ac:dyDescent="0.2">
      <c r="A2659" s="5">
        <v>2598</v>
      </c>
      <c r="B2659" s="1821">
        <f>'Acct Summary 7-8'!H13</f>
        <v>3437963</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3437963</v>
      </c>
      <c r="C2661" s="2" t="s">
        <v>569</v>
      </c>
      <c r="D2661" s="2" t="str">
        <f t="shared" si="40"/>
        <v>Error?</v>
      </c>
    </row>
    <row r="2662" spans="1:4" x14ac:dyDescent="0.2">
      <c r="A2662" s="5">
        <v>2601</v>
      </c>
      <c r="B2662" s="1821">
        <f>'Acct Summary 7-8'!H20</f>
        <v>-3437961</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421118</v>
      </c>
      <c r="D2718" s="2" t="str">
        <f t="shared" si="41"/>
        <v>Error?</v>
      </c>
    </row>
    <row r="2719" spans="1:4" x14ac:dyDescent="0.2">
      <c r="A2719" s="5">
        <v>2658</v>
      </c>
      <c r="B2719" s="1821">
        <f>'Expenditures 15-22'!D51</f>
        <v>90178</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4195</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515491</v>
      </c>
      <c r="C2724" s="2" t="s">
        <v>569</v>
      </c>
      <c r="D2724" s="2" t="str">
        <f t="shared" si="41"/>
        <v>Error?</v>
      </c>
    </row>
    <row r="2725" spans="1:4" x14ac:dyDescent="0.2">
      <c r="A2725" s="5">
        <v>2664</v>
      </c>
      <c r="B2725" s="1821">
        <f>'Expenditures 15-22'!D247</f>
        <v>14211</v>
      </c>
      <c r="D2725" s="2" t="str">
        <f t="shared" si="41"/>
        <v>Error?</v>
      </c>
    </row>
    <row r="2726" spans="1:4" x14ac:dyDescent="0.2">
      <c r="A2726" s="5">
        <v>2665</v>
      </c>
      <c r="B2726" s="1821">
        <f>'Expenditures 15-22'!K247</f>
        <v>14211</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1991</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43207</v>
      </c>
      <c r="C2789" s="2" t="s">
        <v>569</v>
      </c>
      <c r="D2789" s="2" t="str">
        <f t="shared" si="42"/>
        <v>Error?</v>
      </c>
    </row>
    <row r="2790" spans="1:4" x14ac:dyDescent="0.2">
      <c r="A2790" s="5">
        <v>2729</v>
      </c>
      <c r="B2790" s="1821">
        <f>'Expenditures 15-22'!E102</f>
        <v>43207</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24987907</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39003</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283121</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57750</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283121</v>
      </c>
      <c r="D2912" s="2" t="str">
        <f t="shared" si="44"/>
        <v>Error?</v>
      </c>
    </row>
    <row r="2913" spans="1:4" x14ac:dyDescent="0.2">
      <c r="A2913" s="5">
        <v>2852</v>
      </c>
      <c r="B2913" s="1821">
        <f>'Assets-Liab 5-6'!I41</f>
        <v>283121</v>
      </c>
      <c r="C2913" s="2" t="s">
        <v>569</v>
      </c>
      <c r="D2913" s="2" t="str">
        <f t="shared" si="44"/>
        <v>Error?</v>
      </c>
    </row>
    <row r="2914" spans="1:4" x14ac:dyDescent="0.2">
      <c r="A2914" s="5">
        <v>2853</v>
      </c>
      <c r="B2914" s="1821">
        <f>'Assets-Liab 5-6'!L33</f>
        <v>57750</v>
      </c>
      <c r="D2914" s="2" t="str">
        <f t="shared" si="44"/>
        <v>Error?</v>
      </c>
    </row>
    <row r="2915" spans="1:4" x14ac:dyDescent="0.2">
      <c r="A2915" s="10">
        <v>2854</v>
      </c>
      <c r="B2915" s="1821"/>
      <c r="D2915" s="2" t="str">
        <f t="shared" si="44"/>
        <v>OK</v>
      </c>
    </row>
    <row r="2916" spans="1:4" x14ac:dyDescent="0.2">
      <c r="A2916" s="5">
        <v>2855</v>
      </c>
      <c r="B2916" s="1821">
        <f>'Assets-Liab 5-6'!L34</f>
        <v>57750</v>
      </c>
      <c r="C2916" s="2" t="s">
        <v>569</v>
      </c>
      <c r="D2916" s="2" t="str">
        <f t="shared" si="44"/>
        <v>Error?</v>
      </c>
    </row>
    <row r="2917" spans="1:4" x14ac:dyDescent="0.2">
      <c r="A2917" s="5">
        <v>2856</v>
      </c>
      <c r="B2917" s="1821">
        <f>'Assets-Liab 5-6'!L41</f>
        <v>57750</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35799</v>
      </c>
      <c r="D2950" s="2" t="str">
        <f t="shared" si="45"/>
        <v>Error?</v>
      </c>
    </row>
    <row r="2951" spans="1:4" x14ac:dyDescent="0.2">
      <c r="A2951" s="5">
        <v>2890</v>
      </c>
      <c r="B2951" s="1821">
        <f>'Expenditures 15-22'!E80</f>
        <v>5557</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1851</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35799</v>
      </c>
      <c r="C2974" s="2" t="s">
        <v>569</v>
      </c>
      <c r="D2974" s="2" t="str">
        <f t="shared" si="45"/>
        <v>Error?</v>
      </c>
    </row>
    <row r="2975" spans="1:4" x14ac:dyDescent="0.2">
      <c r="A2975" s="5">
        <v>2914</v>
      </c>
      <c r="B2975" s="1821">
        <f>'Expenditures 15-22'!K80</f>
        <v>5557</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1851</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52334</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1991</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101133</v>
      </c>
      <c r="D3055" s="2" t="str">
        <f t="shared" si="46"/>
        <v>Error?</v>
      </c>
    </row>
    <row r="3056" spans="1:4" x14ac:dyDescent="0.2">
      <c r="A3056" s="5">
        <v>2995</v>
      </c>
      <c r="B3056" s="1821">
        <f>'Expenditures 15-22'!D10</f>
        <v>19759</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2350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127191</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1238</v>
      </c>
      <c r="D3064" s="2" t="str">
        <f t="shared" si="46"/>
        <v>Error?</v>
      </c>
    </row>
    <row r="3065" spans="1:4" x14ac:dyDescent="0.2">
      <c r="A3065" s="5">
        <v>3004</v>
      </c>
      <c r="B3065" s="1821">
        <f>'Expenditures 15-22'!K219</f>
        <v>1238</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155235</v>
      </c>
      <c r="C3225" s="2" t="s">
        <v>569</v>
      </c>
      <c r="D3225" s="2" t="str">
        <f t="shared" si="49"/>
        <v>Error?</v>
      </c>
    </row>
    <row r="3226" spans="1:4" x14ac:dyDescent="0.2">
      <c r="A3226" s="5">
        <v>3165</v>
      </c>
      <c r="B3226" s="1821">
        <f>'Acct Summary 7-8'!I8</f>
        <v>155235</v>
      </c>
      <c r="C3226" s="2" t="s">
        <v>569</v>
      </c>
      <c r="D3226" s="2" t="str">
        <f t="shared" si="49"/>
        <v>Error?</v>
      </c>
    </row>
    <row r="3227" spans="1:4" x14ac:dyDescent="0.2">
      <c r="A3227" s="5">
        <v>3166</v>
      </c>
      <c r="B3227" s="1821">
        <f>'Acct Summary 7-8'!I20</f>
        <v>155235</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364248</v>
      </c>
      <c r="C3231" s="2" t="s">
        <v>569</v>
      </c>
      <c r="D3231" s="2" t="str">
        <f t="shared" si="49"/>
        <v>Error?</v>
      </c>
    </row>
    <row r="3232" spans="1:4" x14ac:dyDescent="0.2">
      <c r="A3232" s="5">
        <v>3171</v>
      </c>
      <c r="B3232" s="1821">
        <f>'Acct Summary 7-8'!C77</f>
        <v>-364248</v>
      </c>
      <c r="C3232" s="2" t="s">
        <v>569</v>
      </c>
      <c r="D3232" s="2" t="str">
        <f t="shared" si="49"/>
        <v>Error?</v>
      </c>
    </row>
    <row r="3233" spans="1:4" x14ac:dyDescent="0.2">
      <c r="A3233" s="5">
        <v>3172</v>
      </c>
      <c r="B3233" s="1821">
        <f>'Acct Summary 7-8'!C78</f>
        <v>1337082</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353319</v>
      </c>
      <c r="C3237" s="2" t="s">
        <v>569</v>
      </c>
      <c r="D3237" s="2" t="str">
        <f t="shared" si="49"/>
        <v>Error?</v>
      </c>
    </row>
    <row r="3238" spans="1:4" x14ac:dyDescent="0.2">
      <c r="A3238" s="5">
        <v>3177</v>
      </c>
      <c r="B3238" s="1821">
        <f>'Acct Summary 7-8'!D77</f>
        <v>-353319</v>
      </c>
      <c r="C3238" s="2" t="s">
        <v>569</v>
      </c>
      <c r="D3238" s="2" t="str">
        <f t="shared" si="49"/>
        <v>Error?</v>
      </c>
    </row>
    <row r="3239" spans="1:4" x14ac:dyDescent="0.2">
      <c r="A3239" s="5">
        <v>3178</v>
      </c>
      <c r="B3239" s="1821">
        <f>'Acct Summary 7-8'!D78</f>
        <v>-228081</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422607</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110600</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744567</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744567</v>
      </c>
      <c r="C3277" s="2" t="s">
        <v>569</v>
      </c>
      <c r="D3277" s="2" t="str">
        <f t="shared" si="50"/>
        <v>Error?</v>
      </c>
    </row>
    <row r="3278" spans="1:4" x14ac:dyDescent="0.2">
      <c r="A3278" s="5">
        <v>3217</v>
      </c>
      <c r="B3278" s="1821">
        <f>'Acct Summary 7-8'!E78</f>
        <v>-6882</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-3437961</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27000</v>
      </c>
      <c r="C3318" s="2" t="s">
        <v>569</v>
      </c>
      <c r="D3318" s="2" t="str">
        <f t="shared" si="50"/>
        <v>Error?</v>
      </c>
    </row>
    <row r="3319" spans="1:4" x14ac:dyDescent="0.2">
      <c r="A3319" s="5">
        <v>3258</v>
      </c>
      <c r="B3319" s="1821">
        <f>'Acct Summary 7-8'!I77</f>
        <v>-27000</v>
      </c>
      <c r="C3319" s="2" t="s">
        <v>569</v>
      </c>
      <c r="D3319" s="2" t="str">
        <f t="shared" si="50"/>
        <v>Error?</v>
      </c>
    </row>
    <row r="3320" spans="1:4" x14ac:dyDescent="0.2">
      <c r="A3320" s="5">
        <v>3259</v>
      </c>
      <c r="B3320" s="1821">
        <f>'Acct Summary 7-8'!I78</f>
        <v>128235</v>
      </c>
      <c r="C3320" s="2" t="s">
        <v>569</v>
      </c>
      <c r="D3320" s="2" t="str">
        <f t="shared" si="50"/>
        <v>Error?</v>
      </c>
    </row>
    <row r="3321" spans="1:4" x14ac:dyDescent="0.2">
      <c r="A3321" s="5">
        <v>3260</v>
      </c>
      <c r="B3321" s="1821">
        <f>'Acct Summary 7-8'!I79</f>
        <v>154886</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283121</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2477578</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396527</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178495</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95424</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7000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3163082</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199076</v>
      </c>
      <c r="D3387" s="2" t="str">
        <f t="shared" si="51"/>
        <v>Error?</v>
      </c>
    </row>
    <row r="3388" spans="1:4" x14ac:dyDescent="0.2">
      <c r="A3388" s="5">
        <v>3327</v>
      </c>
      <c r="B3388" s="1821">
        <f>'Expenditures 15-22'!D217</f>
        <v>181616</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199076</v>
      </c>
      <c r="C3390" s="2" t="s">
        <v>569</v>
      </c>
      <c r="D3390" s="2" t="str">
        <f t="shared" si="51"/>
        <v>Error?</v>
      </c>
    </row>
    <row r="3391" spans="1:4" x14ac:dyDescent="0.2">
      <c r="A3391" s="5">
        <v>3330</v>
      </c>
      <c r="B3391" s="1821">
        <f>'Expenditures 15-22'!K217</f>
        <v>181616</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16004830</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3011829</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0</v>
      </c>
      <c r="D3417" s="2" t="str">
        <f t="shared" si="52"/>
        <v>Error?</v>
      </c>
    </row>
    <row r="3418" spans="1:4" x14ac:dyDescent="0.2">
      <c r="A3418" s="10">
        <v>3357</v>
      </c>
      <c r="B3418" s="1821"/>
      <c r="D3418" s="2" t="str">
        <f t="shared" si="52"/>
        <v>OK</v>
      </c>
    </row>
    <row r="3419" spans="1:4" x14ac:dyDescent="0.2">
      <c r="A3419" s="5">
        <v>3358</v>
      </c>
      <c r="B3419" s="1821">
        <f>'Assets-Liab 5-6'!F4</f>
        <v>1102644</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1476235</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700735</v>
      </c>
      <c r="D3425" s="2" t="str">
        <f t="shared" si="52"/>
        <v>Error?</v>
      </c>
    </row>
    <row r="3426" spans="1:4" x14ac:dyDescent="0.2">
      <c r="A3426" s="10">
        <v>3365</v>
      </c>
      <c r="B3426" s="1821"/>
      <c r="D3426" s="2" t="str">
        <f t="shared" si="52"/>
        <v>OK</v>
      </c>
    </row>
    <row r="3427" spans="1:4" x14ac:dyDescent="0.2">
      <c r="A3427" s="5">
        <v>3366</v>
      </c>
      <c r="B3427" s="1821">
        <f>'Assets-Liab 5-6'!I4</f>
        <v>244118</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57750</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571187</v>
      </c>
      <c r="C3446" s="2" t="s">
        <v>569</v>
      </c>
      <c r="D3446" s="2" t="str">
        <f t="shared" si="52"/>
        <v>Error?</v>
      </c>
    </row>
    <row r="3447" spans="1:4" x14ac:dyDescent="0.2">
      <c r="A3447" s="5">
        <v>3386</v>
      </c>
      <c r="B3447" s="1821">
        <f>'Tax Sched 23'!D16</f>
        <v>313545</v>
      </c>
      <c r="C3447" s="2" t="s">
        <v>569</v>
      </c>
      <c r="D3447" s="2" t="str">
        <f t="shared" si="52"/>
        <v>Error?</v>
      </c>
    </row>
    <row r="3448" spans="1:4" x14ac:dyDescent="0.2">
      <c r="A3448" s="5">
        <v>3387</v>
      </c>
      <c r="B3448" s="1821">
        <f>'Tax Sched 23'!C16</f>
        <v>257642</v>
      </c>
      <c r="D3448" s="2" t="str">
        <f t="shared" si="52"/>
        <v>Error?</v>
      </c>
    </row>
    <row r="3449" spans="1:4" x14ac:dyDescent="0.2">
      <c r="A3449" s="5">
        <v>3388</v>
      </c>
      <c r="B3449" s="1821">
        <f>'Tax Sched 23'!F16</f>
        <v>328286</v>
      </c>
      <c r="C3449" s="2" t="s">
        <v>569</v>
      </c>
      <c r="D3449" s="2" t="str">
        <f t="shared" si="52"/>
        <v>Error?</v>
      </c>
    </row>
    <row r="3450" spans="1:4" x14ac:dyDescent="0.2">
      <c r="A3450" s="5">
        <v>3389</v>
      </c>
      <c r="B3450" s="1821">
        <f>'Tax Sched 23'!E16</f>
        <v>585928</v>
      </c>
      <c r="D3450" s="2" t="str">
        <f t="shared" si="52"/>
        <v>Error?</v>
      </c>
    </row>
    <row r="3451" spans="1:4" x14ac:dyDescent="0.2">
      <c r="A3451" s="5">
        <v>3390</v>
      </c>
      <c r="B3451" s="1821">
        <f>'Cap Outlay Deprec 26'!C15</f>
        <v>22103281</v>
      </c>
      <c r="D3451" s="2" t="str">
        <f t="shared" si="52"/>
        <v>Error?</v>
      </c>
    </row>
    <row r="3452" spans="1:4" x14ac:dyDescent="0.2">
      <c r="A3452" s="5">
        <v>3391</v>
      </c>
      <c r="B3452" s="1821">
        <f>'Cap Outlay Deprec 26'!D15</f>
        <v>2884626</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24987907</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24987907</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27000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1991</v>
      </c>
      <c r="E3521" s="4" t="s">
        <v>134</v>
      </c>
    </row>
    <row r="3522" spans="1:5" x14ac:dyDescent="0.2">
      <c r="A3522" s="10">
        <v>3461</v>
      </c>
      <c r="B3522" s="1821"/>
      <c r="D3522" s="4" t="s">
        <v>1991</v>
      </c>
      <c r="E3522" s="4" t="s">
        <v>134</v>
      </c>
    </row>
    <row r="3523" spans="1:5" x14ac:dyDescent="0.2">
      <c r="A3523" s="10">
        <v>3462</v>
      </c>
      <c r="B3523" s="1821"/>
      <c r="D3523" s="4" t="s">
        <v>1991</v>
      </c>
      <c r="E3523" s="4" t="s">
        <v>134</v>
      </c>
    </row>
    <row r="3524" spans="1:5" x14ac:dyDescent="0.2">
      <c r="A3524" s="10">
        <v>3463</v>
      </c>
      <c r="B3524" s="1821"/>
      <c r="D3524" s="4" t="s">
        <v>1991</v>
      </c>
      <c r="E3524" s="4" t="s">
        <v>134</v>
      </c>
    </row>
    <row r="3525" spans="1:5" x14ac:dyDescent="0.2">
      <c r="A3525" s="10">
        <v>3464</v>
      </c>
      <c r="B3525" s="1821"/>
      <c r="D3525" s="4" t="s">
        <v>1991</v>
      </c>
      <c r="E3525" s="4" t="s">
        <v>134</v>
      </c>
    </row>
    <row r="3526" spans="1:5" x14ac:dyDescent="0.2">
      <c r="A3526" s="10">
        <v>3465</v>
      </c>
      <c r="B3526" s="1821"/>
      <c r="D3526" s="4" t="s">
        <v>1991</v>
      </c>
      <c r="E3526" s="4" t="s">
        <v>134</v>
      </c>
    </row>
    <row r="3527" spans="1:5" x14ac:dyDescent="0.2">
      <c r="A3527" s="10">
        <v>3466</v>
      </c>
      <c r="B3527" s="1821"/>
      <c r="D3527" s="4" t="s">
        <v>1991</v>
      </c>
      <c r="E3527" s="4" t="s">
        <v>134</v>
      </c>
    </row>
    <row r="3528" spans="1:5" x14ac:dyDescent="0.2">
      <c r="A3528" s="10">
        <v>3467</v>
      </c>
      <c r="B3528" s="1821"/>
      <c r="D3528" s="4" t="s">
        <v>1991</v>
      </c>
      <c r="E3528" s="4" t="s">
        <v>134</v>
      </c>
    </row>
    <row r="3529" spans="1:5" x14ac:dyDescent="0.2">
      <c r="A3529" s="10">
        <v>3468</v>
      </c>
      <c r="B3529" s="1821"/>
      <c r="D3529" s="4" t="s">
        <v>1991</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90333</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13896</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104229</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104229</v>
      </c>
      <c r="D3567" s="2" t="str">
        <f t="shared" si="54"/>
        <v>Error?</v>
      </c>
    </row>
    <row r="3568" spans="1:4" x14ac:dyDescent="0.2">
      <c r="A3568" s="5">
        <v>3507</v>
      </c>
      <c r="B3568" s="1821">
        <f>'Assets-Liab 5-6'!K41</f>
        <v>104229</v>
      </c>
      <c r="C3568" s="2" t="s">
        <v>569</v>
      </c>
      <c r="D3568" s="2" t="str">
        <f t="shared" si="54"/>
        <v>Error?</v>
      </c>
    </row>
    <row r="3569" spans="1:4" x14ac:dyDescent="0.2">
      <c r="A3569" s="5">
        <v>3508</v>
      </c>
      <c r="B3569" s="1821">
        <f>'Acct Summary 7-8'!K4</f>
        <v>32737</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32737</v>
      </c>
      <c r="C3571" s="2" t="s">
        <v>569</v>
      </c>
      <c r="D3571" s="2" t="str">
        <f t="shared" si="54"/>
        <v>Error?</v>
      </c>
    </row>
    <row r="3572" spans="1:4" x14ac:dyDescent="0.2">
      <c r="A3572" s="5">
        <v>3511</v>
      </c>
      <c r="B3572" s="1821">
        <f>'Acct Summary 7-8'!K13</f>
        <v>10210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10210</v>
      </c>
      <c r="C3575" s="2" t="s">
        <v>569</v>
      </c>
      <c r="D3575" s="2" t="str">
        <f t="shared" si="54"/>
        <v>Error?</v>
      </c>
    </row>
    <row r="3576" spans="1:4" x14ac:dyDescent="0.2">
      <c r="A3576" s="5">
        <v>3515</v>
      </c>
      <c r="B3576" s="1821">
        <f>'Acct Summary 7-8'!K20</f>
        <v>22527</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22527</v>
      </c>
      <c r="C3588" s="2" t="s">
        <v>569</v>
      </c>
      <c r="D3588" s="2" t="str">
        <f t="shared" si="55"/>
        <v>Error?</v>
      </c>
    </row>
    <row r="3589" spans="1:4" x14ac:dyDescent="0.2">
      <c r="A3589" s="5">
        <v>3528</v>
      </c>
      <c r="B3589" s="1821">
        <f>'Acct Summary 7-8'!K79</f>
        <v>81702</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104229</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10210</v>
      </c>
      <c r="D3632" s="2" t="str">
        <f t="shared" si="55"/>
        <v>Error?</v>
      </c>
    </row>
    <row r="3633" spans="1:4" x14ac:dyDescent="0.2">
      <c r="A3633" s="5">
        <v>3572</v>
      </c>
      <c r="B3633" s="1821">
        <f>'Expenditures 15-22'!E350</f>
        <v>10210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10210</v>
      </c>
      <c r="C3635" s="2" t="s">
        <v>569</v>
      </c>
      <c r="D3635" s="2" t="str">
        <f t="shared" si="55"/>
        <v>Error?</v>
      </c>
    </row>
    <row r="3636" spans="1:4" x14ac:dyDescent="0.2">
      <c r="A3636" s="5">
        <v>3575</v>
      </c>
      <c r="B3636" s="1821">
        <f>'Expenditures 15-22'!E367</f>
        <v>10210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10210</v>
      </c>
      <c r="C3669" s="2" t="s">
        <v>569</v>
      </c>
      <c r="D3669" s="2" t="str">
        <f t="shared" si="56"/>
        <v>Error?</v>
      </c>
    </row>
    <row r="3670" spans="1:4" x14ac:dyDescent="0.2">
      <c r="A3670" s="5">
        <v>3609</v>
      </c>
      <c r="B3670" s="1821">
        <f>'Expenditures 15-22'!K350</f>
        <v>10210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10210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10210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22527</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35458</v>
      </c>
      <c r="D3721" s="2" t="str">
        <f t="shared" si="57"/>
        <v>Error?</v>
      </c>
    </row>
    <row r="3722" spans="1:4" x14ac:dyDescent="0.2">
      <c r="A3722" s="5">
        <v>3661</v>
      </c>
      <c r="B3722" s="1821">
        <f>'Expenditures 15-22'!D285</f>
        <v>35458</v>
      </c>
      <c r="C3722" s="2" t="s">
        <v>569</v>
      </c>
      <c r="D3722" s="2" t="str">
        <f t="shared" si="57"/>
        <v>Error?</v>
      </c>
    </row>
    <row r="3723" spans="1:4" x14ac:dyDescent="0.2">
      <c r="A3723" s="5">
        <v>3662</v>
      </c>
      <c r="B3723" s="1821">
        <f>'Expenditures 15-22'!K283</f>
        <v>35458</v>
      </c>
      <c r="C3723" s="2" t="s">
        <v>569</v>
      </c>
      <c r="D3723" s="2" t="str">
        <f t="shared" si="57"/>
        <v>Error?</v>
      </c>
    </row>
    <row r="3724" spans="1:4" x14ac:dyDescent="0.2">
      <c r="A3724" s="5">
        <v>3663</v>
      </c>
      <c r="B3724" s="1821">
        <f>'Expenditures 15-22'!K285</f>
        <v>35458</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242594</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32289</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17638</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14651</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18669</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33320</v>
      </c>
      <c r="D4111" s="2" t="str">
        <f t="shared" si="63"/>
        <v>Error?</v>
      </c>
    </row>
    <row r="4112" spans="1:4" x14ac:dyDescent="0.2">
      <c r="A4112" s="10">
        <v>4051</v>
      </c>
      <c r="B4112" s="1821"/>
      <c r="D4112" s="2" t="str">
        <f t="shared" si="63"/>
        <v>OK</v>
      </c>
    </row>
    <row r="4113" spans="1:4" x14ac:dyDescent="0.2">
      <c r="A4113" s="5">
        <v>4052</v>
      </c>
      <c r="B4113" s="1821">
        <f>'Acct Summary 7-8'!C9</f>
        <v>13243926</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43158496</v>
      </c>
      <c r="C4122" s="2" t="s">
        <v>569</v>
      </c>
      <c r="D4122" s="2" t="str">
        <f t="shared" si="63"/>
        <v>Error?</v>
      </c>
    </row>
    <row r="4123" spans="1:4" x14ac:dyDescent="0.2">
      <c r="A4123" s="5">
        <v>4062</v>
      </c>
      <c r="B4123" s="1821">
        <f>'Acct Summary 7-8'!D10</f>
        <v>3185993</v>
      </c>
      <c r="C4123" s="2" t="s">
        <v>569</v>
      </c>
      <c r="D4123" s="2" t="str">
        <f t="shared" si="63"/>
        <v>Error?</v>
      </c>
    </row>
    <row r="4124" spans="1:4" x14ac:dyDescent="0.2">
      <c r="A4124" s="5">
        <v>4063</v>
      </c>
      <c r="B4124" s="1821">
        <f>'Acct Summary 7-8'!E10</f>
        <v>1343542</v>
      </c>
      <c r="C4124" s="2" t="s">
        <v>569</v>
      </c>
      <c r="D4124" s="2" t="str">
        <f t="shared" si="63"/>
        <v>Error?</v>
      </c>
    </row>
    <row r="4125" spans="1:4" x14ac:dyDescent="0.2">
      <c r="A4125" s="5">
        <v>4064</v>
      </c>
      <c r="B4125" s="1821">
        <f>'Acct Summary 7-8'!F10</f>
        <v>2645021</v>
      </c>
      <c r="C4125" s="2" t="s">
        <v>569</v>
      </c>
      <c r="D4125" s="2" t="str">
        <f t="shared" si="63"/>
        <v>Error?</v>
      </c>
    </row>
    <row r="4126" spans="1:4" x14ac:dyDescent="0.2">
      <c r="A4126" s="5">
        <v>4065</v>
      </c>
      <c r="B4126" s="1821">
        <f>'Acct Summary 7-8'!G10</f>
        <v>1343413</v>
      </c>
      <c r="C4126" s="2" t="s">
        <v>569</v>
      </c>
      <c r="D4126" s="2" t="str">
        <f t="shared" si="63"/>
        <v>Error?</v>
      </c>
    </row>
    <row r="4127" spans="1:4" x14ac:dyDescent="0.2">
      <c r="A4127" s="5">
        <v>4066</v>
      </c>
      <c r="B4127" s="1821">
        <f>'Acct Summary 7-8'!H10</f>
        <v>2</v>
      </c>
      <c r="C4127" s="2" t="s">
        <v>569</v>
      </c>
      <c r="D4127" s="2" t="str">
        <f t="shared" si="63"/>
        <v>Error?</v>
      </c>
    </row>
    <row r="4128" spans="1:4" x14ac:dyDescent="0.2">
      <c r="A4128" s="5">
        <v>4067</v>
      </c>
      <c r="B4128" s="1821">
        <f>'Acct Summary 7-8'!I10</f>
        <v>155235</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32737</v>
      </c>
      <c r="C4130" s="2" t="s">
        <v>569</v>
      </c>
      <c r="D4130" s="2" t="str">
        <f t="shared" si="63"/>
        <v>Error?</v>
      </c>
    </row>
    <row r="4131" spans="1:4" x14ac:dyDescent="0.2">
      <c r="A4131" s="5">
        <v>4070</v>
      </c>
      <c r="B4131" s="1821">
        <f>'Acct Summary 7-8'!C18</f>
        <v>13243926</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41457166</v>
      </c>
      <c r="C4136" s="2" t="s">
        <v>569</v>
      </c>
      <c r="D4136" s="2" t="str">
        <f t="shared" si="63"/>
        <v>Error?</v>
      </c>
    </row>
    <row r="4137" spans="1:4" x14ac:dyDescent="0.2">
      <c r="A4137" s="5">
        <v>4076</v>
      </c>
      <c r="B4137" s="1821">
        <f>'Acct Summary 7-8'!D19</f>
        <v>3060755</v>
      </c>
      <c r="C4137" s="2" t="s">
        <v>569</v>
      </c>
      <c r="D4137" s="2" t="str">
        <f t="shared" si="63"/>
        <v>Error?</v>
      </c>
    </row>
    <row r="4138" spans="1:4" x14ac:dyDescent="0.2">
      <c r="A4138" s="5">
        <v>4077</v>
      </c>
      <c r="B4138" s="1821">
        <f>'Acct Summary 7-8'!E19</f>
        <v>2094991</v>
      </c>
      <c r="C4138" s="2" t="s">
        <v>569</v>
      </c>
      <c r="D4138" s="2" t="str">
        <f t="shared" si="63"/>
        <v>Error?</v>
      </c>
    </row>
    <row r="4139" spans="1:4" x14ac:dyDescent="0.2">
      <c r="A4139" s="5">
        <v>4078</v>
      </c>
      <c r="B4139" s="1821">
        <f>'Acct Summary 7-8'!F19</f>
        <v>2222414</v>
      </c>
      <c r="C4139" s="2" t="s">
        <v>569</v>
      </c>
      <c r="D4139" s="2" t="str">
        <f t="shared" si="63"/>
        <v>Error?</v>
      </c>
    </row>
    <row r="4140" spans="1:4" x14ac:dyDescent="0.2">
      <c r="A4140" s="5">
        <v>4079</v>
      </c>
      <c r="B4140" s="1821">
        <f>'Acct Summary 7-8'!G19</f>
        <v>1232813</v>
      </c>
      <c r="C4140" s="2" t="s">
        <v>569</v>
      </c>
      <c r="D4140" s="2" t="str">
        <f t="shared" si="63"/>
        <v>Error?</v>
      </c>
    </row>
    <row r="4141" spans="1:4" x14ac:dyDescent="0.2">
      <c r="A4141" s="5">
        <v>4080</v>
      </c>
      <c r="B4141" s="1821">
        <f>'Acct Summary 7-8'!H19</f>
        <v>3437963</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10210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17820652</v>
      </c>
      <c r="C4171" s="2" t="s">
        <v>569</v>
      </c>
      <c r="D4171" s="2" t="str">
        <f t="shared" si="64"/>
        <v>Error?</v>
      </c>
    </row>
    <row r="4172" spans="1:4" x14ac:dyDescent="0.2">
      <c r="A4172" s="5">
        <v>4111</v>
      </c>
      <c r="B4172" s="1821">
        <f>'Short-Term Long-Term Debt 24'!J49</f>
        <v>18056690</v>
      </c>
      <c r="C4172" s="2" t="s">
        <v>569</v>
      </c>
      <c r="D4172" s="2" t="str">
        <f t="shared" si="64"/>
        <v>Error?</v>
      </c>
    </row>
    <row r="4173" spans="1:4" x14ac:dyDescent="0.2">
      <c r="A4173" s="5">
        <v>4112</v>
      </c>
      <c r="B4173" s="1821">
        <f>'Short-Term Long-Term Debt 24'!H49</f>
        <v>1185628</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505996</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52334</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52334</v>
      </c>
      <c r="C4202" s="2" t="s">
        <v>569</v>
      </c>
      <c r="D4202" s="2" t="str">
        <f t="shared" si="64"/>
        <v>Error?</v>
      </c>
    </row>
    <row r="4203" spans="1:4" x14ac:dyDescent="0.2">
      <c r="A4203" s="5">
        <v>4142</v>
      </c>
      <c r="B4203" s="1821">
        <f>'Expenditures 15-22'!E139</f>
        <v>52334</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1893</v>
      </c>
    </row>
    <row r="4236" spans="1:5" x14ac:dyDescent="0.2">
      <c r="A4236" s="10">
        <v>4175</v>
      </c>
      <c r="B4236" s="1821"/>
      <c r="D4236" s="2" t="str">
        <f t="shared" si="65"/>
        <v>OK</v>
      </c>
      <c r="E4236" s="4" t="s">
        <v>1893</v>
      </c>
    </row>
    <row r="4237" spans="1:5" x14ac:dyDescent="0.2">
      <c r="A4237" s="10">
        <v>4176</v>
      </c>
      <c r="B4237" s="1821"/>
      <c r="D4237" s="2" t="str">
        <f t="shared" si="65"/>
        <v>OK</v>
      </c>
      <c r="E4237" s="4" t="s">
        <v>1893</v>
      </c>
    </row>
    <row r="4238" spans="1:5" x14ac:dyDescent="0.2">
      <c r="A4238" s="10">
        <v>4177</v>
      </c>
      <c r="B4238" s="1821"/>
      <c r="D4238" s="2" t="str">
        <f t="shared" si="65"/>
        <v>OK</v>
      </c>
      <c r="E4238" s="4" t="s">
        <v>1893</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3347.4879999999998</v>
      </c>
      <c r="C4265" s="2" t="s">
        <v>569</v>
      </c>
      <c r="D4265" s="2" t="str">
        <f t="shared" si="65"/>
        <v>Error?</v>
      </c>
      <c r="E4265" s="125"/>
    </row>
    <row r="4266" spans="1:5" x14ac:dyDescent="0.2">
      <c r="A4266" s="12">
        <v>4205</v>
      </c>
      <c r="B4266" s="1821">
        <f>('FP Info 3'!F10)*100000</f>
        <v>472.63299999999998</v>
      </c>
      <c r="C4266" s="2" t="s">
        <v>569</v>
      </c>
      <c r="D4266" s="2" t="str">
        <f t="shared" si="65"/>
        <v>Error?</v>
      </c>
      <c r="E4266" s="125"/>
    </row>
    <row r="4267" spans="1:5" x14ac:dyDescent="0.2">
      <c r="A4267" s="12">
        <v>4206</v>
      </c>
      <c r="B4267" s="1821">
        <f>('FP Info 3'!H10)*100000</f>
        <v>189.06299999999999</v>
      </c>
      <c r="C4267" s="2" t="s">
        <v>569</v>
      </c>
      <c r="D4267" s="2" t="str">
        <f t="shared" si="65"/>
        <v>Error?</v>
      </c>
      <c r="E4267" s="125"/>
    </row>
    <row r="4268" spans="1:5" x14ac:dyDescent="0.2">
      <c r="A4268" s="12">
        <v>4207</v>
      </c>
      <c r="B4268" s="1821">
        <f>('FP Info 3'!J10)*100000</f>
        <v>4009</v>
      </c>
      <c r="C4268" s="2" t="s">
        <v>569</v>
      </c>
      <c r="D4268" s="2" t="str">
        <f t="shared" si="65"/>
        <v>Error?</v>
      </c>
    </row>
    <row r="4269" spans="1:5" x14ac:dyDescent="0.2">
      <c r="A4269" s="12">
        <v>4208</v>
      </c>
      <c r="B4269" s="1821">
        <f>'FP Info 3'!J16</f>
        <v>23357922</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60006</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161047</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1893</v>
      </c>
    </row>
    <row r="4400" spans="1:5" x14ac:dyDescent="0.2">
      <c r="A4400" s="10">
        <v>4339</v>
      </c>
      <c r="B4400" s="1821"/>
      <c r="D4400" s="2" t="str">
        <f t="shared" si="67"/>
        <v>OK</v>
      </c>
      <c r="E4400" s="4" t="s">
        <v>1893</v>
      </c>
    </row>
    <row r="4401" spans="1:5" x14ac:dyDescent="0.2">
      <c r="A4401" s="10">
        <v>4340</v>
      </c>
      <c r="B4401" s="1821"/>
      <c r="D4401" s="2" t="str">
        <f t="shared" si="67"/>
        <v>OK</v>
      </c>
      <c r="E4401" s="4" t="s">
        <v>1893</v>
      </c>
    </row>
    <row r="4402" spans="1:5" x14ac:dyDescent="0.2">
      <c r="A4402" s="10">
        <v>4341</v>
      </c>
      <c r="B4402" s="1821"/>
      <c r="D4402" s="2" t="str">
        <f t="shared" si="67"/>
        <v>OK</v>
      </c>
      <c r="E4402" s="4" t="s">
        <v>1893</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25737</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71656</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26.421000000000003</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2001</v>
      </c>
      <c r="D4792" s="2" t="str">
        <f t="shared" si="73"/>
        <v>Error?</v>
      </c>
    </row>
    <row r="4793" spans="1:4" x14ac:dyDescent="0.2">
      <c r="A4793" s="5">
        <v>4732</v>
      </c>
      <c r="B4793" s="1821">
        <f>'Revenues 9-14'!D168</f>
        <v>50000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625016746</v>
      </c>
      <c r="D4995" s="2" t="str">
        <f t="shared" si="77"/>
        <v>Error?</v>
      </c>
    </row>
    <row r="4996" spans="1:4" x14ac:dyDescent="0.2">
      <c r="A4996" s="12">
        <v>4935</v>
      </c>
      <c r="B4996" s="1821">
        <f>'FP Info 3'!H31</f>
        <v>43126155.474000007</v>
      </c>
      <c r="D4996" s="2" t="str">
        <f t="shared" si="77"/>
        <v>Error?</v>
      </c>
    </row>
    <row r="4997" spans="1:4" x14ac:dyDescent="0.2">
      <c r="A4997" s="12">
        <v>4936</v>
      </c>
      <c r="B4997" s="1821">
        <f>'FP Info 3'!H37</f>
        <v>17820652</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19167617</v>
      </c>
      <c r="D5061" s="2" t="str">
        <f t="shared" si="78"/>
        <v>Error?</v>
      </c>
    </row>
    <row r="5062" spans="1:4" x14ac:dyDescent="0.2">
      <c r="A5062" s="10">
        <v>5001</v>
      </c>
      <c r="B5062" s="1821"/>
      <c r="D5062" s="2" t="str">
        <f t="shared" si="78"/>
        <v>OK</v>
      </c>
    </row>
    <row r="5063" spans="1:4" x14ac:dyDescent="0.2">
      <c r="A5063" s="5">
        <v>5002</v>
      </c>
      <c r="B5063" s="1821">
        <f>'Revenues 9-14'!C7</f>
        <v>1394740</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20562357</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0</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10740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10740</v>
      </c>
      <c r="C5087" s="2" t="s">
        <v>569</v>
      </c>
      <c r="D5087" s="2" t="str">
        <f t="shared" si="78"/>
        <v>Error?</v>
      </c>
    </row>
    <row r="5088" spans="1:4" x14ac:dyDescent="0.2">
      <c r="A5088" s="5">
        <v>5027</v>
      </c>
      <c r="B5088" s="1821">
        <f>'Revenues 9-14'!C65</f>
        <v>320853</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320853</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12</v>
      </c>
      <c r="D5093" s="2" t="str">
        <f t="shared" si="78"/>
        <v>Error?</v>
      </c>
    </row>
    <row r="5094" spans="1:4" x14ac:dyDescent="0.2">
      <c r="A5094" s="5">
        <v>5033</v>
      </c>
      <c r="B5094" s="1821">
        <f>'Revenues 9-14'!C73</f>
        <v>2993</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284999</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244299</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2498</v>
      </c>
      <c r="D5101" s="2" t="str">
        <f t="shared" si="78"/>
        <v>Error?</v>
      </c>
    </row>
    <row r="5102" spans="1:4" x14ac:dyDescent="0.2">
      <c r="A5102" s="5">
        <v>5041</v>
      </c>
      <c r="B5102" s="1821">
        <f>'Revenues 9-14'!C82</f>
        <v>246797</v>
      </c>
      <c r="C5102" s="2" t="s">
        <v>569</v>
      </c>
      <c r="D5102" s="2" t="str">
        <f t="shared" si="78"/>
        <v>Error?</v>
      </c>
    </row>
    <row r="5103" spans="1:4" x14ac:dyDescent="0.2">
      <c r="A5103" s="5">
        <v>5042</v>
      </c>
      <c r="B5103" s="1821">
        <f>'Revenues 9-14'!C84</f>
        <v>149036</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149036</v>
      </c>
      <c r="C5112" s="2" t="s">
        <v>569</v>
      </c>
      <c r="D5112" s="2" t="str">
        <f t="shared" si="78"/>
        <v>Error?</v>
      </c>
    </row>
    <row r="5113" spans="1:4" x14ac:dyDescent="0.2">
      <c r="A5113" s="5">
        <v>5052</v>
      </c>
      <c r="B5113" s="1821">
        <f>'Revenues 9-14'!C95</f>
        <v>1910</v>
      </c>
      <c r="D5113" s="2" t="str">
        <f t="shared" si="78"/>
        <v>Error?</v>
      </c>
    </row>
    <row r="5114" spans="1:4" x14ac:dyDescent="0.2">
      <c r="A5114" s="5">
        <v>5053</v>
      </c>
      <c r="B5114" s="1821">
        <f>'Revenues 9-14'!C96</f>
        <v>250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50400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19910</v>
      </c>
      <c r="D5119" s="2" t="str">
        <f t="shared" ref="D5119:D5182" si="79">IF(ISBLANK(B5119),"OK",IF(A5119-B5119=0,"OK","Error?"))</f>
        <v>Error?</v>
      </c>
    </row>
    <row r="5120" spans="1:4" x14ac:dyDescent="0.2">
      <c r="A5120" s="5">
        <v>5059</v>
      </c>
      <c r="B5120" s="1821">
        <f>'Revenues 9-14'!C108</f>
        <v>72470</v>
      </c>
      <c r="C5120" s="2" t="s">
        <v>569</v>
      </c>
      <c r="D5120" s="2" t="str">
        <f t="shared" si="79"/>
        <v>Error?</v>
      </c>
    </row>
    <row r="5121" spans="1:4" x14ac:dyDescent="0.2">
      <c r="A5121" s="5">
        <v>5060</v>
      </c>
      <c r="B5121" s="1821">
        <f>'Revenues 9-14'!C109</f>
        <v>21647252</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6197537</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6197537</v>
      </c>
      <c r="C5132" s="2" t="s">
        <v>569</v>
      </c>
      <c r="D5132" s="2" t="str">
        <f t="shared" si="79"/>
        <v>Error?</v>
      </c>
    </row>
    <row r="5133" spans="1:4" x14ac:dyDescent="0.2">
      <c r="A5133" s="5">
        <v>5072</v>
      </c>
      <c r="B5133" s="1821">
        <f>'Revenues 9-14'!C125</f>
        <v>324348</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28457</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352805</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2855</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451655</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1893</v>
      </c>
    </row>
    <row r="5200" spans="1:5" x14ac:dyDescent="0.2">
      <c r="A5200" s="10">
        <v>5139</v>
      </c>
      <c r="B5200" s="1821"/>
      <c r="D5200" s="2" t="str">
        <f t="shared" si="80"/>
        <v>OK</v>
      </c>
      <c r="E5200" s="4" t="s">
        <v>1893</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809316</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7006853</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245485</v>
      </c>
      <c r="D5239" s="2" t="str">
        <f t="shared" si="80"/>
        <v>Error?</v>
      </c>
    </row>
    <row r="5240" spans="1:4" x14ac:dyDescent="0.2">
      <c r="A5240" s="5">
        <v>5179</v>
      </c>
      <c r="B5240" s="1821">
        <f>'Revenues 9-14'!C192</f>
        <v>2003</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25293</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272781</v>
      </c>
      <c r="C5246" s="2" t="s">
        <v>569</v>
      </c>
      <c r="D5246" s="2" t="str">
        <f t="shared" si="80"/>
        <v>Error?</v>
      </c>
    </row>
    <row r="5247" spans="1:4" x14ac:dyDescent="0.2">
      <c r="A5247" s="5">
        <v>5186</v>
      </c>
      <c r="B5247" s="1821">
        <f>'Revenues 9-14'!C200</f>
        <v>170275</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1893</v>
      </c>
    </row>
    <row r="5255" spans="1:5" x14ac:dyDescent="0.2">
      <c r="A5255" s="5">
        <v>5194</v>
      </c>
      <c r="B5255" s="1821">
        <f>'Revenues 9-14'!C202</f>
        <v>0</v>
      </c>
      <c r="D5255" s="2" t="str">
        <f t="shared" si="81"/>
        <v>Error?</v>
      </c>
    </row>
    <row r="5256" spans="1:5" x14ac:dyDescent="0.2">
      <c r="A5256" s="5">
        <v>5195</v>
      </c>
      <c r="B5256" s="1821">
        <f>'Revenues 9-14'!C206</f>
        <v>25737</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170275</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28285</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459595</v>
      </c>
      <c r="D5278" s="2" t="str">
        <f t="shared" si="81"/>
        <v>Error?</v>
      </c>
    </row>
    <row r="5279" spans="1:4" x14ac:dyDescent="0.2">
      <c r="A5279" s="5">
        <v>5218</v>
      </c>
      <c r="B5279" s="1821">
        <f>'Revenues 9-14'!C214</f>
        <v>11083</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498963</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1893</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1260465</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1260465</v>
      </c>
      <c r="C5326" s="2" t="s">
        <v>569</v>
      </c>
      <c r="D5326" s="2" t="str">
        <f t="shared" si="82"/>
        <v>Error?</v>
      </c>
    </row>
    <row r="5327" spans="1:5" x14ac:dyDescent="0.2">
      <c r="A5327" s="5">
        <v>5266</v>
      </c>
      <c r="B5327" s="1821">
        <f>'Revenues 9-14'!C268</f>
        <v>29914570</v>
      </c>
      <c r="C5327" s="2" t="s">
        <v>569</v>
      </c>
      <c r="D5327" s="2" t="str">
        <f t="shared" si="82"/>
        <v>Error?</v>
      </c>
    </row>
    <row r="5328" spans="1:5" x14ac:dyDescent="0.2">
      <c r="A5328" s="5">
        <v>5267</v>
      </c>
      <c r="B5328" s="1821">
        <f>'Revenues 9-14'!D5</f>
        <v>2761162</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2761162</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172993</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172993</v>
      </c>
      <c r="C5339" s="2" t="s">
        <v>569</v>
      </c>
      <c r="D5339" s="2" t="str">
        <f t="shared" si="82"/>
        <v>Error?</v>
      </c>
    </row>
    <row r="5340" spans="1:4" x14ac:dyDescent="0.2">
      <c r="A5340" s="5">
        <v>5279</v>
      </c>
      <c r="B5340" s="1821">
        <f>'Revenues 9-14'!D65</f>
        <v>43855</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43855</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8701</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0</v>
      </c>
      <c r="D5354" s="2" t="str">
        <f t="shared" si="82"/>
        <v>Error?</v>
      </c>
    </row>
    <row r="5355" spans="1:4" x14ac:dyDescent="0.2">
      <c r="A5355" s="5">
        <v>5294</v>
      </c>
      <c r="B5355" s="1821">
        <f>'Revenues 9-14'!D108</f>
        <v>157983</v>
      </c>
      <c r="C5355" s="2" t="s">
        <v>569</v>
      </c>
      <c r="D5355" s="2" t="str">
        <f t="shared" si="82"/>
        <v>Error?</v>
      </c>
    </row>
    <row r="5356" spans="1:4" x14ac:dyDescent="0.2">
      <c r="A5356" s="5">
        <v>5295</v>
      </c>
      <c r="B5356" s="1821">
        <f>'Revenues 9-14'!D109</f>
        <v>3135993</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50000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1893</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3185993</v>
      </c>
      <c r="C5508" s="2" t="s">
        <v>569</v>
      </c>
      <c r="D5508" s="2" t="str">
        <f t="shared" si="85"/>
        <v>Error?</v>
      </c>
    </row>
    <row r="5509" spans="1:4" x14ac:dyDescent="0.2">
      <c r="A5509" s="5">
        <v>5448</v>
      </c>
      <c r="B5509" s="1821">
        <f>'Revenues 9-14'!E5</f>
        <v>1322475</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1322475</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21067</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21067</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1343542</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1343542</v>
      </c>
      <c r="C5552" s="2" t="s">
        <v>569</v>
      </c>
      <c r="D5552" s="2" t="str">
        <f t="shared" si="85"/>
        <v>Error?</v>
      </c>
    </row>
    <row r="5553" spans="1:4" x14ac:dyDescent="0.2">
      <c r="A5553" s="5">
        <v>5492</v>
      </c>
      <c r="B5553" s="1821">
        <f>'Revenues 9-14'!F5</f>
        <v>1102939</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1102939</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17492</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17492</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74</v>
      </c>
      <c r="D5586" s="2" t="str">
        <f t="shared" si="86"/>
        <v>Error?</v>
      </c>
    </row>
    <row r="5587" spans="1:4" x14ac:dyDescent="0.2">
      <c r="A5587" s="5">
        <v>5526</v>
      </c>
      <c r="B5587" s="1821">
        <f>'Revenues 9-14'!F108</f>
        <v>74</v>
      </c>
      <c r="C5587" s="2" t="s">
        <v>569</v>
      </c>
      <c r="D5587" s="2" t="str">
        <f t="shared" si="86"/>
        <v>Error?</v>
      </c>
    </row>
    <row r="5588" spans="1:4" x14ac:dyDescent="0.2">
      <c r="A5588" s="5">
        <v>5527</v>
      </c>
      <c r="B5588" s="1821">
        <f>'Revenues 9-14'!F109</f>
        <v>1120505</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668918</v>
      </c>
      <c r="D5615" s="2" t="str">
        <f t="shared" si="86"/>
        <v>Error?</v>
      </c>
    </row>
    <row r="5616" spans="1:4" x14ac:dyDescent="0.2">
      <c r="A5616" s="10">
        <v>5555</v>
      </c>
      <c r="B5616" s="1821"/>
      <c r="D5616" s="2" t="str">
        <f t="shared" si="86"/>
        <v>OK</v>
      </c>
    </row>
    <row r="5617" spans="1:5" x14ac:dyDescent="0.2">
      <c r="A5617" s="5">
        <v>5556</v>
      </c>
      <c r="B5617" s="1821">
        <f>'Revenues 9-14'!F153</f>
        <v>855598</v>
      </c>
      <c r="D5617" s="2" t="str">
        <f t="shared" si="86"/>
        <v>Error?</v>
      </c>
    </row>
    <row r="5618" spans="1:5" x14ac:dyDescent="0.2">
      <c r="A5618" s="5">
        <v>5557</v>
      </c>
      <c r="B5618" s="1821">
        <f>'Revenues 9-14'!F155</f>
        <v>1524516</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1893</v>
      </c>
    </row>
    <row r="5631" spans="1:5" x14ac:dyDescent="0.2">
      <c r="A5631" s="10">
        <v>5570</v>
      </c>
      <c r="B5631" s="1821"/>
      <c r="D5631" s="2" t="str">
        <f t="shared" ref="D5631:D5694" si="87">IF(ISBLANK(B5631),"OK",IF(A5631-B5631=0,"OK","Error?"))</f>
        <v>OK</v>
      </c>
      <c r="E5631" s="4" t="s">
        <v>1893</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1524516</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1524516</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1893</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1893</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2645021</v>
      </c>
      <c r="C5720" s="2" t="s">
        <v>569</v>
      </c>
      <c r="D5720" s="2" t="str">
        <f t="shared" si="88"/>
        <v>Error?</v>
      </c>
    </row>
    <row r="5721" spans="1:4" x14ac:dyDescent="0.2">
      <c r="A5721" s="5">
        <v>5660</v>
      </c>
      <c r="B5721" s="1821">
        <f>'Revenues 9-14'!G5</f>
        <v>656254</v>
      </c>
      <c r="D5721" s="2" t="str">
        <f t="shared" si="88"/>
        <v>Error?</v>
      </c>
    </row>
    <row r="5722" spans="1:4" x14ac:dyDescent="0.2">
      <c r="A5722" s="5">
        <v>5661</v>
      </c>
      <c r="B5722" s="1821">
        <f>'Revenues 9-14'!G7</f>
        <v>0</v>
      </c>
      <c r="D5722" s="2" t="str">
        <f t="shared" si="88"/>
        <v>Error?</v>
      </c>
    </row>
    <row r="5723" spans="1:4" x14ac:dyDescent="0.2">
      <c r="A5723" s="5">
        <v>5662</v>
      </c>
      <c r="B5723" s="1821">
        <f>'Revenues 9-14'!G8</f>
        <v>571187</v>
      </c>
      <c r="D5723" s="2" t="str">
        <f t="shared" si="88"/>
        <v>Error?</v>
      </c>
    </row>
    <row r="5724" spans="1:4" x14ac:dyDescent="0.2">
      <c r="A5724" s="5">
        <v>5663</v>
      </c>
      <c r="B5724" s="1821">
        <f>'Revenues 9-14'!G11</f>
        <v>32289</v>
      </c>
      <c r="D5724" s="2" t="str">
        <f t="shared" si="88"/>
        <v>Error?</v>
      </c>
    </row>
    <row r="5725" spans="1:4" x14ac:dyDescent="0.2">
      <c r="A5725" s="5">
        <v>5664</v>
      </c>
      <c r="B5725" s="1821">
        <f>'Revenues 9-14'!G12</f>
        <v>1259730</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61796</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61796</v>
      </c>
      <c r="C5730" s="2" t="s">
        <v>569</v>
      </c>
      <c r="D5730" s="2" t="str">
        <f t="shared" si="88"/>
        <v>Error?</v>
      </c>
    </row>
    <row r="5731" spans="1:4" x14ac:dyDescent="0.2">
      <c r="A5731" s="5">
        <v>5670</v>
      </c>
      <c r="B5731" s="1821">
        <f>'Revenues 9-14'!G65</f>
        <v>21887</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21887</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1893</v>
      </c>
    </row>
    <row r="5768" spans="1:5" x14ac:dyDescent="0.2">
      <c r="A5768" s="10">
        <v>5707</v>
      </c>
      <c r="B5768" s="1821"/>
      <c r="D5768" s="2" t="str">
        <f t="shared" si="89"/>
        <v>OK</v>
      </c>
      <c r="E5768" s="4" t="s">
        <v>1893</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1893</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1893</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1343413</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2</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2</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2</v>
      </c>
      <c r="C5915" s="2" t="s">
        <v>569</v>
      </c>
      <c r="D5915" s="2" t="str">
        <f t="shared" si="91"/>
        <v>Error?</v>
      </c>
    </row>
    <row r="5916" spans="1:4" x14ac:dyDescent="0.2">
      <c r="A5916" s="5">
        <v>5855</v>
      </c>
      <c r="B5916" s="1821">
        <f>'Revenues 9-14'!I5</f>
        <v>152822</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152822</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2413</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2413</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155235</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32221</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32221</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516</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516</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32737</v>
      </c>
      <c r="C6023" s="2" t="s">
        <v>569</v>
      </c>
      <c r="D6023" s="2" t="str">
        <f t="shared" si="93"/>
        <v>Error?</v>
      </c>
    </row>
    <row r="6024" spans="1:5" x14ac:dyDescent="0.2">
      <c r="A6024" s="5">
        <v>5963</v>
      </c>
      <c r="B6024" s="1821">
        <f>'Revenues 9-14'!G109</f>
        <v>1343413</v>
      </c>
      <c r="C6024" s="2" t="s">
        <v>569</v>
      </c>
      <c r="D6024" s="2" t="str">
        <f t="shared" si="93"/>
        <v>Error?</v>
      </c>
    </row>
    <row r="6025" spans="1:5" x14ac:dyDescent="0.2">
      <c r="A6025" s="5">
        <v>5964</v>
      </c>
      <c r="B6025" s="1821">
        <f>'Revenues 9-14'!H109</f>
        <v>2</v>
      </c>
      <c r="C6025" s="2" t="s">
        <v>569</v>
      </c>
      <c r="D6025" s="2" t="str">
        <f t="shared" si="93"/>
        <v>Error?</v>
      </c>
    </row>
    <row r="6026" spans="1:5" x14ac:dyDescent="0.2">
      <c r="A6026" s="5">
        <v>5965</v>
      </c>
      <c r="B6026" s="1821">
        <f>'Revenues 9-14'!I109</f>
        <v>155235</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32737</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281994</v>
      </c>
      <c r="D6031" s="2" t="str">
        <f t="shared" si="93"/>
        <v>Error?</v>
      </c>
    </row>
    <row r="6032" spans="1:5" x14ac:dyDescent="0.2">
      <c r="A6032" s="5">
        <v>5971</v>
      </c>
      <c r="B6032" s="1821">
        <f>'Acct Summary 7-8'!G15</f>
        <v>35458</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66373</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2709.3</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320945</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9849</v>
      </c>
      <c r="D6143" s="2" t="str">
        <f t="shared" ref="D6143:D6206" si="95">IF(ISBLANK(B6143),"OK",IF(A6143-B6143=0,"OK","Error?"))</f>
        <v>Error?</v>
      </c>
      <c r="E6143" s="2" t="s">
        <v>189</v>
      </c>
    </row>
    <row r="6144" spans="1:5" x14ac:dyDescent="0.2">
      <c r="A6144">
        <v>6083</v>
      </c>
      <c r="B6144" s="1821">
        <f>'Assets-Liab 5-6'!E27</f>
        <v>236038</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4615</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320945</v>
      </c>
      <c r="D6215" s="2" t="str">
        <f t="shared" si="96"/>
        <v>Error?</v>
      </c>
      <c r="E6215" s="2" t="s">
        <v>189</v>
      </c>
    </row>
    <row r="6216" spans="1:5" x14ac:dyDescent="0.2">
      <c r="A6216">
        <v>6155</v>
      </c>
      <c r="B6216" s="1821">
        <f>'Assets-Liab 5-6'!J41</f>
        <v>320945</v>
      </c>
      <c r="D6216" s="2" t="str">
        <f t="shared" si="96"/>
        <v>Error?</v>
      </c>
      <c r="E6216" s="2" t="s">
        <v>189</v>
      </c>
    </row>
    <row r="6217" spans="1:5" x14ac:dyDescent="0.2">
      <c r="A6217">
        <v>6156</v>
      </c>
      <c r="B6217" s="1821">
        <f>'Assets-Liab 5-6'!J4</f>
        <v>276621</v>
      </c>
      <c r="D6217" s="2" t="str">
        <f t="shared" si="96"/>
        <v>Error?</v>
      </c>
      <c r="E6217" s="2" t="s">
        <v>189</v>
      </c>
    </row>
    <row r="6218" spans="1:5" x14ac:dyDescent="0.2">
      <c r="A6218">
        <v>6157</v>
      </c>
      <c r="B6218" s="1821">
        <f>'Assets-Liab 5-6'!J5</f>
        <v>44324</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172974</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172974</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172974</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107495</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107495</v>
      </c>
      <c r="D6229" s="2" t="str">
        <f t="shared" si="96"/>
        <v>Error?</v>
      </c>
      <c r="E6229" s="2" t="s">
        <v>189</v>
      </c>
    </row>
    <row r="6230" spans="1:5" x14ac:dyDescent="0.2">
      <c r="A6230">
        <v>6169</v>
      </c>
      <c r="B6230" s="1821">
        <f>'Acct Summary 7-8'!J20</f>
        <v>65479</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65479</v>
      </c>
      <c r="D6263" s="2" t="str">
        <f t="shared" si="96"/>
        <v>Error?</v>
      </c>
      <c r="E6263" s="2" t="s">
        <v>189</v>
      </c>
    </row>
    <row r="6264" spans="1:5" x14ac:dyDescent="0.2">
      <c r="A6264">
        <v>6203</v>
      </c>
      <c r="B6264" s="1821">
        <f>'Acct Summary 7-8'!J79</f>
        <v>255466</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320945</v>
      </c>
      <c r="D6266" s="2" t="str">
        <f t="shared" si="96"/>
        <v>Error?</v>
      </c>
      <c r="E6266" s="2" t="s">
        <v>189</v>
      </c>
    </row>
    <row r="6267" spans="1:5" x14ac:dyDescent="0.2">
      <c r="A6267">
        <v>6206</v>
      </c>
      <c r="B6267" s="1821">
        <f>'Acct Summary 7-8'!C82</f>
        <v>1337082</v>
      </c>
      <c r="D6267" s="2" t="str">
        <f t="shared" si="96"/>
        <v>Error?</v>
      </c>
      <c r="E6267" s="2" t="s">
        <v>189</v>
      </c>
    </row>
    <row r="6268" spans="1:5" x14ac:dyDescent="0.2">
      <c r="A6268">
        <v>6207</v>
      </c>
      <c r="B6268" s="1821">
        <f>'Acct Summary 7-8'!D82</f>
        <v>-228081</v>
      </c>
      <c r="D6268" s="2" t="str">
        <f t="shared" si="96"/>
        <v>Error?</v>
      </c>
      <c r="E6268" s="2" t="s">
        <v>189</v>
      </c>
    </row>
    <row r="6269" spans="1:5" x14ac:dyDescent="0.2">
      <c r="A6269">
        <v>6208</v>
      </c>
      <c r="B6269" s="1821">
        <f>'Acct Summary 7-8'!E82</f>
        <v>-6882</v>
      </c>
      <c r="D6269" s="2" t="str">
        <f t="shared" si="96"/>
        <v>Error?</v>
      </c>
      <c r="E6269" s="2" t="s">
        <v>189</v>
      </c>
    </row>
    <row r="6270" spans="1:5" x14ac:dyDescent="0.2">
      <c r="A6270">
        <v>6209</v>
      </c>
      <c r="B6270" s="1821">
        <f>'Acct Summary 7-8'!F82</f>
        <v>422607</v>
      </c>
      <c r="D6270" s="2" t="str">
        <f t="shared" si="96"/>
        <v>Error?</v>
      </c>
      <c r="E6270" s="2" t="s">
        <v>189</v>
      </c>
    </row>
    <row r="6271" spans="1:5" x14ac:dyDescent="0.2">
      <c r="A6271">
        <v>6210</v>
      </c>
      <c r="B6271" s="1821">
        <f>'Acct Summary 7-8'!G82</f>
        <v>110600</v>
      </c>
      <c r="D6271" s="2" t="str">
        <f t="shared" ref="D6271:D6334" si="97">IF(ISBLANK(B6271),"OK",IF(A6271-B6271=0,"OK","Error?"))</f>
        <v>Error?</v>
      </c>
      <c r="E6271" s="2" t="s">
        <v>189</v>
      </c>
    </row>
    <row r="6272" spans="1:5" x14ac:dyDescent="0.2">
      <c r="A6272">
        <v>6211</v>
      </c>
      <c r="B6272" s="1821">
        <f>'Acct Summary 7-8'!H82</f>
        <v>-3437961</v>
      </c>
      <c r="D6272" s="2" t="str">
        <f t="shared" si="97"/>
        <v>Error?</v>
      </c>
      <c r="E6272" s="2" t="s">
        <v>189</v>
      </c>
    </row>
    <row r="6273" spans="1:5" x14ac:dyDescent="0.2">
      <c r="A6273">
        <v>6212</v>
      </c>
      <c r="B6273" s="1821">
        <f>'Acct Summary 7-8'!I82</f>
        <v>128235</v>
      </c>
      <c r="D6273" s="2" t="str">
        <f t="shared" si="97"/>
        <v>Error?</v>
      </c>
      <c r="E6273" s="2" t="s">
        <v>189</v>
      </c>
    </row>
    <row r="6274" spans="1:5" x14ac:dyDescent="0.2">
      <c r="A6274">
        <v>6213</v>
      </c>
      <c r="B6274" s="1821">
        <f>'Acct Summary 7-8'!J82</f>
        <v>65479</v>
      </c>
      <c r="D6274" s="2" t="str">
        <f t="shared" si="97"/>
        <v>Error?</v>
      </c>
      <c r="E6274" s="2" t="s">
        <v>189</v>
      </c>
    </row>
    <row r="6275" spans="1:5" x14ac:dyDescent="0.2">
      <c r="A6275">
        <v>6214</v>
      </c>
      <c r="B6275" s="1821">
        <f>'Acct Summary 7-8'!K82</f>
        <v>22527</v>
      </c>
      <c r="D6275" s="2" t="str">
        <f t="shared" si="97"/>
        <v>Error?</v>
      </c>
      <c r="E6275" s="2" t="s">
        <v>189</v>
      </c>
    </row>
    <row r="6276" spans="1:5" x14ac:dyDescent="0.2">
      <c r="A6276">
        <v>6215</v>
      </c>
      <c r="B6276" s="1821">
        <f>'Acct Summary 7-8'!C83</f>
        <v>7.3221127331398156E-2</v>
      </c>
      <c r="D6276" s="2" t="str">
        <f t="shared" si="97"/>
        <v>Error?</v>
      </c>
      <c r="E6276" s="2" t="s">
        <v>189</v>
      </c>
    </row>
    <row r="6277" spans="1:5" x14ac:dyDescent="0.2">
      <c r="A6277">
        <v>6216</v>
      </c>
      <c r="B6277" s="1821">
        <f>'Acct Summary 7-8'!D83</f>
        <v>-6.5390907355068667E-2</v>
      </c>
      <c r="D6277" s="2" t="str">
        <f t="shared" si="97"/>
        <v>Error?</v>
      </c>
      <c r="E6277" s="2" t="s">
        <v>189</v>
      </c>
    </row>
    <row r="6278" spans="1:5" x14ac:dyDescent="0.2">
      <c r="A6278">
        <v>6217</v>
      </c>
      <c r="B6278" s="1821">
        <f>'Acct Summary 7-8'!E83</f>
        <v>2.9156322287089368E-2</v>
      </c>
      <c r="D6278" s="2" t="str">
        <f t="shared" si="97"/>
        <v>Error?</v>
      </c>
      <c r="E6278" s="2" t="s">
        <v>189</v>
      </c>
    </row>
    <row r="6279" spans="1:5" x14ac:dyDescent="0.2">
      <c r="A6279">
        <v>6218</v>
      </c>
      <c r="B6279" s="1821">
        <f>'Acct Summary 7-8'!F83</f>
        <v>0.31871727847404374</v>
      </c>
      <c r="D6279" s="2" t="str">
        <f t="shared" si="97"/>
        <v>Error?</v>
      </c>
      <c r="E6279" s="2" t="s">
        <v>189</v>
      </c>
    </row>
    <row r="6280" spans="1:5" x14ac:dyDescent="0.2">
      <c r="A6280">
        <v>6219</v>
      </c>
      <c r="B6280" s="1821">
        <f>'Acct Summary 7-8'!G83</f>
        <v>6.330403566089185E-2</v>
      </c>
      <c r="D6280" s="2" t="str">
        <f t="shared" si="97"/>
        <v>Error?</v>
      </c>
      <c r="E6280" s="2" t="s">
        <v>189</v>
      </c>
    </row>
    <row r="6281" spans="1:5" x14ac:dyDescent="0.2">
      <c r="A6281">
        <v>6220</v>
      </c>
      <c r="B6281" s="1821">
        <f>'Acct Summary 7-8'!H83</f>
        <v>-4.9062213247518676</v>
      </c>
      <c r="D6281" s="2" t="str">
        <f t="shared" si="97"/>
        <v>Error?</v>
      </c>
      <c r="E6281" s="2" t="s">
        <v>189</v>
      </c>
    </row>
    <row r="6282" spans="1:5" x14ac:dyDescent="0.2">
      <c r="A6282">
        <v>6221</v>
      </c>
      <c r="B6282" s="1821">
        <f>'Acct Summary 7-8'!I83</f>
        <v>0.45293355137909236</v>
      </c>
      <c r="D6282" s="2" t="str">
        <f t="shared" si="97"/>
        <v>Error?</v>
      </c>
      <c r="E6282" s="2" t="s">
        <v>189</v>
      </c>
    </row>
    <row r="6283" spans="1:5" x14ac:dyDescent="0.2">
      <c r="A6283">
        <v>6222</v>
      </c>
      <c r="B6283" s="1821">
        <f>'Acct Summary 7-8'!J83</f>
        <v>0.2040193802676471</v>
      </c>
      <c r="D6283" s="2" t="str">
        <f t="shared" si="97"/>
        <v>Error?</v>
      </c>
      <c r="E6283" s="2" t="s">
        <v>189</v>
      </c>
    </row>
    <row r="6284" spans="1:5" x14ac:dyDescent="0.2">
      <c r="A6284">
        <v>6223</v>
      </c>
      <c r="B6284" s="1821">
        <f>'Acct Summary 7-8'!K83</f>
        <v>0.21612986788705638</v>
      </c>
      <c r="D6284" s="2" t="str">
        <f t="shared" si="97"/>
        <v>Error?</v>
      </c>
      <c r="E6284" s="2" t="s">
        <v>189</v>
      </c>
    </row>
    <row r="6285" spans="1:5" x14ac:dyDescent="0.2">
      <c r="A6285">
        <v>6224</v>
      </c>
      <c r="B6285" s="1821">
        <f>'Acct Summary 7-8'!E37</f>
        <v>350628</v>
      </c>
      <c r="D6285" s="2" t="str">
        <f t="shared" si="97"/>
        <v>Error?</v>
      </c>
      <c r="E6285" s="2" t="s">
        <v>189</v>
      </c>
    </row>
    <row r="6286" spans="1:5" x14ac:dyDescent="0.2">
      <c r="A6286">
        <v>6225</v>
      </c>
      <c r="B6286" s="1821">
        <f>'Acct Summary 7-8'!E38</f>
        <v>13620</v>
      </c>
      <c r="D6286" s="2" t="str">
        <f t="shared" si="97"/>
        <v>Error?</v>
      </c>
      <c r="E6286" s="2" t="s">
        <v>189</v>
      </c>
    </row>
    <row r="6287" spans="1:5" x14ac:dyDescent="0.2">
      <c r="A6287">
        <v>6226</v>
      </c>
      <c r="B6287" s="1821">
        <f>'Acct Summary 7-8'!E39</f>
        <v>353319</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170260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170260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2714</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2714</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149282</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172974</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1892</v>
      </c>
    </row>
    <row r="6383" spans="1:6" x14ac:dyDescent="0.2">
      <c r="A6383" s="126">
        <v>6322</v>
      </c>
      <c r="B6383" s="1821"/>
      <c r="D6383" s="2" t="str">
        <f t="shared" si="98"/>
        <v>OK</v>
      </c>
      <c r="E6383" s="2" t="s">
        <v>189</v>
      </c>
      <c r="F6383" s="1" t="s">
        <v>1892</v>
      </c>
    </row>
    <row r="6384" spans="1:6" x14ac:dyDescent="0.2">
      <c r="A6384" s="126">
        <v>6323</v>
      </c>
      <c r="B6384" s="1821"/>
      <c r="D6384" s="2" t="str">
        <f t="shared" si="98"/>
        <v>OK</v>
      </c>
      <c r="E6384" s="2" t="s">
        <v>189</v>
      </c>
      <c r="F6384" s="1" t="s">
        <v>1892</v>
      </c>
    </row>
    <row r="6385" spans="1:6" x14ac:dyDescent="0.2">
      <c r="A6385" s="126">
        <v>6324</v>
      </c>
      <c r="B6385" s="1821"/>
      <c r="D6385" s="2" t="str">
        <f t="shared" si="98"/>
        <v>OK</v>
      </c>
      <c r="E6385" s="2" t="s">
        <v>189</v>
      </c>
      <c r="F6385" s="1" t="s">
        <v>1892</v>
      </c>
    </row>
    <row r="6386" spans="1:6" x14ac:dyDescent="0.2">
      <c r="A6386" s="126">
        <v>6325</v>
      </c>
      <c r="B6386" s="1821"/>
      <c r="D6386" s="2" t="str">
        <f t="shared" si="98"/>
        <v>OK</v>
      </c>
      <c r="E6386" s="2" t="s">
        <v>189</v>
      </c>
      <c r="F6386" s="1" t="s">
        <v>1892</v>
      </c>
    </row>
    <row r="6387" spans="1:6" x14ac:dyDescent="0.2">
      <c r="A6387" s="126">
        <v>6326</v>
      </c>
      <c r="B6387" s="1821"/>
      <c r="D6387" s="2" t="str">
        <f t="shared" si="98"/>
        <v>OK</v>
      </c>
      <c r="E6387" s="2" t="s">
        <v>189</v>
      </c>
      <c r="F6387" s="1" t="s">
        <v>1892</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1892</v>
      </c>
    </row>
    <row r="6411" spans="1:6" x14ac:dyDescent="0.2">
      <c r="A6411" s="126">
        <v>6350</v>
      </c>
      <c r="B6411" s="1821"/>
      <c r="D6411" s="2" t="str">
        <f t="shared" si="99"/>
        <v>OK</v>
      </c>
      <c r="E6411" s="2" t="s">
        <v>189</v>
      </c>
      <c r="F6411" s="1" t="s">
        <v>1892</v>
      </c>
    </row>
    <row r="6412" spans="1:6" x14ac:dyDescent="0.2">
      <c r="A6412" s="126">
        <v>6351</v>
      </c>
      <c r="B6412" s="1821"/>
      <c r="D6412" s="2" t="str">
        <f t="shared" si="99"/>
        <v>OK</v>
      </c>
      <c r="E6412" s="2" t="s">
        <v>189</v>
      </c>
      <c r="F6412" s="1" t="s">
        <v>1892</v>
      </c>
    </row>
    <row r="6413" spans="1:6" x14ac:dyDescent="0.2">
      <c r="A6413" s="126">
        <v>6352</v>
      </c>
      <c r="B6413" s="1821"/>
      <c r="D6413" s="2" t="str">
        <f t="shared" si="99"/>
        <v>OK</v>
      </c>
      <c r="E6413" s="2" t="s">
        <v>189</v>
      </c>
      <c r="F6413" s="1" t="s">
        <v>1892</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1988</v>
      </c>
    </row>
    <row r="6417" spans="1:5" x14ac:dyDescent="0.2">
      <c r="A6417" s="126">
        <v>6356</v>
      </c>
      <c r="B6417" s="1821"/>
      <c r="D6417" s="2" t="str">
        <f t="shared" si="99"/>
        <v>OK</v>
      </c>
      <c r="E6417" s="4" t="s">
        <v>1988</v>
      </c>
    </row>
    <row r="6418" spans="1:5" x14ac:dyDescent="0.2">
      <c r="A6418" s="126">
        <v>6357</v>
      </c>
      <c r="B6418" s="1821"/>
      <c r="D6418" s="2" t="str">
        <f t="shared" si="99"/>
        <v>OK</v>
      </c>
      <c r="E6418" s="4" t="s">
        <v>1988</v>
      </c>
    </row>
    <row r="6419" spans="1:5" x14ac:dyDescent="0.2">
      <c r="A6419" s="126">
        <v>6358</v>
      </c>
      <c r="B6419" s="1821"/>
      <c r="D6419" s="2" t="str">
        <f t="shared" si="99"/>
        <v>OK</v>
      </c>
      <c r="E6419" s="4" t="s">
        <v>1988</v>
      </c>
    </row>
    <row r="6420" spans="1:5" x14ac:dyDescent="0.2">
      <c r="A6420" s="126">
        <v>6359</v>
      </c>
      <c r="B6420" s="1821"/>
      <c r="D6420" s="2" t="str">
        <f t="shared" si="99"/>
        <v>OK</v>
      </c>
      <c r="E6420" s="4" t="s">
        <v>1988</v>
      </c>
    </row>
    <row r="6421" spans="1:5" x14ac:dyDescent="0.2">
      <c r="A6421" s="126">
        <v>6360</v>
      </c>
      <c r="B6421" s="1821"/>
      <c r="D6421" s="2" t="str">
        <f t="shared" si="99"/>
        <v>OK</v>
      </c>
      <c r="E6421" s="4" t="s">
        <v>1988</v>
      </c>
    </row>
    <row r="6422" spans="1:5" x14ac:dyDescent="0.2">
      <c r="A6422" s="126">
        <v>6361</v>
      </c>
      <c r="B6422" s="1821"/>
      <c r="D6422" s="2" t="str">
        <f t="shared" si="99"/>
        <v>OK</v>
      </c>
      <c r="E6422" s="4" t="s">
        <v>1988</v>
      </c>
    </row>
    <row r="6423" spans="1:5" x14ac:dyDescent="0.2">
      <c r="A6423" s="126">
        <v>6362</v>
      </c>
      <c r="B6423" s="1821"/>
      <c r="D6423" s="2" t="str">
        <f t="shared" si="99"/>
        <v>OK</v>
      </c>
      <c r="E6423" s="4" t="s">
        <v>1988</v>
      </c>
    </row>
    <row r="6424" spans="1:5" x14ac:dyDescent="0.2">
      <c r="A6424" s="126">
        <v>6363</v>
      </c>
      <c r="B6424" s="1821"/>
      <c r="D6424" s="2" t="str">
        <f t="shared" si="99"/>
        <v>OK</v>
      </c>
      <c r="E6424" s="4" t="s">
        <v>1988</v>
      </c>
    </row>
    <row r="6425" spans="1:5" x14ac:dyDescent="0.2">
      <c r="A6425" s="126">
        <v>6364</v>
      </c>
      <c r="B6425" s="1821"/>
      <c r="D6425" s="2" t="str">
        <f t="shared" si="99"/>
        <v>OK</v>
      </c>
      <c r="E6425" s="4" t="s">
        <v>1988</v>
      </c>
    </row>
    <row r="6426" spans="1:5" x14ac:dyDescent="0.2">
      <c r="A6426" s="126">
        <v>6365</v>
      </c>
      <c r="B6426" s="1821"/>
      <c r="D6426" s="2" t="str">
        <f t="shared" si="99"/>
        <v>OK</v>
      </c>
      <c r="E6426" s="4" t="s">
        <v>1988</v>
      </c>
    </row>
    <row r="6427" spans="1:5" x14ac:dyDescent="0.2">
      <c r="A6427" s="126">
        <v>6366</v>
      </c>
      <c r="B6427" s="1821"/>
      <c r="D6427" s="2" t="str">
        <f t="shared" si="99"/>
        <v>OK</v>
      </c>
      <c r="E6427" s="4" t="s">
        <v>1988</v>
      </c>
    </row>
    <row r="6428" spans="1:5" x14ac:dyDescent="0.2">
      <c r="A6428" s="126">
        <v>6367</v>
      </c>
      <c r="B6428" s="1821"/>
      <c r="D6428" s="2" t="str">
        <f t="shared" si="99"/>
        <v>OK</v>
      </c>
      <c r="E6428" s="4" t="s">
        <v>1988</v>
      </c>
    </row>
    <row r="6429" spans="1:5" x14ac:dyDescent="0.2">
      <c r="A6429" s="126">
        <v>6368</v>
      </c>
      <c r="B6429" s="1821"/>
      <c r="D6429" s="2" t="str">
        <f t="shared" si="99"/>
        <v>OK</v>
      </c>
      <c r="E6429" s="4" t="s">
        <v>1988</v>
      </c>
    </row>
    <row r="6430" spans="1:5" x14ac:dyDescent="0.2">
      <c r="A6430" s="126">
        <v>6369</v>
      </c>
      <c r="B6430" s="1821"/>
      <c r="D6430" s="2" t="str">
        <f t="shared" si="99"/>
        <v>OK</v>
      </c>
      <c r="E6430" s="4" t="s">
        <v>1988</v>
      </c>
    </row>
    <row r="6431" spans="1:5" x14ac:dyDescent="0.2">
      <c r="A6431" s="126">
        <v>6370</v>
      </c>
      <c r="B6431" s="1821"/>
      <c r="D6431" s="2" t="str">
        <f t="shared" si="99"/>
        <v>OK</v>
      </c>
      <c r="E6431" s="4" t="s">
        <v>1988</v>
      </c>
    </row>
    <row r="6432" spans="1:5" x14ac:dyDescent="0.2">
      <c r="A6432" s="126">
        <v>6371</v>
      </c>
      <c r="B6432" s="1821"/>
      <c r="D6432" s="2" t="str">
        <f t="shared" si="99"/>
        <v>OK</v>
      </c>
      <c r="E6432" s="4" t="s">
        <v>1988</v>
      </c>
    </row>
    <row r="6433" spans="1:5" x14ac:dyDescent="0.2">
      <c r="A6433" s="126">
        <v>6372</v>
      </c>
      <c r="B6433" s="1821"/>
      <c r="D6433" s="2" t="str">
        <f t="shared" si="99"/>
        <v>OK</v>
      </c>
      <c r="E6433" s="4" t="s">
        <v>1988</v>
      </c>
    </row>
    <row r="6434" spans="1:5" x14ac:dyDescent="0.2">
      <c r="A6434" s="126">
        <v>6373</v>
      </c>
      <c r="B6434" s="1821"/>
      <c r="D6434" s="2" t="str">
        <f t="shared" si="99"/>
        <v>OK</v>
      </c>
      <c r="E6434" s="4" t="s">
        <v>1988</v>
      </c>
    </row>
    <row r="6435" spans="1:5" x14ac:dyDescent="0.2">
      <c r="A6435" s="126">
        <v>6374</v>
      </c>
      <c r="B6435" s="1821"/>
      <c r="D6435" s="2" t="str">
        <f t="shared" si="99"/>
        <v>OK</v>
      </c>
      <c r="E6435" s="4" t="s">
        <v>1988</v>
      </c>
    </row>
    <row r="6436" spans="1:5" x14ac:dyDescent="0.2">
      <c r="A6436" s="126">
        <v>6375</v>
      </c>
      <c r="B6436" s="1821"/>
      <c r="D6436" s="2" t="str">
        <f t="shared" si="99"/>
        <v>OK</v>
      </c>
      <c r="E6436" s="4" t="s">
        <v>1988</v>
      </c>
    </row>
    <row r="6437" spans="1:5" x14ac:dyDescent="0.2">
      <c r="A6437" s="126">
        <v>6376</v>
      </c>
      <c r="B6437" s="1821"/>
      <c r="D6437" s="2" t="str">
        <f t="shared" si="99"/>
        <v>OK</v>
      </c>
      <c r="E6437" s="4" t="s">
        <v>1988</v>
      </c>
    </row>
    <row r="6438" spans="1:5" x14ac:dyDescent="0.2">
      <c r="A6438" s="126">
        <v>6377</v>
      </c>
      <c r="B6438" s="1821"/>
      <c r="D6438" s="2" t="str">
        <f t="shared" si="99"/>
        <v>OK</v>
      </c>
      <c r="E6438" s="4" t="s">
        <v>1988</v>
      </c>
    </row>
    <row r="6439" spans="1:5" x14ac:dyDescent="0.2">
      <c r="A6439" s="126">
        <v>6378</v>
      </c>
      <c r="B6439" s="1821"/>
      <c r="D6439" s="2" t="str">
        <f t="shared" si="99"/>
        <v>OK</v>
      </c>
      <c r="E6439" s="4" t="s">
        <v>1988</v>
      </c>
    </row>
    <row r="6440" spans="1:5" x14ac:dyDescent="0.2">
      <c r="A6440" s="126">
        <v>6379</v>
      </c>
      <c r="B6440" s="1821"/>
      <c r="D6440" s="2" t="str">
        <f t="shared" si="99"/>
        <v>OK</v>
      </c>
      <c r="E6440" s="4" t="s">
        <v>1988</v>
      </c>
    </row>
    <row r="6441" spans="1:5" x14ac:dyDescent="0.2">
      <c r="A6441" s="126">
        <v>6380</v>
      </c>
      <c r="B6441" s="1821"/>
      <c r="D6441" s="2" t="str">
        <f t="shared" si="99"/>
        <v>OK</v>
      </c>
      <c r="E6441" s="4" t="s">
        <v>1988</v>
      </c>
    </row>
    <row r="6442" spans="1:5" x14ac:dyDescent="0.2">
      <c r="A6442" s="126">
        <v>6381</v>
      </c>
      <c r="B6442" s="1821"/>
      <c r="D6442" s="2" t="str">
        <f t="shared" si="99"/>
        <v>OK</v>
      </c>
      <c r="E6442" s="4" t="s">
        <v>1988</v>
      </c>
    </row>
    <row r="6443" spans="1:5" x14ac:dyDescent="0.2">
      <c r="A6443" s="126">
        <v>6382</v>
      </c>
      <c r="B6443" s="1821"/>
      <c r="D6443" s="2" t="str">
        <f t="shared" si="99"/>
        <v>OK</v>
      </c>
      <c r="E6443" s="4" t="s">
        <v>1988</v>
      </c>
    </row>
    <row r="6444" spans="1:5" x14ac:dyDescent="0.2">
      <c r="A6444" s="126">
        <v>6383</v>
      </c>
      <c r="B6444" s="1821"/>
      <c r="D6444" s="2" t="str">
        <f t="shared" si="99"/>
        <v>OK</v>
      </c>
      <c r="E6444" s="4" t="s">
        <v>1988</v>
      </c>
    </row>
    <row r="6445" spans="1:5" x14ac:dyDescent="0.2">
      <c r="A6445" s="126">
        <v>6384</v>
      </c>
      <c r="B6445" s="1821"/>
      <c r="D6445" s="2" t="str">
        <f t="shared" si="99"/>
        <v>OK</v>
      </c>
      <c r="E6445" s="4" t="s">
        <v>1988</v>
      </c>
    </row>
    <row r="6446" spans="1:5" x14ac:dyDescent="0.2">
      <c r="A6446" s="126">
        <v>6385</v>
      </c>
      <c r="B6446" s="1821"/>
      <c r="D6446" s="2" t="str">
        <f t="shared" si="99"/>
        <v>OK</v>
      </c>
      <c r="E6446" s="4" t="s">
        <v>1988</v>
      </c>
    </row>
    <row r="6447" spans="1:5" x14ac:dyDescent="0.2">
      <c r="A6447" s="126">
        <v>6386</v>
      </c>
      <c r="B6447" s="1821"/>
      <c r="D6447" s="2" t="str">
        <f t="shared" si="99"/>
        <v>OK</v>
      </c>
      <c r="E6447" s="4" t="s">
        <v>1988</v>
      </c>
    </row>
    <row r="6448" spans="1:5" x14ac:dyDescent="0.2">
      <c r="A6448" s="126">
        <v>6387</v>
      </c>
      <c r="B6448" s="1821"/>
      <c r="D6448" s="2" t="str">
        <f t="shared" si="99"/>
        <v>OK</v>
      </c>
      <c r="E6448" s="4" t="s">
        <v>1988</v>
      </c>
    </row>
    <row r="6449" spans="1:5" x14ac:dyDescent="0.2">
      <c r="A6449" s="126">
        <v>6388</v>
      </c>
      <c r="B6449" s="1821"/>
      <c r="D6449" s="2" t="str">
        <f t="shared" si="99"/>
        <v>OK</v>
      </c>
      <c r="E6449" s="4" t="s">
        <v>1988</v>
      </c>
    </row>
    <row r="6450" spans="1:5" x14ac:dyDescent="0.2">
      <c r="A6450" s="126">
        <v>6389</v>
      </c>
      <c r="B6450" s="1821"/>
      <c r="D6450" s="2" t="str">
        <f t="shared" si="99"/>
        <v>OK</v>
      </c>
      <c r="E6450" s="4" t="s">
        <v>1988</v>
      </c>
    </row>
    <row r="6451" spans="1:5" x14ac:dyDescent="0.2">
      <c r="A6451" s="126">
        <v>6390</v>
      </c>
      <c r="B6451" s="1821"/>
      <c r="D6451" s="2" t="str">
        <f t="shared" si="99"/>
        <v>OK</v>
      </c>
      <c r="E6451" s="4" t="s">
        <v>1988</v>
      </c>
    </row>
    <row r="6452" spans="1:5" x14ac:dyDescent="0.2">
      <c r="A6452" s="126">
        <v>6391</v>
      </c>
      <c r="B6452" s="1821"/>
      <c r="D6452" s="2" t="str">
        <f t="shared" si="99"/>
        <v>OK</v>
      </c>
      <c r="E6452" s="4" t="s">
        <v>1988</v>
      </c>
    </row>
    <row r="6453" spans="1:5" x14ac:dyDescent="0.2">
      <c r="A6453" s="126">
        <v>6392</v>
      </c>
      <c r="B6453" s="1821"/>
      <c r="D6453" s="2" t="str">
        <f t="shared" si="99"/>
        <v>OK</v>
      </c>
      <c r="E6453" s="4" t="s">
        <v>1988</v>
      </c>
    </row>
    <row r="6454" spans="1:5" x14ac:dyDescent="0.2">
      <c r="A6454" s="126">
        <v>6393</v>
      </c>
      <c r="B6454" s="1821"/>
      <c r="D6454" s="2" t="str">
        <f t="shared" si="99"/>
        <v>OK</v>
      </c>
      <c r="E6454" s="4" t="s">
        <v>1988</v>
      </c>
    </row>
    <row r="6455" spans="1:5" x14ac:dyDescent="0.2">
      <c r="A6455" s="126">
        <v>6394</v>
      </c>
      <c r="B6455" s="1821"/>
      <c r="D6455" s="2" t="str">
        <f t="shared" si="99"/>
        <v>OK</v>
      </c>
      <c r="E6455" s="4" t="s">
        <v>1988</v>
      </c>
    </row>
    <row r="6456" spans="1:5" x14ac:dyDescent="0.2">
      <c r="A6456" s="126">
        <v>6395</v>
      </c>
      <c r="B6456" s="1821"/>
      <c r="D6456" s="2" t="str">
        <f t="shared" si="99"/>
        <v>OK</v>
      </c>
      <c r="E6456" s="4" t="s">
        <v>1988</v>
      </c>
    </row>
    <row r="6457" spans="1:5" x14ac:dyDescent="0.2">
      <c r="A6457" s="126">
        <v>6396</v>
      </c>
      <c r="B6457" s="1821"/>
      <c r="D6457" s="2" t="str">
        <f t="shared" si="99"/>
        <v>OK</v>
      </c>
      <c r="E6457" s="4" t="s">
        <v>1988</v>
      </c>
    </row>
    <row r="6458" spans="1:5" x14ac:dyDescent="0.2">
      <c r="A6458" s="126">
        <v>6397</v>
      </c>
      <c r="B6458" s="1821"/>
      <c r="D6458" s="2" t="str">
        <f t="shared" si="99"/>
        <v>OK</v>
      </c>
      <c r="E6458" s="4" t="s">
        <v>1988</v>
      </c>
    </row>
    <row r="6459" spans="1:5" x14ac:dyDescent="0.2">
      <c r="A6459" s="126">
        <v>6398</v>
      </c>
      <c r="B6459" s="1821"/>
      <c r="D6459" s="2" t="str">
        <f t="shared" si="99"/>
        <v>OK</v>
      </c>
      <c r="E6459" s="4" t="s">
        <v>1988</v>
      </c>
    </row>
    <row r="6460" spans="1:5" x14ac:dyDescent="0.2">
      <c r="A6460" s="126">
        <v>6399</v>
      </c>
      <c r="B6460" s="1821"/>
      <c r="D6460" s="2" t="str">
        <f t="shared" si="99"/>
        <v>OK</v>
      </c>
      <c r="E6460" s="4" t="s">
        <v>1988</v>
      </c>
    </row>
    <row r="6461" spans="1:5" x14ac:dyDescent="0.2">
      <c r="A6461" s="126">
        <v>6400</v>
      </c>
      <c r="B6461" s="1821"/>
      <c r="D6461" s="2" t="str">
        <f t="shared" si="99"/>
        <v>OK</v>
      </c>
      <c r="E6461" s="4" t="s">
        <v>1988</v>
      </c>
    </row>
    <row r="6462" spans="1:5" x14ac:dyDescent="0.2">
      <c r="A6462" s="126">
        <v>6401</v>
      </c>
      <c r="B6462" s="1821"/>
      <c r="D6462" s="2" t="str">
        <f t="shared" si="99"/>
        <v>OK</v>
      </c>
      <c r="E6462" s="4" t="s">
        <v>1988</v>
      </c>
    </row>
    <row r="6463" spans="1:5" x14ac:dyDescent="0.2">
      <c r="A6463" s="126">
        <v>6402</v>
      </c>
      <c r="B6463" s="1821"/>
      <c r="D6463" s="2" t="str">
        <f t="shared" ref="D6463:D6526" si="100">IF(ISBLANK(B6463),"OK",IF(A6463-B6463=0,"OK","Error?"))</f>
        <v>OK</v>
      </c>
      <c r="E6463" s="4" t="s">
        <v>1988</v>
      </c>
    </row>
    <row r="6464" spans="1:5" x14ac:dyDescent="0.2">
      <c r="A6464" s="126">
        <v>6403</v>
      </c>
      <c r="B6464" s="1821"/>
      <c r="D6464" s="2" t="str">
        <f t="shared" si="100"/>
        <v>OK</v>
      </c>
      <c r="E6464" s="4" t="s">
        <v>1988</v>
      </c>
    </row>
    <row r="6465" spans="1:5" x14ac:dyDescent="0.2">
      <c r="A6465" s="126">
        <v>6404</v>
      </c>
      <c r="B6465" s="1821"/>
      <c r="D6465" s="2" t="str">
        <f t="shared" si="100"/>
        <v>OK</v>
      </c>
      <c r="E6465" s="4" t="s">
        <v>1988</v>
      </c>
    </row>
    <row r="6466" spans="1:5" x14ac:dyDescent="0.2">
      <c r="A6466" s="126">
        <v>6405</v>
      </c>
      <c r="B6466" s="1821"/>
      <c r="D6466" s="2" t="str">
        <f t="shared" si="100"/>
        <v>OK</v>
      </c>
      <c r="E6466" s="4" t="s">
        <v>1988</v>
      </c>
    </row>
    <row r="6467" spans="1:5" x14ac:dyDescent="0.2">
      <c r="A6467" s="126">
        <v>6406</v>
      </c>
      <c r="B6467" s="1821"/>
      <c r="D6467" s="2" t="str">
        <f t="shared" si="100"/>
        <v>OK</v>
      </c>
      <c r="E6467" s="4" t="s">
        <v>1988</v>
      </c>
    </row>
    <row r="6468" spans="1:5" x14ac:dyDescent="0.2">
      <c r="A6468" s="126">
        <v>6407</v>
      </c>
      <c r="B6468" s="1821"/>
      <c r="D6468" s="2" t="str">
        <f t="shared" si="100"/>
        <v>OK</v>
      </c>
      <c r="E6468" s="4" t="s">
        <v>1988</v>
      </c>
    </row>
    <row r="6469" spans="1:5" x14ac:dyDescent="0.2">
      <c r="A6469" s="126">
        <v>6408</v>
      </c>
      <c r="B6469" s="1821"/>
      <c r="D6469" s="2" t="str">
        <f t="shared" si="100"/>
        <v>OK</v>
      </c>
      <c r="E6469" s="4" t="s">
        <v>1988</v>
      </c>
    </row>
    <row r="6470" spans="1:5" x14ac:dyDescent="0.2">
      <c r="A6470" s="126">
        <v>6409</v>
      </c>
      <c r="B6470" s="1821"/>
      <c r="D6470" s="2" t="str">
        <f t="shared" si="100"/>
        <v>OK</v>
      </c>
      <c r="E6470" s="4" t="s">
        <v>1988</v>
      </c>
    </row>
    <row r="6471" spans="1:5" x14ac:dyDescent="0.2">
      <c r="A6471" s="126">
        <v>6410</v>
      </c>
      <c r="B6471" s="1821"/>
      <c r="D6471" s="2" t="str">
        <f t="shared" si="100"/>
        <v>OK</v>
      </c>
      <c r="E6471" s="4" t="s">
        <v>1988</v>
      </c>
    </row>
    <row r="6472" spans="1:5" x14ac:dyDescent="0.2">
      <c r="A6472" s="126">
        <v>6411</v>
      </c>
      <c r="B6472" s="1821"/>
      <c r="D6472" s="2" t="str">
        <f t="shared" si="100"/>
        <v>OK</v>
      </c>
      <c r="E6472" s="4" t="s">
        <v>1988</v>
      </c>
    </row>
    <row r="6473" spans="1:5" x14ac:dyDescent="0.2">
      <c r="A6473" s="126">
        <v>6412</v>
      </c>
      <c r="B6473" s="1821"/>
      <c r="D6473" s="2" t="str">
        <f t="shared" si="100"/>
        <v>OK</v>
      </c>
      <c r="E6473" s="4" t="s">
        <v>1988</v>
      </c>
    </row>
    <row r="6474" spans="1:5" x14ac:dyDescent="0.2">
      <c r="A6474" s="126">
        <v>6413</v>
      </c>
      <c r="B6474" s="1821"/>
      <c r="D6474" s="2" t="str">
        <f t="shared" si="100"/>
        <v>OK</v>
      </c>
      <c r="E6474" s="4" t="s">
        <v>1988</v>
      </c>
    </row>
    <row r="6475" spans="1:5" x14ac:dyDescent="0.2">
      <c r="A6475" s="126">
        <v>6414</v>
      </c>
      <c r="B6475" s="1821"/>
      <c r="D6475" s="2" t="str">
        <f t="shared" si="100"/>
        <v>OK</v>
      </c>
      <c r="E6475" s="4" t="s">
        <v>1988</v>
      </c>
    </row>
    <row r="6476" spans="1:5" x14ac:dyDescent="0.2">
      <c r="A6476" s="126">
        <v>6415</v>
      </c>
      <c r="B6476" s="1821"/>
      <c r="D6476" s="2" t="str">
        <f t="shared" si="100"/>
        <v>OK</v>
      </c>
      <c r="E6476" s="4" t="s">
        <v>1988</v>
      </c>
    </row>
    <row r="6477" spans="1:5" x14ac:dyDescent="0.2">
      <c r="A6477" s="126">
        <v>6416</v>
      </c>
      <c r="B6477" s="1821"/>
      <c r="D6477" s="2" t="str">
        <f t="shared" si="100"/>
        <v>OK</v>
      </c>
      <c r="E6477" s="4" t="s">
        <v>1988</v>
      </c>
    </row>
    <row r="6478" spans="1:5" x14ac:dyDescent="0.2">
      <c r="A6478" s="126">
        <v>6417</v>
      </c>
      <c r="B6478" s="1821"/>
      <c r="D6478" s="2" t="str">
        <f t="shared" si="100"/>
        <v>OK</v>
      </c>
      <c r="E6478" s="4" t="s">
        <v>1988</v>
      </c>
    </row>
    <row r="6479" spans="1:5" x14ac:dyDescent="0.2">
      <c r="A6479" s="126">
        <v>6418</v>
      </c>
      <c r="B6479" s="1821"/>
      <c r="D6479" s="2" t="str">
        <f t="shared" si="100"/>
        <v>OK</v>
      </c>
      <c r="E6479" s="4" t="s">
        <v>1988</v>
      </c>
    </row>
    <row r="6480" spans="1:5" x14ac:dyDescent="0.2">
      <c r="A6480" s="126">
        <v>6419</v>
      </c>
      <c r="B6480" s="1821"/>
      <c r="D6480" s="2" t="str">
        <f t="shared" si="100"/>
        <v>OK</v>
      </c>
      <c r="E6480" s="4" t="s">
        <v>1988</v>
      </c>
    </row>
    <row r="6481" spans="1:5" x14ac:dyDescent="0.2">
      <c r="A6481" s="126">
        <v>6420</v>
      </c>
      <c r="B6481" s="1821"/>
      <c r="D6481" s="2" t="str">
        <f t="shared" si="100"/>
        <v>OK</v>
      </c>
      <c r="E6481" s="4" t="s">
        <v>1988</v>
      </c>
    </row>
    <row r="6482" spans="1:5" x14ac:dyDescent="0.2">
      <c r="A6482" s="126">
        <v>6421</v>
      </c>
      <c r="B6482" s="1821"/>
      <c r="D6482" s="2" t="str">
        <f t="shared" si="100"/>
        <v>OK</v>
      </c>
      <c r="E6482" s="4" t="s">
        <v>1988</v>
      </c>
    </row>
    <row r="6483" spans="1:5" x14ac:dyDescent="0.2">
      <c r="A6483" s="126">
        <v>6422</v>
      </c>
      <c r="B6483" s="1821"/>
      <c r="D6483" s="2" t="str">
        <f t="shared" si="100"/>
        <v>OK</v>
      </c>
      <c r="E6483" s="4" t="s">
        <v>1988</v>
      </c>
    </row>
    <row r="6484" spans="1:5" x14ac:dyDescent="0.2">
      <c r="A6484" s="126">
        <v>6423</v>
      </c>
      <c r="B6484" s="1821"/>
      <c r="D6484" s="2" t="str">
        <f t="shared" si="100"/>
        <v>OK</v>
      </c>
      <c r="E6484" s="4" t="s">
        <v>1988</v>
      </c>
    </row>
    <row r="6485" spans="1:5" x14ac:dyDescent="0.2">
      <c r="A6485" s="126">
        <v>6424</v>
      </c>
      <c r="B6485" s="1821"/>
      <c r="D6485" s="2" t="str">
        <f t="shared" si="100"/>
        <v>OK</v>
      </c>
      <c r="E6485" s="4" t="s">
        <v>1988</v>
      </c>
    </row>
    <row r="6486" spans="1:5" x14ac:dyDescent="0.2">
      <c r="A6486" s="126">
        <v>6425</v>
      </c>
      <c r="B6486" s="1821"/>
      <c r="D6486" s="2" t="str">
        <f t="shared" si="100"/>
        <v>OK</v>
      </c>
      <c r="E6486" s="4" t="s">
        <v>1988</v>
      </c>
    </row>
    <row r="6487" spans="1:5" x14ac:dyDescent="0.2">
      <c r="A6487" s="126">
        <v>6426</v>
      </c>
      <c r="B6487" s="1821"/>
      <c r="D6487" s="2" t="str">
        <f t="shared" si="100"/>
        <v>OK</v>
      </c>
      <c r="E6487" s="4" t="s">
        <v>1988</v>
      </c>
    </row>
    <row r="6488" spans="1:5" x14ac:dyDescent="0.2">
      <c r="A6488" s="126">
        <v>6427</v>
      </c>
      <c r="B6488" s="1821"/>
      <c r="D6488" s="2" t="str">
        <f t="shared" si="100"/>
        <v>OK</v>
      </c>
      <c r="E6488" s="4" t="s">
        <v>1988</v>
      </c>
    </row>
    <row r="6489" spans="1:5" x14ac:dyDescent="0.2">
      <c r="A6489" s="126">
        <v>6428</v>
      </c>
      <c r="B6489" s="1821"/>
      <c r="D6489" s="2" t="str">
        <f t="shared" si="100"/>
        <v>OK</v>
      </c>
      <c r="E6489" s="4" t="s">
        <v>1988</v>
      </c>
    </row>
    <row r="6490" spans="1:5" x14ac:dyDescent="0.2">
      <c r="A6490" s="126">
        <v>6429</v>
      </c>
      <c r="B6490" s="1821"/>
      <c r="D6490" s="2" t="str">
        <f t="shared" si="100"/>
        <v>OK</v>
      </c>
      <c r="E6490" s="4" t="s">
        <v>1988</v>
      </c>
    </row>
    <row r="6491" spans="1:5" x14ac:dyDescent="0.2">
      <c r="A6491" s="126">
        <v>6430</v>
      </c>
      <c r="B6491" s="1821"/>
      <c r="D6491" s="2" t="str">
        <f t="shared" si="100"/>
        <v>OK</v>
      </c>
      <c r="E6491" s="4" t="s">
        <v>1988</v>
      </c>
    </row>
    <row r="6492" spans="1:5" x14ac:dyDescent="0.2">
      <c r="A6492" s="126">
        <v>6431</v>
      </c>
      <c r="B6492" s="1821"/>
      <c r="D6492" s="2" t="str">
        <f t="shared" si="100"/>
        <v>OK</v>
      </c>
      <c r="E6492" s="4" t="s">
        <v>1988</v>
      </c>
    </row>
    <row r="6493" spans="1:5" x14ac:dyDescent="0.2">
      <c r="A6493" s="126">
        <v>6432</v>
      </c>
      <c r="B6493" s="1821"/>
      <c r="D6493" s="2" t="str">
        <f t="shared" si="100"/>
        <v>OK</v>
      </c>
      <c r="E6493" s="4" t="s">
        <v>1988</v>
      </c>
    </row>
    <row r="6494" spans="1:5" x14ac:dyDescent="0.2">
      <c r="A6494" s="126">
        <v>6433</v>
      </c>
      <c r="B6494" s="1821"/>
      <c r="D6494" s="2" t="str">
        <f t="shared" si="100"/>
        <v>OK</v>
      </c>
      <c r="E6494" s="4" t="s">
        <v>1988</v>
      </c>
    </row>
    <row r="6495" spans="1:5" x14ac:dyDescent="0.2">
      <c r="A6495" s="126">
        <v>6434</v>
      </c>
      <c r="B6495" s="1821"/>
      <c r="D6495" s="2" t="str">
        <f t="shared" si="100"/>
        <v>OK</v>
      </c>
      <c r="E6495" s="4" t="s">
        <v>1988</v>
      </c>
    </row>
    <row r="6496" spans="1:5" x14ac:dyDescent="0.2">
      <c r="A6496" s="126">
        <v>6435</v>
      </c>
      <c r="B6496" s="1821"/>
      <c r="D6496" s="2" t="str">
        <f t="shared" si="100"/>
        <v>OK</v>
      </c>
      <c r="E6496" s="4" t="s">
        <v>1988</v>
      </c>
    </row>
    <row r="6497" spans="1:5" x14ac:dyDescent="0.2">
      <c r="A6497" s="126">
        <v>6436</v>
      </c>
      <c r="B6497" s="1821"/>
      <c r="D6497" s="2" t="str">
        <f t="shared" si="100"/>
        <v>OK</v>
      </c>
      <c r="E6497" s="4" t="s">
        <v>1988</v>
      </c>
    </row>
    <row r="6498" spans="1:5" x14ac:dyDescent="0.2">
      <c r="A6498" s="126">
        <v>6437</v>
      </c>
      <c r="B6498" s="1821"/>
      <c r="D6498" s="2" t="str">
        <f t="shared" si="100"/>
        <v>OK</v>
      </c>
      <c r="E6498" s="4" t="s">
        <v>1988</v>
      </c>
    </row>
    <row r="6499" spans="1:5" x14ac:dyDescent="0.2">
      <c r="A6499" s="126">
        <v>6438</v>
      </c>
      <c r="B6499" s="1821"/>
      <c r="D6499" s="2" t="str">
        <f t="shared" si="100"/>
        <v>OK</v>
      </c>
      <c r="E6499" s="4" t="s">
        <v>1988</v>
      </c>
    </row>
    <row r="6500" spans="1:5" x14ac:dyDescent="0.2">
      <c r="A6500" s="126">
        <v>6439</v>
      </c>
      <c r="B6500" s="1821"/>
      <c r="D6500" s="2" t="str">
        <f t="shared" si="100"/>
        <v>OK</v>
      </c>
      <c r="E6500" s="4" t="s">
        <v>1988</v>
      </c>
    </row>
    <row r="6501" spans="1:5" x14ac:dyDescent="0.2">
      <c r="A6501" s="126">
        <v>6440</v>
      </c>
      <c r="B6501" s="1821"/>
      <c r="D6501" s="2" t="str">
        <f t="shared" si="100"/>
        <v>OK</v>
      </c>
      <c r="E6501" s="4" t="s">
        <v>1988</v>
      </c>
    </row>
    <row r="6502" spans="1:5" x14ac:dyDescent="0.2">
      <c r="A6502" s="126">
        <v>6441</v>
      </c>
      <c r="B6502" s="1821"/>
      <c r="D6502" s="2" t="str">
        <f t="shared" si="100"/>
        <v>OK</v>
      </c>
      <c r="E6502" s="4" t="s">
        <v>1988</v>
      </c>
    </row>
    <row r="6503" spans="1:5" x14ac:dyDescent="0.2">
      <c r="A6503" s="126">
        <v>6442</v>
      </c>
      <c r="B6503" s="1821"/>
      <c r="D6503" s="2" t="str">
        <f t="shared" si="100"/>
        <v>OK</v>
      </c>
      <c r="E6503" s="4" t="s">
        <v>1988</v>
      </c>
    </row>
    <row r="6504" spans="1:5" x14ac:dyDescent="0.2">
      <c r="A6504" s="126">
        <v>6443</v>
      </c>
      <c r="B6504" s="1821"/>
      <c r="D6504" s="2" t="str">
        <f t="shared" si="100"/>
        <v>OK</v>
      </c>
      <c r="E6504" s="4" t="s">
        <v>1988</v>
      </c>
    </row>
    <row r="6505" spans="1:5" x14ac:dyDescent="0.2">
      <c r="A6505" s="126">
        <v>6444</v>
      </c>
      <c r="B6505" s="1821"/>
      <c r="D6505" s="2" t="str">
        <f t="shared" si="100"/>
        <v>OK</v>
      </c>
      <c r="E6505" s="4" t="s">
        <v>1988</v>
      </c>
    </row>
    <row r="6506" spans="1:5" x14ac:dyDescent="0.2">
      <c r="A6506" s="126">
        <v>6445</v>
      </c>
      <c r="B6506" s="1821"/>
      <c r="D6506" s="2" t="str">
        <f t="shared" si="100"/>
        <v>OK</v>
      </c>
      <c r="E6506" s="4" t="s">
        <v>1988</v>
      </c>
    </row>
    <row r="6507" spans="1:5" x14ac:dyDescent="0.2">
      <c r="A6507" s="126">
        <v>6446</v>
      </c>
      <c r="B6507" s="1821"/>
      <c r="D6507" s="2" t="str">
        <f t="shared" si="100"/>
        <v>OK</v>
      </c>
      <c r="E6507" s="4" t="s">
        <v>1988</v>
      </c>
    </row>
    <row r="6508" spans="1:5" x14ac:dyDescent="0.2">
      <c r="A6508" s="126">
        <v>6447</v>
      </c>
      <c r="B6508" s="1821"/>
      <c r="D6508" s="2" t="str">
        <f t="shared" si="100"/>
        <v>OK</v>
      </c>
      <c r="E6508" s="4" t="s">
        <v>1988</v>
      </c>
    </row>
    <row r="6509" spans="1:5" x14ac:dyDescent="0.2">
      <c r="A6509" s="126">
        <v>6448</v>
      </c>
      <c r="B6509" s="1821"/>
      <c r="D6509" s="2" t="str">
        <f t="shared" si="100"/>
        <v>OK</v>
      </c>
      <c r="E6509" s="4" t="s">
        <v>1988</v>
      </c>
    </row>
    <row r="6510" spans="1:5" x14ac:dyDescent="0.2">
      <c r="A6510" s="126">
        <v>6449</v>
      </c>
      <c r="B6510" s="1821"/>
      <c r="D6510" s="2" t="str">
        <f t="shared" si="100"/>
        <v>OK</v>
      </c>
      <c r="E6510" s="4" t="s">
        <v>1988</v>
      </c>
    </row>
    <row r="6511" spans="1:5" x14ac:dyDescent="0.2">
      <c r="A6511" s="126">
        <v>6450</v>
      </c>
      <c r="B6511" s="1821"/>
      <c r="D6511" s="2" t="str">
        <f t="shared" si="100"/>
        <v>OK</v>
      </c>
      <c r="E6511" s="4" t="s">
        <v>1988</v>
      </c>
    </row>
    <row r="6512" spans="1:5" x14ac:dyDescent="0.2">
      <c r="A6512" s="126">
        <v>6451</v>
      </c>
      <c r="B6512" s="1821"/>
      <c r="D6512" s="2" t="str">
        <f t="shared" si="100"/>
        <v>OK</v>
      </c>
      <c r="E6512" s="4" t="s">
        <v>1988</v>
      </c>
    </row>
    <row r="6513" spans="1:5" x14ac:dyDescent="0.2">
      <c r="A6513" s="126">
        <v>6452</v>
      </c>
      <c r="B6513" s="1821"/>
      <c r="D6513" s="2" t="str">
        <f t="shared" si="100"/>
        <v>OK</v>
      </c>
      <c r="E6513" s="4" t="s">
        <v>1988</v>
      </c>
    </row>
    <row r="6514" spans="1:5" x14ac:dyDescent="0.2">
      <c r="A6514" s="126">
        <v>6453</v>
      </c>
      <c r="B6514" s="1821"/>
      <c r="D6514" s="2" t="str">
        <f t="shared" si="100"/>
        <v>OK</v>
      </c>
      <c r="E6514" s="4" t="s">
        <v>1988</v>
      </c>
    </row>
    <row r="6515" spans="1:5" x14ac:dyDescent="0.2">
      <c r="A6515" s="126">
        <v>6454</v>
      </c>
      <c r="B6515" s="1821"/>
      <c r="D6515" s="2" t="str">
        <f t="shared" si="100"/>
        <v>OK</v>
      </c>
      <c r="E6515" s="4" t="s">
        <v>1988</v>
      </c>
    </row>
    <row r="6516" spans="1:5" x14ac:dyDescent="0.2">
      <c r="A6516" s="126">
        <v>6455</v>
      </c>
      <c r="B6516" s="1821"/>
      <c r="D6516" s="2" t="str">
        <f t="shared" si="100"/>
        <v>OK</v>
      </c>
      <c r="E6516" s="4" t="s">
        <v>1988</v>
      </c>
    </row>
    <row r="6517" spans="1:5" x14ac:dyDescent="0.2">
      <c r="A6517" s="126">
        <v>6456</v>
      </c>
      <c r="B6517" s="1821"/>
      <c r="D6517" s="2" t="str">
        <f t="shared" si="100"/>
        <v>OK</v>
      </c>
      <c r="E6517" s="4" t="s">
        <v>1988</v>
      </c>
    </row>
    <row r="6518" spans="1:5" x14ac:dyDescent="0.2">
      <c r="A6518" s="126">
        <v>6457</v>
      </c>
      <c r="B6518" s="1821"/>
      <c r="D6518" s="2" t="str">
        <f t="shared" si="100"/>
        <v>OK</v>
      </c>
      <c r="E6518" s="4" t="s">
        <v>1988</v>
      </c>
    </row>
    <row r="6519" spans="1:5" x14ac:dyDescent="0.2">
      <c r="A6519" s="126">
        <v>6458</v>
      </c>
      <c r="B6519" s="1821"/>
      <c r="D6519" s="2" t="str">
        <f t="shared" si="100"/>
        <v>OK</v>
      </c>
      <c r="E6519" s="4" t="s">
        <v>1988</v>
      </c>
    </row>
    <row r="6520" spans="1:5" x14ac:dyDescent="0.2">
      <c r="A6520" s="126">
        <v>6459</v>
      </c>
      <c r="B6520" s="1821"/>
      <c r="D6520" s="2" t="str">
        <f t="shared" si="100"/>
        <v>OK</v>
      </c>
      <c r="E6520" s="4" t="s">
        <v>1988</v>
      </c>
    </row>
    <row r="6521" spans="1:5" x14ac:dyDescent="0.2">
      <c r="A6521" s="126">
        <v>6460</v>
      </c>
      <c r="B6521" s="1821"/>
      <c r="D6521" s="2" t="str">
        <f t="shared" si="100"/>
        <v>OK</v>
      </c>
      <c r="E6521" s="4" t="s">
        <v>1988</v>
      </c>
    </row>
    <row r="6522" spans="1:5" x14ac:dyDescent="0.2">
      <c r="A6522" s="126">
        <v>6461</v>
      </c>
      <c r="B6522" s="1821"/>
      <c r="D6522" s="2" t="str">
        <f t="shared" si="100"/>
        <v>OK</v>
      </c>
      <c r="E6522" s="4" t="s">
        <v>1988</v>
      </c>
    </row>
    <row r="6523" spans="1:5" x14ac:dyDescent="0.2">
      <c r="A6523" s="126">
        <v>6462</v>
      </c>
      <c r="B6523" s="1821"/>
      <c r="D6523" s="2" t="str">
        <f t="shared" si="100"/>
        <v>OK</v>
      </c>
      <c r="E6523" s="4" t="s">
        <v>1988</v>
      </c>
    </row>
    <row r="6524" spans="1:5" x14ac:dyDescent="0.2">
      <c r="A6524" s="126">
        <v>6463</v>
      </c>
      <c r="B6524" s="1821"/>
      <c r="D6524" s="2" t="str">
        <f t="shared" si="100"/>
        <v>OK</v>
      </c>
      <c r="E6524" s="4" t="s">
        <v>1988</v>
      </c>
    </row>
    <row r="6525" spans="1:5" x14ac:dyDescent="0.2">
      <c r="A6525" s="126">
        <v>6464</v>
      </c>
      <c r="B6525" s="1821"/>
      <c r="D6525" s="2" t="str">
        <f t="shared" si="100"/>
        <v>OK</v>
      </c>
      <c r="E6525" s="4" t="s">
        <v>1988</v>
      </c>
    </row>
    <row r="6526" spans="1:5" x14ac:dyDescent="0.2">
      <c r="A6526" s="126">
        <v>6465</v>
      </c>
      <c r="B6526" s="1821"/>
      <c r="D6526" s="2" t="str">
        <f t="shared" si="100"/>
        <v>OK</v>
      </c>
      <c r="E6526" s="4" t="s">
        <v>1988</v>
      </c>
    </row>
    <row r="6527" spans="1:5" x14ac:dyDescent="0.2">
      <c r="A6527" s="126">
        <v>6466</v>
      </c>
      <c r="B6527" s="1821"/>
      <c r="D6527" s="2" t="str">
        <f t="shared" ref="D6527:D6590" si="101">IF(ISBLANK(B6527),"OK",IF(A6527-B6527=0,"OK","Error?"))</f>
        <v>OK</v>
      </c>
      <c r="E6527" s="4" t="s">
        <v>1988</v>
      </c>
    </row>
    <row r="6528" spans="1:5" x14ac:dyDescent="0.2">
      <c r="A6528" s="126">
        <v>6467</v>
      </c>
      <c r="B6528" s="1821"/>
      <c r="D6528" s="2" t="str">
        <f t="shared" si="101"/>
        <v>OK</v>
      </c>
      <c r="E6528" s="4" t="s">
        <v>1988</v>
      </c>
    </row>
    <row r="6529" spans="1:5" x14ac:dyDescent="0.2">
      <c r="A6529" s="126">
        <v>6468</v>
      </c>
      <c r="B6529" s="1821"/>
      <c r="D6529" s="2" t="str">
        <f t="shared" si="101"/>
        <v>OK</v>
      </c>
      <c r="E6529" s="4" t="s">
        <v>1988</v>
      </c>
    </row>
    <row r="6530" spans="1:5" x14ac:dyDescent="0.2">
      <c r="A6530" s="126">
        <v>6469</v>
      </c>
      <c r="B6530" s="1821"/>
      <c r="D6530" s="2" t="str">
        <f t="shared" si="101"/>
        <v>OK</v>
      </c>
      <c r="E6530" s="4" t="s">
        <v>1988</v>
      </c>
    </row>
    <row r="6531" spans="1:5" x14ac:dyDescent="0.2">
      <c r="A6531" s="126">
        <v>6470</v>
      </c>
      <c r="B6531" s="1821"/>
      <c r="D6531" s="2" t="str">
        <f t="shared" si="101"/>
        <v>OK</v>
      </c>
      <c r="E6531" s="4" t="s">
        <v>1988</v>
      </c>
    </row>
    <row r="6532" spans="1:5" x14ac:dyDescent="0.2">
      <c r="A6532" s="126">
        <v>6471</v>
      </c>
      <c r="B6532" s="1821"/>
      <c r="D6532" s="2" t="str">
        <f t="shared" si="101"/>
        <v>OK</v>
      </c>
      <c r="E6532" s="4" t="s">
        <v>1988</v>
      </c>
    </row>
    <row r="6533" spans="1:5" x14ac:dyDescent="0.2">
      <c r="A6533" s="126">
        <v>6472</v>
      </c>
      <c r="B6533" s="1821"/>
      <c r="D6533" s="2" t="str">
        <f t="shared" si="101"/>
        <v>OK</v>
      </c>
      <c r="E6533" s="4" t="s">
        <v>1988</v>
      </c>
    </row>
    <row r="6534" spans="1:5" x14ac:dyDescent="0.2">
      <c r="A6534" s="126">
        <v>6473</v>
      </c>
      <c r="B6534" s="1821"/>
      <c r="D6534" s="2" t="str">
        <f t="shared" si="101"/>
        <v>OK</v>
      </c>
      <c r="E6534" s="4" t="s">
        <v>1988</v>
      </c>
    </row>
    <row r="6535" spans="1:5" x14ac:dyDescent="0.2">
      <c r="A6535" s="126">
        <v>6474</v>
      </c>
      <c r="B6535" s="1821"/>
      <c r="D6535" s="2" t="str">
        <f t="shared" si="101"/>
        <v>OK</v>
      </c>
      <c r="E6535" s="4" t="s">
        <v>1988</v>
      </c>
    </row>
    <row r="6536" spans="1:5" x14ac:dyDescent="0.2">
      <c r="A6536" s="126">
        <v>6475</v>
      </c>
      <c r="B6536" s="1821"/>
      <c r="D6536" s="2" t="str">
        <f t="shared" si="101"/>
        <v>OK</v>
      </c>
      <c r="E6536" s="4" t="s">
        <v>1988</v>
      </c>
    </row>
    <row r="6537" spans="1:5" x14ac:dyDescent="0.2">
      <c r="A6537" s="126">
        <v>6476</v>
      </c>
      <c r="B6537" s="1821"/>
      <c r="D6537" s="2" t="str">
        <f t="shared" si="101"/>
        <v>OK</v>
      </c>
      <c r="E6537" s="4" t="s">
        <v>1988</v>
      </c>
    </row>
    <row r="6538" spans="1:5" x14ac:dyDescent="0.2">
      <c r="A6538" s="126">
        <v>6477</v>
      </c>
      <c r="B6538" s="1821"/>
      <c r="D6538" s="2" t="str">
        <f t="shared" si="101"/>
        <v>OK</v>
      </c>
      <c r="E6538" s="4" t="s">
        <v>1988</v>
      </c>
    </row>
    <row r="6539" spans="1:5" x14ac:dyDescent="0.2">
      <c r="A6539" s="126">
        <v>6478</v>
      </c>
      <c r="B6539" s="1821"/>
      <c r="D6539" s="2" t="str">
        <f t="shared" si="101"/>
        <v>OK</v>
      </c>
      <c r="E6539" s="4" t="s">
        <v>1988</v>
      </c>
    </row>
    <row r="6540" spans="1:5" x14ac:dyDescent="0.2">
      <c r="A6540" s="126">
        <v>6479</v>
      </c>
      <c r="B6540" s="1821"/>
      <c r="D6540" s="2" t="str">
        <f t="shared" si="101"/>
        <v>OK</v>
      </c>
      <c r="E6540" s="4" t="s">
        <v>1988</v>
      </c>
    </row>
    <row r="6541" spans="1:5" x14ac:dyDescent="0.2">
      <c r="A6541" s="126">
        <v>6480</v>
      </c>
      <c r="B6541" s="1821"/>
      <c r="D6541" s="2" t="str">
        <f t="shared" si="101"/>
        <v>OK</v>
      </c>
      <c r="E6541" s="4" t="s">
        <v>1988</v>
      </c>
    </row>
    <row r="6542" spans="1:5" x14ac:dyDescent="0.2">
      <c r="A6542" s="126">
        <v>6481</v>
      </c>
      <c r="B6542" s="1821"/>
      <c r="D6542" s="2" t="str">
        <f t="shared" si="101"/>
        <v>OK</v>
      </c>
      <c r="E6542" s="4" t="s">
        <v>1988</v>
      </c>
    </row>
    <row r="6543" spans="1:5" x14ac:dyDescent="0.2">
      <c r="A6543" s="126">
        <v>6482</v>
      </c>
      <c r="B6543" s="1821"/>
      <c r="D6543" s="2" t="str">
        <f t="shared" si="101"/>
        <v>OK</v>
      </c>
      <c r="E6543" s="4" t="s">
        <v>1988</v>
      </c>
    </row>
    <row r="6544" spans="1:5" x14ac:dyDescent="0.2">
      <c r="A6544" s="126">
        <v>6483</v>
      </c>
      <c r="B6544" s="1821"/>
      <c r="D6544" s="2" t="str">
        <f t="shared" si="101"/>
        <v>OK</v>
      </c>
      <c r="E6544" s="4" t="s">
        <v>1988</v>
      </c>
    </row>
    <row r="6545" spans="1:5" x14ac:dyDescent="0.2">
      <c r="A6545" s="126">
        <v>6484</v>
      </c>
      <c r="B6545" s="1821"/>
      <c r="D6545" s="2" t="str">
        <f t="shared" si="101"/>
        <v>OK</v>
      </c>
      <c r="E6545" s="4" t="s">
        <v>1988</v>
      </c>
    </row>
    <row r="6546" spans="1:5" x14ac:dyDescent="0.2">
      <c r="A6546" s="126">
        <v>6485</v>
      </c>
      <c r="B6546" s="1821"/>
      <c r="D6546" s="2" t="str">
        <f t="shared" si="101"/>
        <v>OK</v>
      </c>
      <c r="E6546" s="4" t="s">
        <v>1988</v>
      </c>
    </row>
    <row r="6547" spans="1:5" x14ac:dyDescent="0.2">
      <c r="A6547" s="126">
        <v>6486</v>
      </c>
      <c r="B6547" s="1821"/>
      <c r="D6547" s="2" t="str">
        <f t="shared" si="101"/>
        <v>OK</v>
      </c>
      <c r="E6547" s="4" t="s">
        <v>1988</v>
      </c>
    </row>
    <row r="6548" spans="1:5" x14ac:dyDescent="0.2">
      <c r="A6548" s="126">
        <v>6487</v>
      </c>
      <c r="B6548" s="1821"/>
      <c r="D6548" s="2" t="str">
        <f t="shared" si="101"/>
        <v>OK</v>
      </c>
      <c r="E6548" s="4" t="s">
        <v>1988</v>
      </c>
    </row>
    <row r="6549" spans="1:5" x14ac:dyDescent="0.2">
      <c r="A6549" s="126">
        <v>6488</v>
      </c>
      <c r="B6549" s="1821"/>
      <c r="D6549" s="2" t="str">
        <f t="shared" si="101"/>
        <v>OK</v>
      </c>
      <c r="E6549" s="4" t="s">
        <v>1988</v>
      </c>
    </row>
    <row r="6550" spans="1:5" x14ac:dyDescent="0.2">
      <c r="A6550" s="126">
        <v>6489</v>
      </c>
      <c r="B6550" s="1821"/>
      <c r="D6550" s="2" t="str">
        <f t="shared" si="101"/>
        <v>OK</v>
      </c>
      <c r="E6550" s="4" t="s">
        <v>1988</v>
      </c>
    </row>
    <row r="6551" spans="1:5" x14ac:dyDescent="0.2">
      <c r="A6551" s="126">
        <v>6490</v>
      </c>
      <c r="B6551" s="1821"/>
      <c r="D6551" s="2" t="str">
        <f t="shared" si="101"/>
        <v>OK</v>
      </c>
      <c r="E6551" s="4" t="s">
        <v>1988</v>
      </c>
    </row>
    <row r="6552" spans="1:5" x14ac:dyDescent="0.2">
      <c r="A6552" s="126">
        <v>6491</v>
      </c>
      <c r="B6552" s="1821"/>
      <c r="D6552" s="2" t="str">
        <f t="shared" si="101"/>
        <v>OK</v>
      </c>
      <c r="E6552" s="4" t="s">
        <v>1988</v>
      </c>
    </row>
    <row r="6553" spans="1:5" x14ac:dyDescent="0.2">
      <c r="A6553" s="126">
        <v>6492</v>
      </c>
      <c r="B6553" s="1821"/>
      <c r="D6553" s="2" t="str">
        <f t="shared" si="101"/>
        <v>OK</v>
      </c>
      <c r="E6553" s="4" t="s">
        <v>1988</v>
      </c>
    </row>
    <row r="6554" spans="1:5" x14ac:dyDescent="0.2">
      <c r="A6554" s="126">
        <v>6493</v>
      </c>
      <c r="B6554" s="1821"/>
      <c r="D6554" s="2" t="str">
        <f t="shared" si="101"/>
        <v>OK</v>
      </c>
      <c r="E6554" s="4" t="s">
        <v>1988</v>
      </c>
    </row>
    <row r="6555" spans="1:5" x14ac:dyDescent="0.2">
      <c r="A6555" s="126">
        <v>6494</v>
      </c>
      <c r="B6555" s="1821"/>
      <c r="D6555" s="2" t="str">
        <f t="shared" si="101"/>
        <v>OK</v>
      </c>
      <c r="E6555" s="4" t="s">
        <v>1988</v>
      </c>
    </row>
    <row r="6556" spans="1:5" x14ac:dyDescent="0.2">
      <c r="A6556" s="126">
        <v>6495</v>
      </c>
      <c r="B6556" s="1821"/>
      <c r="D6556" s="2" t="str">
        <f t="shared" si="101"/>
        <v>OK</v>
      </c>
      <c r="E6556" s="4" t="s">
        <v>1988</v>
      </c>
    </row>
    <row r="6557" spans="1:5" x14ac:dyDescent="0.2">
      <c r="A6557" s="126">
        <v>6496</v>
      </c>
      <c r="B6557" s="1821"/>
      <c r="D6557" s="2" t="str">
        <f t="shared" si="101"/>
        <v>OK</v>
      </c>
      <c r="E6557" s="4" t="s">
        <v>1988</v>
      </c>
    </row>
    <row r="6558" spans="1:5" x14ac:dyDescent="0.2">
      <c r="A6558" s="126">
        <v>6497</v>
      </c>
      <c r="B6558" s="1821"/>
      <c r="D6558" s="2" t="str">
        <f t="shared" si="101"/>
        <v>OK</v>
      </c>
      <c r="E6558" s="4" t="s">
        <v>1988</v>
      </c>
    </row>
    <row r="6559" spans="1:5" x14ac:dyDescent="0.2">
      <c r="A6559" s="126">
        <v>6498</v>
      </c>
      <c r="B6559" s="1821"/>
      <c r="D6559" s="2" t="str">
        <f t="shared" si="101"/>
        <v>OK</v>
      </c>
      <c r="E6559" s="4" t="s">
        <v>1988</v>
      </c>
    </row>
    <row r="6560" spans="1:5" x14ac:dyDescent="0.2">
      <c r="A6560" s="126">
        <v>6499</v>
      </c>
      <c r="B6560" s="1821"/>
      <c r="D6560" s="2" t="str">
        <f t="shared" si="101"/>
        <v>OK</v>
      </c>
      <c r="E6560" s="4" t="s">
        <v>1988</v>
      </c>
    </row>
    <row r="6561" spans="1:5" x14ac:dyDescent="0.2">
      <c r="A6561" s="126">
        <v>6500</v>
      </c>
      <c r="B6561" s="1821"/>
      <c r="D6561" s="2" t="str">
        <f t="shared" si="101"/>
        <v>OK</v>
      </c>
      <c r="E6561" s="4" t="s">
        <v>1988</v>
      </c>
    </row>
    <row r="6562" spans="1:5" x14ac:dyDescent="0.2">
      <c r="A6562" s="126">
        <v>6501</v>
      </c>
      <c r="B6562" s="1821"/>
      <c r="D6562" s="2" t="str">
        <f t="shared" si="101"/>
        <v>OK</v>
      </c>
      <c r="E6562" s="4" t="s">
        <v>1988</v>
      </c>
    </row>
    <row r="6563" spans="1:5" x14ac:dyDescent="0.2">
      <c r="A6563" s="126">
        <v>6502</v>
      </c>
      <c r="B6563" s="1821"/>
      <c r="D6563" s="2" t="str">
        <f t="shared" si="101"/>
        <v>OK</v>
      </c>
      <c r="E6563" s="4" t="s">
        <v>1988</v>
      </c>
    </row>
    <row r="6564" spans="1:5" x14ac:dyDescent="0.2">
      <c r="A6564" s="126">
        <v>6503</v>
      </c>
      <c r="B6564" s="1821"/>
      <c r="D6564" s="2" t="str">
        <f t="shared" si="101"/>
        <v>OK</v>
      </c>
      <c r="E6564" s="4" t="s">
        <v>1988</v>
      </c>
    </row>
    <row r="6565" spans="1:5" x14ac:dyDescent="0.2">
      <c r="A6565" s="126">
        <v>6504</v>
      </c>
      <c r="B6565" s="1821"/>
      <c r="D6565" s="2" t="str">
        <f t="shared" si="101"/>
        <v>OK</v>
      </c>
      <c r="E6565" s="4" t="s">
        <v>1988</v>
      </c>
    </row>
    <row r="6566" spans="1:5" x14ac:dyDescent="0.2">
      <c r="A6566" s="126">
        <v>6505</v>
      </c>
      <c r="B6566" s="1821"/>
      <c r="D6566" s="2" t="str">
        <f t="shared" si="101"/>
        <v>OK</v>
      </c>
      <c r="E6566" s="4" t="s">
        <v>1988</v>
      </c>
    </row>
    <row r="6567" spans="1:5" x14ac:dyDescent="0.2">
      <c r="A6567" s="126">
        <v>6506</v>
      </c>
      <c r="B6567" s="1821"/>
      <c r="D6567" s="2" t="str">
        <f t="shared" si="101"/>
        <v>OK</v>
      </c>
      <c r="E6567" s="4" t="s">
        <v>1988</v>
      </c>
    </row>
    <row r="6568" spans="1:5" x14ac:dyDescent="0.2">
      <c r="A6568" s="126">
        <v>6507</v>
      </c>
      <c r="B6568" s="1821"/>
      <c r="D6568" s="2" t="str">
        <f t="shared" si="101"/>
        <v>OK</v>
      </c>
      <c r="E6568" s="4" t="s">
        <v>1988</v>
      </c>
    </row>
    <row r="6569" spans="1:5" x14ac:dyDescent="0.2">
      <c r="A6569" s="126">
        <v>6508</v>
      </c>
      <c r="B6569" s="1821"/>
      <c r="D6569" s="2" t="str">
        <f t="shared" si="101"/>
        <v>OK</v>
      </c>
      <c r="E6569" s="4" t="s">
        <v>1988</v>
      </c>
    </row>
    <row r="6570" spans="1:5" x14ac:dyDescent="0.2">
      <c r="A6570" s="126">
        <v>6509</v>
      </c>
      <c r="B6570" s="1821"/>
      <c r="D6570" s="2" t="str">
        <f t="shared" si="101"/>
        <v>OK</v>
      </c>
      <c r="E6570" s="4" t="s">
        <v>1988</v>
      </c>
    </row>
    <row r="6571" spans="1:5" x14ac:dyDescent="0.2">
      <c r="A6571" s="126">
        <v>6510</v>
      </c>
      <c r="B6571" s="1821"/>
      <c r="D6571" s="2" t="str">
        <f t="shared" si="101"/>
        <v>OK</v>
      </c>
      <c r="E6571" s="4" t="s">
        <v>1988</v>
      </c>
    </row>
    <row r="6572" spans="1:5" x14ac:dyDescent="0.2">
      <c r="A6572" s="126">
        <v>6511</v>
      </c>
      <c r="B6572" s="1821"/>
      <c r="D6572" s="2" t="str">
        <f t="shared" si="101"/>
        <v>OK</v>
      </c>
      <c r="E6572" s="4" t="s">
        <v>1988</v>
      </c>
    </row>
    <row r="6573" spans="1:5" x14ac:dyDescent="0.2">
      <c r="A6573" s="126">
        <v>6512</v>
      </c>
      <c r="B6573" s="1821"/>
      <c r="D6573" s="2" t="str">
        <f t="shared" si="101"/>
        <v>OK</v>
      </c>
      <c r="E6573" s="4" t="s">
        <v>1988</v>
      </c>
    </row>
    <row r="6574" spans="1:5" x14ac:dyDescent="0.2">
      <c r="A6574" s="126">
        <v>6513</v>
      </c>
      <c r="B6574" s="1821"/>
      <c r="D6574" s="2" t="str">
        <f t="shared" si="101"/>
        <v>OK</v>
      </c>
      <c r="E6574" s="4" t="s">
        <v>1988</v>
      </c>
    </row>
    <row r="6575" spans="1:5" x14ac:dyDescent="0.2">
      <c r="A6575" s="126">
        <v>6514</v>
      </c>
      <c r="B6575" s="1821"/>
      <c r="D6575" s="2" t="str">
        <f t="shared" si="101"/>
        <v>OK</v>
      </c>
      <c r="E6575" s="4" t="s">
        <v>1988</v>
      </c>
    </row>
    <row r="6576" spans="1:5" x14ac:dyDescent="0.2">
      <c r="A6576" s="126">
        <v>6515</v>
      </c>
      <c r="B6576" s="1821"/>
      <c r="D6576" s="2" t="str">
        <f t="shared" si="101"/>
        <v>OK</v>
      </c>
      <c r="E6576" s="4" t="s">
        <v>1988</v>
      </c>
    </row>
    <row r="6577" spans="1:5" x14ac:dyDescent="0.2">
      <c r="A6577" s="126">
        <v>6516</v>
      </c>
      <c r="B6577" s="1821"/>
      <c r="D6577" s="2" t="str">
        <f t="shared" si="101"/>
        <v>OK</v>
      </c>
      <c r="E6577" s="4" t="s">
        <v>1988</v>
      </c>
    </row>
    <row r="6578" spans="1:5" x14ac:dyDescent="0.2">
      <c r="A6578" s="126">
        <v>6517</v>
      </c>
      <c r="B6578" s="1821"/>
      <c r="D6578" s="2" t="str">
        <f t="shared" si="101"/>
        <v>OK</v>
      </c>
      <c r="E6578" s="4" t="s">
        <v>1988</v>
      </c>
    </row>
    <row r="6579" spans="1:5" x14ac:dyDescent="0.2">
      <c r="A6579" s="126">
        <v>6518</v>
      </c>
      <c r="B6579" s="1821"/>
      <c r="D6579" s="2" t="str">
        <f t="shared" si="101"/>
        <v>OK</v>
      </c>
      <c r="E6579" s="4" t="s">
        <v>1988</v>
      </c>
    </row>
    <row r="6580" spans="1:5" x14ac:dyDescent="0.2">
      <c r="A6580" s="126">
        <v>6519</v>
      </c>
      <c r="B6580" s="1821"/>
      <c r="D6580" s="2" t="str">
        <f t="shared" si="101"/>
        <v>OK</v>
      </c>
      <c r="E6580" s="4" t="s">
        <v>1988</v>
      </c>
    </row>
    <row r="6581" spans="1:5" x14ac:dyDescent="0.2">
      <c r="A6581" s="126">
        <v>6520</v>
      </c>
      <c r="B6581" s="1821"/>
      <c r="D6581" s="2" t="str">
        <f t="shared" si="101"/>
        <v>OK</v>
      </c>
      <c r="E6581" s="4" t="s">
        <v>1988</v>
      </c>
    </row>
    <row r="6582" spans="1:5" x14ac:dyDescent="0.2">
      <c r="A6582" s="126">
        <v>6521</v>
      </c>
      <c r="B6582" s="1821"/>
      <c r="D6582" s="2" t="str">
        <f t="shared" si="101"/>
        <v>OK</v>
      </c>
      <c r="E6582" s="4" t="s">
        <v>1988</v>
      </c>
    </row>
    <row r="6583" spans="1:5" x14ac:dyDescent="0.2">
      <c r="A6583" s="126">
        <v>6522</v>
      </c>
      <c r="B6583" s="1821"/>
      <c r="D6583" s="2" t="str">
        <f t="shared" si="101"/>
        <v>OK</v>
      </c>
      <c r="E6583" s="4" t="s">
        <v>1988</v>
      </c>
    </row>
    <row r="6584" spans="1:5" x14ac:dyDescent="0.2">
      <c r="A6584" s="126">
        <v>6523</v>
      </c>
      <c r="B6584" s="1821"/>
      <c r="D6584" s="2" t="str">
        <f t="shared" si="101"/>
        <v>OK</v>
      </c>
      <c r="E6584" s="4" t="s">
        <v>1988</v>
      </c>
    </row>
    <row r="6585" spans="1:5" x14ac:dyDescent="0.2">
      <c r="A6585" s="126">
        <v>6524</v>
      </c>
      <c r="B6585" s="1821"/>
      <c r="D6585" s="2" t="str">
        <f t="shared" si="101"/>
        <v>OK</v>
      </c>
      <c r="E6585" s="4" t="s">
        <v>1988</v>
      </c>
    </row>
    <row r="6586" spans="1:5" x14ac:dyDescent="0.2">
      <c r="A6586" s="126">
        <v>6525</v>
      </c>
      <c r="B6586" s="1821"/>
      <c r="D6586" s="2" t="str">
        <f t="shared" si="101"/>
        <v>OK</v>
      </c>
      <c r="E6586" s="4" t="s">
        <v>1988</v>
      </c>
    </row>
    <row r="6587" spans="1:5" x14ac:dyDescent="0.2">
      <c r="A6587" s="126">
        <v>6526</v>
      </c>
      <c r="B6587" s="1821"/>
      <c r="D6587" s="2" t="str">
        <f t="shared" si="101"/>
        <v>OK</v>
      </c>
      <c r="E6587" s="4" t="s">
        <v>1988</v>
      </c>
    </row>
    <row r="6588" spans="1:5" x14ac:dyDescent="0.2">
      <c r="A6588" s="126">
        <v>6527</v>
      </c>
      <c r="B6588" s="1821"/>
      <c r="D6588" s="2" t="str">
        <f t="shared" si="101"/>
        <v>OK</v>
      </c>
      <c r="E6588" s="4" t="s">
        <v>1988</v>
      </c>
    </row>
    <row r="6589" spans="1:5" x14ac:dyDescent="0.2">
      <c r="A6589" s="126">
        <v>6528</v>
      </c>
      <c r="B6589" s="1821"/>
      <c r="D6589" s="2" t="str">
        <f t="shared" si="101"/>
        <v>OK</v>
      </c>
      <c r="E6589" s="4" t="s">
        <v>1988</v>
      </c>
    </row>
    <row r="6590" spans="1:5" x14ac:dyDescent="0.2">
      <c r="A6590" s="126">
        <v>6529</v>
      </c>
      <c r="B6590" s="1821"/>
      <c r="D6590" s="2" t="str">
        <f t="shared" si="101"/>
        <v>OK</v>
      </c>
      <c r="E6590" s="4" t="s">
        <v>1988</v>
      </c>
    </row>
    <row r="6591" spans="1:5" x14ac:dyDescent="0.2">
      <c r="A6591" s="126">
        <v>6530</v>
      </c>
      <c r="B6591" s="1821"/>
      <c r="D6591" s="2" t="str">
        <f t="shared" ref="D6591:D6654" si="102">IF(ISBLANK(B6591),"OK",IF(A6591-B6591=0,"OK","Error?"))</f>
        <v>OK</v>
      </c>
      <c r="E6591" s="4" t="s">
        <v>1988</v>
      </c>
    </row>
    <row r="6592" spans="1:5" x14ac:dyDescent="0.2">
      <c r="A6592" s="126">
        <v>6531</v>
      </c>
      <c r="B6592" s="1821"/>
      <c r="D6592" s="2" t="str">
        <f t="shared" si="102"/>
        <v>OK</v>
      </c>
      <c r="E6592" s="4" t="s">
        <v>1988</v>
      </c>
    </row>
    <row r="6593" spans="1:5" x14ac:dyDescent="0.2">
      <c r="A6593" s="126">
        <v>6532</v>
      </c>
      <c r="B6593" s="1821"/>
      <c r="D6593" s="2" t="str">
        <f t="shared" si="102"/>
        <v>OK</v>
      </c>
      <c r="E6593" s="4" t="s">
        <v>1988</v>
      </c>
    </row>
    <row r="6594" spans="1:5" x14ac:dyDescent="0.2">
      <c r="A6594" s="126">
        <v>6533</v>
      </c>
      <c r="B6594" s="1821"/>
      <c r="D6594" s="2" t="str">
        <f t="shared" si="102"/>
        <v>OK</v>
      </c>
      <c r="E6594" s="4" t="s">
        <v>1988</v>
      </c>
    </row>
    <row r="6595" spans="1:5" x14ac:dyDescent="0.2">
      <c r="A6595" s="126">
        <v>6534</v>
      </c>
      <c r="B6595" s="1821"/>
      <c r="D6595" s="2" t="str">
        <f t="shared" si="102"/>
        <v>OK</v>
      </c>
      <c r="E6595" s="4" t="s">
        <v>1988</v>
      </c>
    </row>
    <row r="6596" spans="1:5" x14ac:dyDescent="0.2">
      <c r="A6596" s="126">
        <v>6535</v>
      </c>
      <c r="B6596" s="1821"/>
      <c r="D6596" s="2" t="str">
        <f t="shared" si="102"/>
        <v>OK</v>
      </c>
      <c r="E6596" s="4" t="s">
        <v>1988</v>
      </c>
    </row>
    <row r="6597" spans="1:5" x14ac:dyDescent="0.2">
      <c r="A6597" s="126">
        <v>6536</v>
      </c>
      <c r="B6597" s="1821"/>
      <c r="D6597" s="2" t="str">
        <f t="shared" si="102"/>
        <v>OK</v>
      </c>
      <c r="E6597" s="4" t="s">
        <v>1988</v>
      </c>
    </row>
    <row r="6598" spans="1:5" x14ac:dyDescent="0.2">
      <c r="A6598" s="126">
        <v>6537</v>
      </c>
      <c r="B6598" s="1821"/>
      <c r="D6598" s="2" t="str">
        <f t="shared" si="102"/>
        <v>OK</v>
      </c>
      <c r="E6598" s="4" t="s">
        <v>1988</v>
      </c>
    </row>
    <row r="6599" spans="1:5" x14ac:dyDescent="0.2">
      <c r="A6599" s="126">
        <v>6538</v>
      </c>
      <c r="B6599" s="1821"/>
      <c r="D6599" s="2" t="str">
        <f t="shared" si="102"/>
        <v>OK</v>
      </c>
      <c r="E6599" s="4" t="s">
        <v>1988</v>
      </c>
    </row>
    <row r="6600" spans="1:5" x14ac:dyDescent="0.2">
      <c r="A6600" s="126">
        <v>6539</v>
      </c>
      <c r="B6600" s="1821"/>
      <c r="D6600" s="2" t="str">
        <f t="shared" si="102"/>
        <v>OK</v>
      </c>
      <c r="E6600" s="4" t="s">
        <v>1988</v>
      </c>
    </row>
    <row r="6601" spans="1:5" x14ac:dyDescent="0.2">
      <c r="A6601" s="126">
        <v>6540</v>
      </c>
      <c r="B6601" s="1821"/>
      <c r="D6601" s="2" t="str">
        <f t="shared" si="102"/>
        <v>OK</v>
      </c>
      <c r="E6601" s="4" t="s">
        <v>1988</v>
      </c>
    </row>
    <row r="6602" spans="1:5" x14ac:dyDescent="0.2">
      <c r="A6602" s="126">
        <v>6541</v>
      </c>
      <c r="B6602" s="1821"/>
      <c r="D6602" s="2" t="str">
        <f t="shared" si="102"/>
        <v>OK</v>
      </c>
      <c r="E6602" s="4" t="s">
        <v>1988</v>
      </c>
    </row>
    <row r="6603" spans="1:5" x14ac:dyDescent="0.2">
      <c r="A6603" s="126">
        <v>6542</v>
      </c>
      <c r="B6603" s="1821"/>
      <c r="D6603" s="2" t="str">
        <f t="shared" si="102"/>
        <v>OK</v>
      </c>
      <c r="E6603" s="4" t="s">
        <v>1988</v>
      </c>
    </row>
    <row r="6604" spans="1:5" x14ac:dyDescent="0.2">
      <c r="A6604" s="126">
        <v>6543</v>
      </c>
      <c r="B6604" s="1821"/>
      <c r="D6604" s="2" t="str">
        <f t="shared" si="102"/>
        <v>OK</v>
      </c>
      <c r="E6604" s="4" t="s">
        <v>1988</v>
      </c>
    </row>
    <row r="6605" spans="1:5" x14ac:dyDescent="0.2">
      <c r="A6605" s="126">
        <v>6544</v>
      </c>
      <c r="B6605" s="1821"/>
      <c r="D6605" s="2" t="str">
        <f t="shared" si="102"/>
        <v>OK</v>
      </c>
      <c r="E6605" s="4" t="s">
        <v>1988</v>
      </c>
    </row>
    <row r="6606" spans="1:5" x14ac:dyDescent="0.2">
      <c r="A6606" s="126">
        <v>6545</v>
      </c>
      <c r="B6606" s="1821"/>
      <c r="D6606" s="2" t="str">
        <f t="shared" si="102"/>
        <v>OK</v>
      </c>
      <c r="E6606" s="4" t="s">
        <v>1988</v>
      </c>
    </row>
    <row r="6607" spans="1:5" x14ac:dyDescent="0.2">
      <c r="A6607" s="126">
        <v>6546</v>
      </c>
      <c r="B6607" s="1821"/>
      <c r="D6607" s="2" t="str">
        <f t="shared" si="102"/>
        <v>OK</v>
      </c>
      <c r="E6607" s="4" t="s">
        <v>1988</v>
      </c>
    </row>
    <row r="6608" spans="1:5" x14ac:dyDescent="0.2">
      <c r="A6608" s="126">
        <v>6547</v>
      </c>
      <c r="B6608" s="1821"/>
      <c r="D6608" s="2" t="str">
        <f t="shared" si="102"/>
        <v>OK</v>
      </c>
      <c r="E6608" s="4" t="s">
        <v>1988</v>
      </c>
    </row>
    <row r="6609" spans="1:5" x14ac:dyDescent="0.2">
      <c r="A6609" s="126">
        <v>6548</v>
      </c>
      <c r="B6609" s="1821"/>
      <c r="D6609" s="2" t="str">
        <f t="shared" si="102"/>
        <v>OK</v>
      </c>
      <c r="E6609" s="4" t="s">
        <v>1988</v>
      </c>
    </row>
    <row r="6610" spans="1:5" x14ac:dyDescent="0.2">
      <c r="A6610" s="126">
        <v>6549</v>
      </c>
      <c r="B6610" s="1821"/>
      <c r="D6610" s="2" t="str">
        <f t="shared" si="102"/>
        <v>OK</v>
      </c>
      <c r="E6610" s="4" t="s">
        <v>1988</v>
      </c>
    </row>
    <row r="6611" spans="1:5" x14ac:dyDescent="0.2">
      <c r="A6611" s="126">
        <v>6550</v>
      </c>
      <c r="B6611" s="1821"/>
      <c r="D6611" s="2" t="str">
        <f t="shared" si="102"/>
        <v>OK</v>
      </c>
      <c r="E6611" s="4" t="s">
        <v>1988</v>
      </c>
    </row>
    <row r="6612" spans="1:5" x14ac:dyDescent="0.2">
      <c r="A6612" s="126">
        <v>6551</v>
      </c>
      <c r="B6612" s="1821"/>
      <c r="D6612" s="2" t="str">
        <f t="shared" si="102"/>
        <v>OK</v>
      </c>
      <c r="E6612" s="4" t="s">
        <v>1988</v>
      </c>
    </row>
    <row r="6613" spans="1:5" x14ac:dyDescent="0.2">
      <c r="A6613" s="126">
        <v>6552</v>
      </c>
      <c r="B6613" s="1821"/>
      <c r="D6613" s="2" t="str">
        <f t="shared" si="102"/>
        <v>OK</v>
      </c>
      <c r="E6613" s="4" t="s">
        <v>1988</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198664</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1892</v>
      </c>
    </row>
    <row r="6842" spans="1:5" x14ac:dyDescent="0.2">
      <c r="A6842" s="126">
        <v>6781</v>
      </c>
      <c r="B6842" s="1821"/>
      <c r="D6842" s="2" t="str">
        <f t="shared" si="105"/>
        <v>OK</v>
      </c>
      <c r="E6842" s="1" t="s">
        <v>1892</v>
      </c>
    </row>
    <row r="6843" spans="1:5" x14ac:dyDescent="0.2">
      <c r="A6843" s="126">
        <v>6782</v>
      </c>
      <c r="B6843" s="1821"/>
      <c r="D6843" s="2" t="str">
        <f t="shared" si="105"/>
        <v>OK</v>
      </c>
      <c r="E6843" s="1" t="s">
        <v>1892</v>
      </c>
    </row>
    <row r="6844" spans="1:5" x14ac:dyDescent="0.2">
      <c r="A6844">
        <v>6783</v>
      </c>
      <c r="B6844" s="1821">
        <f>'Expenditures 15-22'!I5</f>
        <v>154627</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243105</v>
      </c>
      <c r="D6848" s="2" t="str">
        <f t="shared" si="106"/>
        <v>Error?</v>
      </c>
    </row>
    <row r="6849" spans="1:4" x14ac:dyDescent="0.2">
      <c r="A6849">
        <v>6788</v>
      </c>
      <c r="B6849" s="1821">
        <f>'Expenditures 15-22'!I8</f>
        <v>8058</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5230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398317</v>
      </c>
      <c r="D6853" s="2" t="str">
        <f t="shared" si="106"/>
        <v>Error?</v>
      </c>
    </row>
    <row r="6854" spans="1:4" x14ac:dyDescent="0.2">
      <c r="A6854">
        <v>6793</v>
      </c>
      <c r="B6854" s="1821">
        <f>'Expenditures 15-22'!I10</f>
        <v>3949</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690</v>
      </c>
      <c r="D6878" s="2" t="str">
        <f t="shared" si="106"/>
        <v>Error?</v>
      </c>
    </row>
    <row r="6879" spans="1:4" x14ac:dyDescent="0.2">
      <c r="A6879">
        <v>6818</v>
      </c>
      <c r="B6879" s="1821">
        <f>'Expenditures 15-22'!K21</f>
        <v>690</v>
      </c>
      <c r="D6879" s="2" t="str">
        <f t="shared" si="106"/>
        <v>Error?</v>
      </c>
    </row>
    <row r="6880" spans="1:4" x14ac:dyDescent="0.2">
      <c r="A6880">
        <v>6819</v>
      </c>
      <c r="B6880" s="1821">
        <f>'Expenditures 15-22'!H22</f>
        <v>734387</v>
      </c>
      <c r="D6880" s="2" t="str">
        <f t="shared" si="106"/>
        <v>Error?</v>
      </c>
    </row>
    <row r="6881" spans="1:4" x14ac:dyDescent="0.2">
      <c r="A6881">
        <v>6820</v>
      </c>
      <c r="B6881" s="1821">
        <f>'Expenditures 15-22'!K22</f>
        <v>734387</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171864</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13324</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13324</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13324</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926915</v>
      </c>
      <c r="D6983" s="2" t="str">
        <f t="shared" si="108"/>
        <v>Error?</v>
      </c>
    </row>
    <row r="6984" spans="1:4" x14ac:dyDescent="0.2">
      <c r="A6984">
        <v>6923</v>
      </c>
      <c r="B6984" s="1821">
        <f>'Expenditures 15-22'!K86</f>
        <v>926915</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926915</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185188</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8800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31093</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39893</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39893</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107495</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39893</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172974</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8891</v>
      </c>
      <c r="D7073" s="2" t="str">
        <f t="shared" si="109"/>
        <v>Error?</v>
      </c>
    </row>
    <row r="7074" spans="1:4" x14ac:dyDescent="0.2">
      <c r="A7074">
        <v>7013</v>
      </c>
      <c r="B7074" s="1821">
        <f>'Expenditures 15-22'!K216</f>
        <v>8891</v>
      </c>
      <c r="D7074" s="2" t="str">
        <f t="shared" si="109"/>
        <v>Error?</v>
      </c>
    </row>
    <row r="7075" spans="1:4" x14ac:dyDescent="0.2">
      <c r="A7075">
        <v>7014</v>
      </c>
      <c r="B7075" s="1821">
        <f>'Expenditures 15-22'!D218</f>
        <v>25771</v>
      </c>
      <c r="D7075" s="2" t="str">
        <f t="shared" si="109"/>
        <v>Error?</v>
      </c>
    </row>
    <row r="7076" spans="1:4" x14ac:dyDescent="0.2">
      <c r="A7076">
        <v>7015</v>
      </c>
      <c r="B7076" s="1821">
        <f>'Expenditures 15-22'!K218</f>
        <v>25771</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96003</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96003</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11492</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11492</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107495</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107495</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107495</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107495</v>
      </c>
      <c r="D7224" s="2" t="str">
        <f t="shared" si="111"/>
        <v>Error?</v>
      </c>
    </row>
    <row r="7225" spans="1:4" x14ac:dyDescent="0.2">
      <c r="A7225">
        <v>7164</v>
      </c>
      <c r="B7225" s="1821">
        <f>'Expenditures 15-22'!K343</f>
        <v>65479</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28969</v>
      </c>
      <c r="D7246" s="2" t="str">
        <f t="shared" si="112"/>
        <v>Error?</v>
      </c>
    </row>
    <row r="7247" spans="1:4" x14ac:dyDescent="0.2">
      <c r="A7247">
        <f t="shared" si="113"/>
        <v>7186</v>
      </c>
      <c r="B7247" s="1821">
        <f>'Expenditures 15-22'!E7</f>
        <v>1561</v>
      </c>
      <c r="D7247" s="2" t="str">
        <f t="shared" si="112"/>
        <v>Error?</v>
      </c>
    </row>
    <row r="7248" spans="1:4" x14ac:dyDescent="0.2">
      <c r="A7248">
        <f t="shared" si="113"/>
        <v>7187</v>
      </c>
      <c r="B7248" s="1821">
        <f>'Expenditures 15-22'!F7</f>
        <v>13911</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327059</v>
      </c>
      <c r="D7251" s="2" t="str">
        <f t="shared" si="112"/>
        <v>Error?</v>
      </c>
    </row>
    <row r="7252" spans="1:4" x14ac:dyDescent="0.2">
      <c r="A7252">
        <f t="shared" si="113"/>
        <v>7191</v>
      </c>
      <c r="B7252" s="1821">
        <f>'Expenditures 15-22'!D9</f>
        <v>65661</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367</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225081</v>
      </c>
      <c r="D7624" s="2" t="str">
        <f t="shared" si="124"/>
        <v>Error?</v>
      </c>
      <c r="E7624" s="2" t="s">
        <v>19</v>
      </c>
    </row>
    <row r="7625" spans="1:5" x14ac:dyDescent="0.2">
      <c r="A7625">
        <f t="shared" si="123"/>
        <v>7564</v>
      </c>
      <c r="B7625" s="1821">
        <f>'Cap Outlay Deprec 26'!I17</f>
        <v>22508.1</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2222116.1</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1989</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1989</v>
      </c>
    </row>
    <row r="7641" spans="1:6" x14ac:dyDescent="0.2">
      <c r="A7641" s="126">
        <f t="shared" si="125"/>
        <v>7580</v>
      </c>
      <c r="B7641" s="1822"/>
      <c r="D7641" s="2" t="str">
        <f t="shared" si="124"/>
        <v>OK</v>
      </c>
      <c r="E7641" s="4" t="s">
        <v>1989</v>
      </c>
    </row>
    <row r="7642" spans="1:6" x14ac:dyDescent="0.2">
      <c r="A7642" s="126">
        <f t="shared" si="125"/>
        <v>7581</v>
      </c>
      <c r="B7642" s="1822"/>
      <c r="D7642" s="2" t="str">
        <f t="shared" si="124"/>
        <v>OK</v>
      </c>
      <c r="E7642" s="4" t="s">
        <v>1989</v>
      </c>
    </row>
    <row r="7643" spans="1:6" x14ac:dyDescent="0.2">
      <c r="A7643" s="126">
        <f t="shared" si="125"/>
        <v>7582</v>
      </c>
      <c r="B7643" s="1822"/>
      <c r="D7643" s="2" t="str">
        <f t="shared" si="124"/>
        <v>OK</v>
      </c>
      <c r="E7643" s="4" t="s">
        <v>1989</v>
      </c>
    </row>
    <row r="7644" spans="1:6" x14ac:dyDescent="0.2">
      <c r="A7644" s="126">
        <f t="shared" si="125"/>
        <v>7583</v>
      </c>
      <c r="B7644" s="1822"/>
      <c r="D7644" s="2" t="str">
        <f t="shared" si="124"/>
        <v>OK</v>
      </c>
      <c r="E7644" s="4" t="s">
        <v>1989</v>
      </c>
    </row>
    <row r="7645" spans="1:6" x14ac:dyDescent="0.2">
      <c r="A7645" s="126">
        <f t="shared" si="125"/>
        <v>7584</v>
      </c>
      <c r="B7645" s="1822"/>
      <c r="D7645" s="2" t="str">
        <f t="shared" si="124"/>
        <v>OK</v>
      </c>
      <c r="E7645" s="4" t="s">
        <v>1989</v>
      </c>
    </row>
    <row r="7646" spans="1:6" x14ac:dyDescent="0.2">
      <c r="A7646" s="126">
        <f t="shared" si="125"/>
        <v>7585</v>
      </c>
      <c r="B7646" s="1822"/>
      <c r="D7646" s="2" t="str">
        <f t="shared" si="124"/>
        <v>OK</v>
      </c>
      <c r="E7646" s="4" t="s">
        <v>1989</v>
      </c>
    </row>
    <row r="7647" spans="1:6" x14ac:dyDescent="0.2">
      <c r="A7647" s="126">
        <f t="shared" si="125"/>
        <v>7586</v>
      </c>
      <c r="B7647" s="1822"/>
      <c r="D7647" s="2" t="str">
        <f t="shared" si="124"/>
        <v>OK</v>
      </c>
      <c r="E7647" s="4" t="s">
        <v>1989</v>
      </c>
    </row>
    <row r="7648" spans="1:6" x14ac:dyDescent="0.2">
      <c r="A7648" s="126">
        <f t="shared" si="125"/>
        <v>7587</v>
      </c>
      <c r="B7648" s="1822"/>
      <c r="D7648" s="2" t="str">
        <f t="shared" si="124"/>
        <v>OK</v>
      </c>
      <c r="E7648" s="4" t="s">
        <v>1989</v>
      </c>
    </row>
    <row r="7649" spans="1:5" x14ac:dyDescent="0.2">
      <c r="A7649" s="126">
        <f t="shared" si="125"/>
        <v>7588</v>
      </c>
      <c r="B7649" s="1822"/>
      <c r="D7649" s="2" t="str">
        <f t="shared" si="124"/>
        <v>OK</v>
      </c>
      <c r="E7649" s="4" t="s">
        <v>1989</v>
      </c>
    </row>
    <row r="7650" spans="1:5" x14ac:dyDescent="0.2">
      <c r="A7650" s="126">
        <f t="shared" si="125"/>
        <v>7589</v>
      </c>
      <c r="B7650" s="1822"/>
      <c r="D7650" s="2" t="str">
        <f t="shared" si="124"/>
        <v>OK</v>
      </c>
      <c r="E7650" s="4" t="s">
        <v>1989</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350628</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13620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353319</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1394740</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1991</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1820</v>
      </c>
    </row>
    <row r="7775" spans="1:5" x14ac:dyDescent="0.2">
      <c r="A7775">
        <v>7714</v>
      </c>
      <c r="B7775" s="1821">
        <f>'Expenditures 15-22'!H133</f>
        <v>0</v>
      </c>
      <c r="D7775" s="2" t="str">
        <f t="shared" si="127"/>
        <v>Error?</v>
      </c>
      <c r="E7775" s="4" t="s">
        <v>1820</v>
      </c>
    </row>
    <row r="7776" spans="1:5" x14ac:dyDescent="0.2">
      <c r="A7776">
        <v>7715</v>
      </c>
      <c r="B7776" s="1821">
        <f>'Expenditures 15-22'!K133</f>
        <v>0</v>
      </c>
      <c r="D7776" s="2" t="str">
        <f t="shared" si="127"/>
        <v>Error?</v>
      </c>
      <c r="E7776" s="4" t="s">
        <v>1820</v>
      </c>
    </row>
    <row r="7777" spans="1:5" x14ac:dyDescent="0.2">
      <c r="A7777">
        <v>7716</v>
      </c>
      <c r="B7777" s="1821">
        <f>'Expenditures 15-22'!H157</f>
        <v>0</v>
      </c>
      <c r="D7777" s="2" t="str">
        <f t="shared" si="127"/>
        <v>Error?</v>
      </c>
      <c r="E7777" s="4" t="s">
        <v>1820</v>
      </c>
    </row>
    <row r="7778" spans="1:5" x14ac:dyDescent="0.2">
      <c r="A7778">
        <v>7717</v>
      </c>
      <c r="B7778" s="1821">
        <f>'Expenditures 15-22'!K157</f>
        <v>0</v>
      </c>
      <c r="D7778" s="2" t="str">
        <f t="shared" si="127"/>
        <v>Error?</v>
      </c>
      <c r="E7778" s="4" t="s">
        <v>1820</v>
      </c>
    </row>
    <row r="7779" spans="1:5" x14ac:dyDescent="0.2">
      <c r="A7779">
        <v>7718</v>
      </c>
      <c r="B7779" s="1821">
        <f>'Expenditures 15-22'!H158</f>
        <v>0</v>
      </c>
      <c r="D7779" s="2" t="str">
        <f t="shared" si="127"/>
        <v>Error?</v>
      </c>
      <c r="E7779" s="4" t="s">
        <v>1820</v>
      </c>
    </row>
    <row r="7780" spans="1:5" x14ac:dyDescent="0.2">
      <c r="A7780">
        <v>7719</v>
      </c>
      <c r="B7780" s="1821">
        <f>'Expenditures 15-22'!K158</f>
        <v>0</v>
      </c>
      <c r="D7780" s="2" t="str">
        <f t="shared" si="127"/>
        <v>Error?</v>
      </c>
      <c r="E7780" s="4" t="s">
        <v>1820</v>
      </c>
    </row>
    <row r="7781" spans="1:5" x14ac:dyDescent="0.2">
      <c r="A7781">
        <v>7720</v>
      </c>
      <c r="B7781" s="1821">
        <f>'Expenditures 15-22'!H159</f>
        <v>0</v>
      </c>
      <c r="D7781" s="2" t="str">
        <f t="shared" si="127"/>
        <v>Error?</v>
      </c>
      <c r="E7781" s="4" t="s">
        <v>1820</v>
      </c>
    </row>
    <row r="7782" spans="1:5" x14ac:dyDescent="0.2">
      <c r="A7782">
        <v>7721</v>
      </c>
      <c r="B7782" s="1821">
        <f>'Expenditures 15-22'!K159</f>
        <v>0</v>
      </c>
      <c r="D7782" s="2" t="str">
        <f t="shared" si="127"/>
        <v>Error?</v>
      </c>
      <c r="E7782" s="4" t="s">
        <v>1820</v>
      </c>
    </row>
    <row r="7783" spans="1:5" x14ac:dyDescent="0.2">
      <c r="A7783">
        <v>7722</v>
      </c>
      <c r="B7783" s="1821">
        <f>'Expenditures 15-22'!D282</f>
        <v>0</v>
      </c>
      <c r="D7783" s="2" t="str">
        <f t="shared" si="127"/>
        <v>Error?</v>
      </c>
      <c r="E7783" s="4" t="s">
        <v>1820</v>
      </c>
    </row>
    <row r="7784" spans="1:5" x14ac:dyDescent="0.2">
      <c r="A7784">
        <v>7723</v>
      </c>
      <c r="B7784" s="1821">
        <f>'Expenditures 15-22'!K282</f>
        <v>0</v>
      </c>
      <c r="D7784" s="2" t="str">
        <f t="shared" si="127"/>
        <v>Error?</v>
      </c>
      <c r="E7784" s="4" t="s">
        <v>1820</v>
      </c>
    </row>
    <row r="7785" spans="1:5" x14ac:dyDescent="0.2">
      <c r="A7785">
        <v>7724</v>
      </c>
      <c r="B7785" s="1821">
        <f>'Expenditures 15-22'!H332</f>
        <v>0</v>
      </c>
      <c r="D7785" s="2" t="str">
        <f t="shared" si="127"/>
        <v>Error?</v>
      </c>
      <c r="E7785" s="4" t="s">
        <v>1820</v>
      </c>
    </row>
    <row r="7786" spans="1:5" x14ac:dyDescent="0.2">
      <c r="A7786">
        <v>7725</v>
      </c>
      <c r="B7786" s="1821">
        <f>'Expenditures 15-22'!K332</f>
        <v>0</v>
      </c>
      <c r="D7786" s="2" t="str">
        <f t="shared" si="127"/>
        <v>Error?</v>
      </c>
      <c r="E7786" s="4" t="s">
        <v>1820</v>
      </c>
    </row>
    <row r="7787" spans="1:5" x14ac:dyDescent="0.2">
      <c r="A7787">
        <v>7726</v>
      </c>
      <c r="B7787" s="1821">
        <f>'Expenditures 15-22'!H333</f>
        <v>0</v>
      </c>
      <c r="D7787" s="2" t="str">
        <f t="shared" si="127"/>
        <v>Error?</v>
      </c>
      <c r="E7787" s="4" t="s">
        <v>1820</v>
      </c>
    </row>
    <row r="7788" spans="1:5" x14ac:dyDescent="0.2">
      <c r="A7788">
        <v>7727</v>
      </c>
      <c r="B7788" s="1821">
        <f>'Expenditures 15-22'!K333</f>
        <v>0</v>
      </c>
      <c r="D7788" s="2" t="str">
        <f t="shared" si="127"/>
        <v>Error?</v>
      </c>
      <c r="E7788" s="4" t="s">
        <v>1820</v>
      </c>
    </row>
    <row r="7789" spans="1:5" x14ac:dyDescent="0.2">
      <c r="A7789">
        <v>7728</v>
      </c>
      <c r="B7789" s="1821">
        <f>'Expenditures 15-22'!H334</f>
        <v>0</v>
      </c>
      <c r="D7789" s="2" t="str">
        <f t="shared" si="127"/>
        <v>Error?</v>
      </c>
      <c r="E7789" s="4" t="s">
        <v>1820</v>
      </c>
    </row>
    <row r="7790" spans="1:5" x14ac:dyDescent="0.2">
      <c r="A7790">
        <v>7729</v>
      </c>
      <c r="B7790" s="1821">
        <f>'Expenditures 15-22'!K334</f>
        <v>0</v>
      </c>
      <c r="D7790" s="2" t="str">
        <f t="shared" si="127"/>
        <v>Error?</v>
      </c>
      <c r="E7790" s="4" t="s">
        <v>1820</v>
      </c>
    </row>
    <row r="7791" spans="1:5" x14ac:dyDescent="0.2">
      <c r="A7791">
        <v>7730</v>
      </c>
      <c r="B7791" s="1821">
        <f>'Expenditures 15-22'!H354</f>
        <v>0</v>
      </c>
      <c r="D7791" s="2" t="str">
        <f t="shared" si="127"/>
        <v>Error?</v>
      </c>
      <c r="E7791" s="4" t="s">
        <v>1820</v>
      </c>
    </row>
    <row r="7792" spans="1:5" x14ac:dyDescent="0.2">
      <c r="A7792">
        <v>7731</v>
      </c>
      <c r="B7792" s="1821">
        <f>'Expenditures 15-22'!K354</f>
        <v>0</v>
      </c>
      <c r="D7792" s="2" t="str">
        <f t="shared" si="127"/>
        <v>Error?</v>
      </c>
      <c r="E7792" s="4" t="s">
        <v>1820</v>
      </c>
    </row>
    <row r="7793" spans="1:5" x14ac:dyDescent="0.2">
      <c r="A7793">
        <v>7732</v>
      </c>
      <c r="B7793" s="1821">
        <f>'Expenditures 15-22'!H355</f>
        <v>0</v>
      </c>
      <c r="D7793" s="2" t="str">
        <f t="shared" si="127"/>
        <v>Error?</v>
      </c>
      <c r="E7793" s="4" t="s">
        <v>1820</v>
      </c>
    </row>
    <row r="7794" spans="1:5" x14ac:dyDescent="0.2">
      <c r="A7794">
        <v>7733</v>
      </c>
      <c r="B7794" s="1821">
        <f>'Expenditures 15-22'!K355</f>
        <v>0</v>
      </c>
      <c r="D7794" s="2" t="str">
        <f t="shared" si="127"/>
        <v>Error?</v>
      </c>
      <c r="E7794" s="4" t="s">
        <v>1820</v>
      </c>
    </row>
    <row r="7795" spans="1:5" x14ac:dyDescent="0.2">
      <c r="A7795">
        <v>7734</v>
      </c>
      <c r="B7795" s="1821">
        <f>'Expenditures 15-22'!E138</f>
        <v>0</v>
      </c>
      <c r="D7795" s="2" t="str">
        <f t="shared" si="127"/>
        <v>Error?</v>
      </c>
      <c r="E7795" s="4" t="s">
        <v>1820</v>
      </c>
    </row>
    <row r="7796" spans="1:5" x14ac:dyDescent="0.2">
      <c r="A7796">
        <v>7735</v>
      </c>
      <c r="B7796" s="1821">
        <f>'Acct Summary 7-8'!J15</f>
        <v>0</v>
      </c>
      <c r="D7796" s="2" t="str">
        <f t="shared" si="127"/>
        <v>Error?</v>
      </c>
      <c r="E7796" s="4" t="s">
        <v>1820</v>
      </c>
    </row>
    <row r="7797" spans="1:5" x14ac:dyDescent="0.2">
      <c r="A7797" s="126">
        <v>7736</v>
      </c>
      <c r="B7797" s="1821"/>
      <c r="D7797" s="2" t="str">
        <f t="shared" si="127"/>
        <v>OK</v>
      </c>
      <c r="E7797" s="4" t="s">
        <v>1973</v>
      </c>
    </row>
    <row r="7798" spans="1:5" x14ac:dyDescent="0.2">
      <c r="A7798" s="126">
        <v>7737</v>
      </c>
      <c r="B7798" s="1821"/>
      <c r="D7798" s="2" t="str">
        <f t="shared" si="127"/>
        <v>OK</v>
      </c>
      <c r="E7798" s="4" t="s">
        <v>1973</v>
      </c>
    </row>
    <row r="7799" spans="1:5" x14ac:dyDescent="0.2">
      <c r="A7799" s="126">
        <v>7738</v>
      </c>
      <c r="B7799" s="1821"/>
      <c r="D7799" s="2" t="str">
        <f t="shared" si="127"/>
        <v>OK</v>
      </c>
      <c r="E7799" s="4" t="s">
        <v>1973</v>
      </c>
    </row>
    <row r="7800" spans="1:5" x14ac:dyDescent="0.2">
      <c r="A7800">
        <v>7739</v>
      </c>
      <c r="B7800" s="1821">
        <f>'Rest Tax Levies-Tort Im 25'!K23</f>
        <v>0</v>
      </c>
      <c r="D7800" s="2" t="str">
        <f t="shared" si="127"/>
        <v>Error?</v>
      </c>
      <c r="E7800" s="4" t="s">
        <v>1960</v>
      </c>
    </row>
    <row r="7801" spans="1:5" x14ac:dyDescent="0.2">
      <c r="A7801">
        <v>7740</v>
      </c>
      <c r="B7801" s="1821">
        <f>'Revenues 9-14'!C120</f>
        <v>0</v>
      </c>
      <c r="D7801" s="2" t="str">
        <f t="shared" si="127"/>
        <v>Error?</v>
      </c>
      <c r="E7801" s="4" t="s">
        <v>1894</v>
      </c>
    </row>
    <row r="7802" spans="1:5" x14ac:dyDescent="0.2">
      <c r="A7802">
        <v>7741</v>
      </c>
      <c r="B7802" s="1821">
        <f>'Revenues 9-14'!D120</f>
        <v>0</v>
      </c>
      <c r="D7802" s="2" t="str">
        <f t="shared" si="127"/>
        <v>Error?</v>
      </c>
      <c r="E7802" s="4" t="s">
        <v>1894</v>
      </c>
    </row>
    <row r="7803" spans="1:5" x14ac:dyDescent="0.2">
      <c r="A7803">
        <v>7742</v>
      </c>
      <c r="B7803" s="1821">
        <f>'Revenues 9-14'!E120</f>
        <v>0</v>
      </c>
      <c r="D7803" s="2" t="str">
        <f t="shared" si="127"/>
        <v>Error?</v>
      </c>
      <c r="E7803" s="4" t="s">
        <v>1894</v>
      </c>
    </row>
    <row r="7804" spans="1:5" x14ac:dyDescent="0.2">
      <c r="A7804">
        <v>7743</v>
      </c>
      <c r="B7804" s="1821">
        <f>'Revenues 9-14'!F120</f>
        <v>0</v>
      </c>
      <c r="D7804" s="2" t="str">
        <f t="shared" si="127"/>
        <v>Error?</v>
      </c>
      <c r="E7804" s="4" t="s">
        <v>1894</v>
      </c>
    </row>
    <row r="7805" spans="1:5" x14ac:dyDescent="0.2">
      <c r="A7805">
        <v>7744</v>
      </c>
      <c r="B7805" s="1821">
        <f>'Revenues 9-14'!G120</f>
        <v>0</v>
      </c>
      <c r="D7805" s="2" t="str">
        <f t="shared" si="127"/>
        <v>Error?</v>
      </c>
      <c r="E7805" s="4" t="s">
        <v>1894</v>
      </c>
    </row>
    <row r="7806" spans="1:5" x14ac:dyDescent="0.2">
      <c r="A7806">
        <v>7745</v>
      </c>
      <c r="B7806" s="1821">
        <f>'Revenues 9-14'!H120</f>
        <v>0</v>
      </c>
      <c r="D7806" s="2" t="str">
        <f t="shared" si="127"/>
        <v>Error?</v>
      </c>
      <c r="E7806" s="4" t="s">
        <v>1894</v>
      </c>
    </row>
    <row r="7807" spans="1:5" x14ac:dyDescent="0.2">
      <c r="A7807">
        <v>7746</v>
      </c>
      <c r="B7807" s="1821">
        <f>'Revenues 9-14'!J120</f>
        <v>0</v>
      </c>
      <c r="D7807" s="2" t="str">
        <f t="shared" ref="D7807:D7821" si="128">IF(ISBLANK(B7807),"OK",IF(A7807-B7807=0,"OK","Error?"))</f>
        <v>Error?</v>
      </c>
      <c r="E7807" s="4" t="s">
        <v>1894</v>
      </c>
    </row>
    <row r="7808" spans="1:5" x14ac:dyDescent="0.2">
      <c r="A7808">
        <v>7747</v>
      </c>
      <c r="B7808" s="1821">
        <f>'Revenues 9-14'!K120</f>
        <v>0</v>
      </c>
      <c r="D7808" s="2" t="str">
        <f t="shared" si="128"/>
        <v>Error?</v>
      </c>
      <c r="E7808" s="4" t="s">
        <v>1894</v>
      </c>
    </row>
    <row r="7809" spans="1:5" x14ac:dyDescent="0.2">
      <c r="A7809">
        <v>7748</v>
      </c>
      <c r="B7809" s="1821">
        <f>'Revenues 9-14'!C261</f>
        <v>0</v>
      </c>
      <c r="D7809" s="2" t="str">
        <f t="shared" si="128"/>
        <v>Error?</v>
      </c>
      <c r="E7809" s="4" t="s">
        <v>1895</v>
      </c>
    </row>
    <row r="7810" spans="1:5" x14ac:dyDescent="0.2">
      <c r="A7810">
        <v>7749</v>
      </c>
      <c r="B7810" s="1821">
        <f>'Revenues 9-14'!D261</f>
        <v>0</v>
      </c>
      <c r="D7810" s="2" t="str">
        <f t="shared" si="128"/>
        <v>Error?</v>
      </c>
      <c r="E7810" s="4" t="s">
        <v>1895</v>
      </c>
    </row>
    <row r="7811" spans="1:5" x14ac:dyDescent="0.2">
      <c r="A7811">
        <v>7750</v>
      </c>
      <c r="B7811" s="1821">
        <f>'Revenues 9-14'!F261</f>
        <v>0</v>
      </c>
      <c r="D7811" s="2" t="str">
        <f t="shared" si="128"/>
        <v>Error?</v>
      </c>
      <c r="E7811" s="4" t="s">
        <v>1895</v>
      </c>
    </row>
    <row r="7812" spans="1:5" x14ac:dyDescent="0.2">
      <c r="A7812">
        <v>7751</v>
      </c>
      <c r="B7812" s="1821">
        <f>'Revenues 9-14'!G261</f>
        <v>0</v>
      </c>
      <c r="D7812" s="2" t="str">
        <f t="shared" si="128"/>
        <v>Error?</v>
      </c>
      <c r="E7812" s="4" t="s">
        <v>1895</v>
      </c>
    </row>
    <row r="7813" spans="1:5" x14ac:dyDescent="0.2">
      <c r="A7813">
        <v>7752</v>
      </c>
      <c r="B7813" s="1821">
        <f>'Revenues 9-14'!C262</f>
        <v>0</v>
      </c>
      <c r="D7813" s="2" t="str">
        <f t="shared" si="128"/>
        <v>Error?</v>
      </c>
      <c r="E7813" s="4" t="s">
        <v>1896</v>
      </c>
    </row>
    <row r="7814" spans="1:5" x14ac:dyDescent="0.2">
      <c r="A7814">
        <v>7753</v>
      </c>
      <c r="B7814" s="1821">
        <f>'Revenues 9-14'!D262</f>
        <v>0</v>
      </c>
      <c r="D7814" s="2" t="str">
        <f t="shared" si="128"/>
        <v>Error?</v>
      </c>
      <c r="E7814" s="4" t="s">
        <v>1896</v>
      </c>
    </row>
    <row r="7815" spans="1:5" x14ac:dyDescent="0.2">
      <c r="A7815">
        <v>7754</v>
      </c>
      <c r="B7815" s="1821">
        <f>'Revenues 9-14'!F262</f>
        <v>0</v>
      </c>
      <c r="D7815" s="2" t="str">
        <f t="shared" si="128"/>
        <v>Error?</v>
      </c>
      <c r="E7815" s="4" t="s">
        <v>1896</v>
      </c>
    </row>
    <row r="7816" spans="1:5" x14ac:dyDescent="0.2">
      <c r="A7816">
        <v>7755</v>
      </c>
      <c r="B7816" s="1821">
        <f>'Revenues 9-14'!G262</f>
        <v>0</v>
      </c>
      <c r="D7816" s="2" t="str">
        <f t="shared" si="128"/>
        <v>Error?</v>
      </c>
      <c r="E7816" s="4" t="s">
        <v>1896</v>
      </c>
    </row>
    <row r="7817" spans="1:5" x14ac:dyDescent="0.2">
      <c r="A7817">
        <v>7756</v>
      </c>
      <c r="B7817" s="1821">
        <f>'Short-Term Long-Term Debt 24'!C49</f>
        <v>22447136</v>
      </c>
      <c r="D7817" s="2" t="str">
        <f t="shared" si="128"/>
        <v>Error?</v>
      </c>
      <c r="E7817" s="4" t="s">
        <v>1960</v>
      </c>
    </row>
    <row r="7818" spans="1:5" x14ac:dyDescent="0.2">
      <c r="A7818">
        <v>7757</v>
      </c>
      <c r="B7818" s="1821">
        <f>'PCTC-OEPP 27-28'!F172</f>
        <v>1095255</v>
      </c>
      <c r="D7818" s="2" t="str">
        <f t="shared" si="128"/>
        <v>Error?</v>
      </c>
      <c r="E7818" s="4" t="s">
        <v>1974</v>
      </c>
    </row>
    <row r="7819" spans="1:5" x14ac:dyDescent="0.2">
      <c r="A7819">
        <v>7758</v>
      </c>
      <c r="B7819" s="1821">
        <f>'PCTC-OEPP 27-28'!F173</f>
        <v>3677</v>
      </c>
      <c r="D7819" s="2" t="str">
        <f t="shared" si="128"/>
        <v>Error?</v>
      </c>
      <c r="E7819" s="4" t="s">
        <v>1974</v>
      </c>
    </row>
    <row r="7820" spans="1:5" x14ac:dyDescent="0.2">
      <c r="A7820">
        <v>7759</v>
      </c>
      <c r="B7820" s="1821">
        <f>'ICR Computation 30'!E40</f>
        <v>0</v>
      </c>
      <c r="D7820" s="2" t="str">
        <f t="shared" si="128"/>
        <v>Error?</v>
      </c>
    </row>
    <row r="7821" spans="1:5" x14ac:dyDescent="0.2">
      <c r="A7821">
        <v>7760</v>
      </c>
      <c r="B7821" s="1821">
        <f>'ICR Computation 30'!G40</f>
        <v>0</v>
      </c>
      <c r="D7821" s="2" t="str">
        <f t="shared" si="128"/>
        <v>Error?</v>
      </c>
    </row>
    <row r="7822" spans="1:5" x14ac:dyDescent="0.2">
      <c r="A7822" s="1">
        <v>7761</v>
      </c>
      <c r="B7822" s="1821">
        <f>'PCTC-OEPP 27-28'!F14</f>
        <v>36931708</v>
      </c>
      <c r="D7822" s="4" t="s">
        <v>1991</v>
      </c>
      <c r="E7822" s="4" t="s">
        <v>1992</v>
      </c>
    </row>
    <row r="7823" spans="1:5" x14ac:dyDescent="0.2">
      <c r="A7823" s="1">
        <v>7762</v>
      </c>
      <c r="B7823" s="1821">
        <f>'PCTC-OEPP 27-28'!F30</f>
        <v>0</v>
      </c>
      <c r="D7823" s="4" t="s">
        <v>1991</v>
      </c>
      <c r="E7823" s="4" t="s">
        <v>1992</v>
      </c>
    </row>
    <row r="7824" spans="1:5" x14ac:dyDescent="0.2">
      <c r="A7824" s="1">
        <v>7763</v>
      </c>
      <c r="B7824" s="1821">
        <f>'PCTC-OEPP 27-28'!F31</f>
        <v>0</v>
      </c>
      <c r="D7824" s="4" t="s">
        <v>1991</v>
      </c>
      <c r="E7824" s="4" t="s">
        <v>1992</v>
      </c>
    </row>
    <row r="7825" spans="1:5" x14ac:dyDescent="0.2">
      <c r="A7825" s="1">
        <v>7764</v>
      </c>
      <c r="B7825" s="1821">
        <f>'PCTC-OEPP 27-28'!F32</f>
        <v>0</v>
      </c>
      <c r="D7825" s="2" t="str">
        <f t="shared" ref="D7825:D7887" si="129">IF(ISBLANK(B7825),"OK",IF(A7825-B7825=0,"OK","Error?"))</f>
        <v>Error?</v>
      </c>
      <c r="E7825" s="4" t="s">
        <v>1992</v>
      </c>
    </row>
    <row r="7826" spans="1:5" x14ac:dyDescent="0.2">
      <c r="A7826">
        <v>7765</v>
      </c>
      <c r="B7826" s="1821">
        <f>'PCTC-OEPP 27-28'!F34</f>
        <v>243105</v>
      </c>
      <c r="D7826" s="2" t="str">
        <f t="shared" si="129"/>
        <v>Error?</v>
      </c>
      <c r="E7826" s="4" t="s">
        <v>1992</v>
      </c>
    </row>
    <row r="7827" spans="1:5" x14ac:dyDescent="0.2">
      <c r="A7827">
        <v>7766</v>
      </c>
      <c r="B7827" s="1821">
        <f>'PCTC-OEPP 27-28'!F35</f>
        <v>393087</v>
      </c>
      <c r="D7827" s="2" t="str">
        <f t="shared" si="129"/>
        <v>Error?</v>
      </c>
      <c r="E7827" s="4" t="s">
        <v>1992</v>
      </c>
    </row>
    <row r="7828" spans="1:5" x14ac:dyDescent="0.2">
      <c r="A7828">
        <v>7767</v>
      </c>
      <c r="B7828" s="1821">
        <f>'PCTC-OEPP 27-28'!F36</f>
        <v>0</v>
      </c>
      <c r="D7828" s="2" t="str">
        <f t="shared" si="129"/>
        <v>Error?</v>
      </c>
      <c r="E7828" s="4" t="s">
        <v>1992</v>
      </c>
    </row>
    <row r="7829" spans="1:5" x14ac:dyDescent="0.2">
      <c r="A7829">
        <v>7768</v>
      </c>
      <c r="B7829" s="1821">
        <f>'PCTC-OEPP 27-28'!F37</f>
        <v>0</v>
      </c>
      <c r="D7829" s="2" t="str">
        <f t="shared" si="129"/>
        <v>Error?</v>
      </c>
      <c r="E7829" s="4" t="s">
        <v>1992</v>
      </c>
    </row>
    <row r="7830" spans="1:5" x14ac:dyDescent="0.2">
      <c r="A7830">
        <v>7769</v>
      </c>
      <c r="B7830" s="1821">
        <f>'PCTC-OEPP 27-28'!F38</f>
        <v>29488</v>
      </c>
      <c r="D7830" s="2" t="str">
        <f t="shared" si="129"/>
        <v>Error?</v>
      </c>
      <c r="E7830" s="4" t="s">
        <v>1992</v>
      </c>
    </row>
    <row r="7831" spans="1:5" x14ac:dyDescent="0.2">
      <c r="A7831">
        <v>7770</v>
      </c>
      <c r="B7831" s="1821">
        <f>'PCTC-OEPP 27-28'!F52</f>
        <v>90964</v>
      </c>
      <c r="D7831" s="2" t="str">
        <f t="shared" si="129"/>
        <v>Error?</v>
      </c>
      <c r="E7831" s="4" t="s">
        <v>1992</v>
      </c>
    </row>
    <row r="7832" spans="1:5" x14ac:dyDescent="0.2">
      <c r="A7832">
        <v>7771</v>
      </c>
      <c r="B7832" s="1821">
        <f>'PCTC-OEPP 27-28'!F56</f>
        <v>0</v>
      </c>
      <c r="D7832" s="2" t="str">
        <f t="shared" si="129"/>
        <v>Error?</v>
      </c>
      <c r="E7832" s="4" t="s">
        <v>1992</v>
      </c>
    </row>
    <row r="7833" spans="1:5" x14ac:dyDescent="0.2">
      <c r="A7833">
        <v>7772</v>
      </c>
      <c r="B7833" s="1821">
        <f>'PCTC-OEPP 27-28'!F62</f>
        <v>0</v>
      </c>
      <c r="D7833" s="2" t="str">
        <f t="shared" si="129"/>
        <v>Error?</v>
      </c>
      <c r="E7833" s="4" t="s">
        <v>1992</v>
      </c>
    </row>
    <row r="7834" spans="1:5" x14ac:dyDescent="0.2">
      <c r="A7834">
        <v>7773</v>
      </c>
      <c r="B7834" s="1821">
        <f>'PCTC-OEPP 27-28'!F77</f>
        <v>4980750</v>
      </c>
      <c r="D7834" s="2" t="str">
        <f t="shared" si="129"/>
        <v>Error?</v>
      </c>
      <c r="E7834" s="4" t="s">
        <v>1992</v>
      </c>
    </row>
    <row r="7835" spans="1:5" x14ac:dyDescent="0.2">
      <c r="A7835">
        <v>7774</v>
      </c>
      <c r="B7835" s="1821">
        <f>'PCTC-OEPP 27-28'!F78</f>
        <v>31950958</v>
      </c>
      <c r="D7835" s="2" t="str">
        <f t="shared" si="129"/>
        <v>Error?</v>
      </c>
      <c r="E7835" s="4" t="s">
        <v>1992</v>
      </c>
    </row>
    <row r="7836" spans="1:5" x14ac:dyDescent="0.2">
      <c r="A7836" s="126">
        <v>7775</v>
      </c>
      <c r="B7836" s="1821"/>
      <c r="D7836" s="2" t="str">
        <f t="shared" si="129"/>
        <v>OK</v>
      </c>
      <c r="E7836" s="4" t="s">
        <v>1994</v>
      </c>
    </row>
    <row r="7837" spans="1:5" x14ac:dyDescent="0.2">
      <c r="A7837">
        <v>7776</v>
      </c>
      <c r="B7837" s="1821">
        <f>'PCTC-OEPP 27-28'!F80</f>
        <v>11793.067582032258</v>
      </c>
      <c r="D7837" s="2" t="str">
        <f t="shared" si="129"/>
        <v>Error?</v>
      </c>
      <c r="E7837" s="4" t="s">
        <v>1992</v>
      </c>
    </row>
    <row r="7838" spans="1:5" x14ac:dyDescent="0.2">
      <c r="A7838">
        <v>7777</v>
      </c>
      <c r="B7838" s="1821">
        <f>'PCTC-OEPP 27-28'!F96</f>
        <v>246797</v>
      </c>
      <c r="D7838" s="2" t="str">
        <f t="shared" si="129"/>
        <v>Error?</v>
      </c>
      <c r="E7838" s="4" t="s">
        <v>1992</v>
      </c>
    </row>
    <row r="7839" spans="1:5" x14ac:dyDescent="0.2">
      <c r="A7839">
        <v>7778</v>
      </c>
      <c r="B7839" s="1821">
        <f>'PCTC-OEPP 27-28'!F102</f>
        <v>10611</v>
      </c>
      <c r="D7839" s="2" t="str">
        <f t="shared" si="129"/>
        <v>Error?</v>
      </c>
      <c r="E7839" s="4" t="s">
        <v>1992</v>
      </c>
    </row>
    <row r="7840" spans="1:5" x14ac:dyDescent="0.2">
      <c r="A7840">
        <v>7779</v>
      </c>
      <c r="B7840" s="1821">
        <f>'PCTC-OEPP 27-28'!F103</f>
        <v>0</v>
      </c>
      <c r="D7840" s="2" t="str">
        <f t="shared" si="129"/>
        <v>Error?</v>
      </c>
      <c r="E7840" s="4" t="s">
        <v>1992</v>
      </c>
    </row>
    <row r="7841" spans="1:5" x14ac:dyDescent="0.2">
      <c r="A7841">
        <v>7780</v>
      </c>
      <c r="B7841" s="1821">
        <f>'PCTC-OEPP 27-28'!F104</f>
        <v>0</v>
      </c>
      <c r="D7841" s="2" t="str">
        <f t="shared" si="129"/>
        <v>Error?</v>
      </c>
      <c r="E7841" s="4" t="s">
        <v>1992</v>
      </c>
    </row>
    <row r="7842" spans="1:5" x14ac:dyDescent="0.2">
      <c r="A7842">
        <v>7781</v>
      </c>
      <c r="B7842" s="1821">
        <f>'PCTC-OEPP 27-28'!F106</f>
        <v>352805</v>
      </c>
      <c r="D7842" s="2" t="str">
        <f t="shared" si="129"/>
        <v>Error?</v>
      </c>
      <c r="E7842" s="4" t="s">
        <v>1992</v>
      </c>
    </row>
    <row r="7843" spans="1:5" x14ac:dyDescent="0.2">
      <c r="A7843">
        <v>7782</v>
      </c>
      <c r="B7843" s="1821">
        <f>'PCTC-OEPP 27-28'!F107</f>
        <v>0</v>
      </c>
      <c r="D7843" s="2" t="str">
        <f t="shared" si="129"/>
        <v>Error?</v>
      </c>
      <c r="E7843" s="4" t="s">
        <v>1992</v>
      </c>
    </row>
    <row r="7844" spans="1:5" x14ac:dyDescent="0.2">
      <c r="A7844">
        <v>7783</v>
      </c>
      <c r="B7844" s="1821">
        <f>'PCTC-OEPP 27-28'!F108</f>
        <v>0</v>
      </c>
      <c r="D7844" s="2" t="str">
        <f t="shared" si="129"/>
        <v>Error?</v>
      </c>
      <c r="E7844" s="4" t="s">
        <v>1992</v>
      </c>
    </row>
    <row r="7845" spans="1:5" x14ac:dyDescent="0.2">
      <c r="A7845">
        <v>7784</v>
      </c>
      <c r="B7845" s="1821">
        <f>'PCTC-OEPP 27-28'!F110</f>
        <v>0</v>
      </c>
      <c r="D7845" s="2" t="str">
        <f t="shared" si="129"/>
        <v>Error?</v>
      </c>
      <c r="E7845" s="4" t="s">
        <v>1992</v>
      </c>
    </row>
    <row r="7846" spans="1:5" x14ac:dyDescent="0.2">
      <c r="A7846">
        <v>7785</v>
      </c>
      <c r="B7846" s="1821">
        <f>'PCTC-OEPP 27-28'!F111</f>
        <v>0</v>
      </c>
      <c r="D7846" s="2" t="str">
        <f t="shared" si="129"/>
        <v>Error?</v>
      </c>
      <c r="E7846" s="4" t="s">
        <v>1992</v>
      </c>
    </row>
    <row r="7847" spans="1:5" x14ac:dyDescent="0.2">
      <c r="A7847">
        <v>7786</v>
      </c>
      <c r="B7847" s="1821">
        <f>'PCTC-OEPP 27-28'!F112</f>
        <v>1524516</v>
      </c>
      <c r="D7847" s="2" t="str">
        <f t="shared" si="129"/>
        <v>Error?</v>
      </c>
      <c r="E7847" s="4" t="s">
        <v>1992</v>
      </c>
    </row>
    <row r="7848" spans="1:5" x14ac:dyDescent="0.2">
      <c r="A7848">
        <v>7787</v>
      </c>
      <c r="B7848" s="1821">
        <f>'PCTC-OEPP 27-28'!F114</f>
        <v>0</v>
      </c>
      <c r="D7848" s="2" t="str">
        <f t="shared" si="129"/>
        <v>Error?</v>
      </c>
      <c r="E7848" s="4" t="s">
        <v>1992</v>
      </c>
    </row>
    <row r="7849" spans="1:5" x14ac:dyDescent="0.2">
      <c r="A7849">
        <v>7788</v>
      </c>
      <c r="B7849" s="1821">
        <f>'PCTC-OEPP 27-28'!F115</f>
        <v>0</v>
      </c>
      <c r="D7849" s="2" t="str">
        <f t="shared" si="129"/>
        <v>Error?</v>
      </c>
      <c r="E7849" s="4" t="s">
        <v>1992</v>
      </c>
    </row>
    <row r="7850" spans="1:5" x14ac:dyDescent="0.2">
      <c r="A7850">
        <v>7789</v>
      </c>
      <c r="B7850" s="1821">
        <f>'PCTC-OEPP 27-28'!F116</f>
        <v>0</v>
      </c>
      <c r="D7850" s="2" t="str">
        <f t="shared" si="129"/>
        <v>Error?</v>
      </c>
      <c r="E7850" s="4" t="s">
        <v>1992</v>
      </c>
    </row>
    <row r="7851" spans="1:5" x14ac:dyDescent="0.2">
      <c r="A7851">
        <v>7790</v>
      </c>
      <c r="B7851" s="1821">
        <f>'PCTC-OEPP 27-28'!F117</f>
        <v>0</v>
      </c>
      <c r="D7851" s="2" t="str">
        <f t="shared" si="129"/>
        <v>Error?</v>
      </c>
      <c r="E7851" s="4" t="s">
        <v>1992</v>
      </c>
    </row>
    <row r="7852" spans="1:5" x14ac:dyDescent="0.2">
      <c r="A7852">
        <v>7791</v>
      </c>
      <c r="B7852" s="1821">
        <f>'PCTC-OEPP 27-28'!F118</f>
        <v>0</v>
      </c>
      <c r="D7852" s="2" t="str">
        <f t="shared" si="129"/>
        <v>Error?</v>
      </c>
      <c r="E7852" s="4" t="s">
        <v>1992</v>
      </c>
    </row>
    <row r="7853" spans="1:5" x14ac:dyDescent="0.2">
      <c r="A7853">
        <v>7792</v>
      </c>
      <c r="B7853" s="1821">
        <f>'PCTC-OEPP 27-28'!F119</f>
        <v>0</v>
      </c>
      <c r="D7853" s="2" t="str">
        <f t="shared" si="129"/>
        <v>Error?</v>
      </c>
      <c r="E7853" s="4" t="s">
        <v>1992</v>
      </c>
    </row>
    <row r="7854" spans="1:5" x14ac:dyDescent="0.2">
      <c r="A7854">
        <v>7793</v>
      </c>
      <c r="B7854" s="1821">
        <f>'PCTC-OEPP 27-28'!F120</f>
        <v>0</v>
      </c>
      <c r="D7854" s="2" t="str">
        <f t="shared" si="129"/>
        <v>Error?</v>
      </c>
      <c r="E7854" s="4" t="s">
        <v>1992</v>
      </c>
    </row>
    <row r="7855" spans="1:5" x14ac:dyDescent="0.2">
      <c r="A7855">
        <v>7794</v>
      </c>
      <c r="B7855" s="1821">
        <f>'PCTC-OEPP 27-28'!F122</f>
        <v>52001</v>
      </c>
      <c r="D7855" s="2" t="str">
        <f t="shared" si="129"/>
        <v>Error?</v>
      </c>
      <c r="E7855" s="4" t="s">
        <v>1992</v>
      </c>
    </row>
    <row r="7856" spans="1:5" x14ac:dyDescent="0.2">
      <c r="A7856">
        <v>7795</v>
      </c>
      <c r="B7856" s="1821">
        <f>'PCTC-OEPP 27-28'!F124</f>
        <v>0</v>
      </c>
      <c r="D7856" s="2" t="str">
        <f t="shared" si="129"/>
        <v>Error?</v>
      </c>
      <c r="E7856" s="4" t="s">
        <v>1992</v>
      </c>
    </row>
    <row r="7857" spans="1:5" x14ac:dyDescent="0.2">
      <c r="A7857">
        <v>7796</v>
      </c>
      <c r="B7857" s="1821">
        <f>'PCTC-OEPP 27-28'!F125</f>
        <v>0</v>
      </c>
      <c r="D7857" s="2" t="str">
        <f t="shared" si="129"/>
        <v>Error?</v>
      </c>
      <c r="E7857" s="4" t="s">
        <v>1992</v>
      </c>
    </row>
    <row r="7858" spans="1:5" x14ac:dyDescent="0.2">
      <c r="A7858">
        <v>7797</v>
      </c>
      <c r="B7858" s="1821">
        <f>'PCTC-OEPP 27-28'!F126</f>
        <v>272781</v>
      </c>
      <c r="D7858" s="2" t="str">
        <f t="shared" si="129"/>
        <v>Error?</v>
      </c>
      <c r="E7858" s="4" t="s">
        <v>1992</v>
      </c>
    </row>
    <row r="7859" spans="1:5" x14ac:dyDescent="0.2">
      <c r="A7859">
        <v>7798</v>
      </c>
      <c r="B7859" s="1821">
        <f>'PCTC-OEPP 27-28'!F127</f>
        <v>170275</v>
      </c>
      <c r="D7859" s="2" t="str">
        <f t="shared" si="129"/>
        <v>Error?</v>
      </c>
      <c r="E7859" s="4" t="s">
        <v>1992</v>
      </c>
    </row>
    <row r="7860" spans="1:5" x14ac:dyDescent="0.2">
      <c r="A7860">
        <v>7799</v>
      </c>
      <c r="B7860" s="1821">
        <f>'PCTC-OEPP 27-28'!F128</f>
        <v>25737</v>
      </c>
      <c r="D7860" s="2" t="str">
        <f t="shared" si="129"/>
        <v>Error?</v>
      </c>
      <c r="E7860" s="4" t="s">
        <v>1992</v>
      </c>
    </row>
    <row r="7861" spans="1:5" x14ac:dyDescent="0.2">
      <c r="A7861">
        <v>7800</v>
      </c>
      <c r="B7861" s="1821">
        <f>'PCTC-OEPP 27-28'!F129</f>
        <v>459595</v>
      </c>
      <c r="D7861" s="2" t="str">
        <f t="shared" si="129"/>
        <v>Error?</v>
      </c>
      <c r="E7861" s="4" t="s">
        <v>1992</v>
      </c>
    </row>
    <row r="7862" spans="1:5" x14ac:dyDescent="0.2">
      <c r="A7862">
        <v>7801</v>
      </c>
      <c r="B7862" s="1821">
        <f>'PCTC-OEPP 27-28'!F130</f>
        <v>11083</v>
      </c>
      <c r="D7862" s="2" t="str">
        <f t="shared" si="129"/>
        <v>Error?</v>
      </c>
      <c r="E7862" s="4" t="s">
        <v>1992</v>
      </c>
    </row>
    <row r="7863" spans="1:5" x14ac:dyDescent="0.2">
      <c r="A7863">
        <v>7802</v>
      </c>
      <c r="B7863" s="1821">
        <f>'PCTC-OEPP 27-28'!F131</f>
        <v>0</v>
      </c>
      <c r="D7863" s="2" t="str">
        <f t="shared" si="129"/>
        <v>Error?</v>
      </c>
      <c r="E7863" s="4" t="s">
        <v>1992</v>
      </c>
    </row>
    <row r="7864" spans="1:5" x14ac:dyDescent="0.2">
      <c r="A7864">
        <v>7803</v>
      </c>
      <c r="B7864" s="1821">
        <f>'PCTC-OEPP 27-28'!F132</f>
        <v>0</v>
      </c>
      <c r="D7864" s="2" t="str">
        <f t="shared" si="129"/>
        <v>Error?</v>
      </c>
      <c r="E7864" s="4" t="s">
        <v>1992</v>
      </c>
    </row>
    <row r="7865" spans="1:5" x14ac:dyDescent="0.2">
      <c r="A7865">
        <v>7804</v>
      </c>
      <c r="B7865" s="1821">
        <f>'PCTC-OEPP 27-28'!F133</f>
        <v>0</v>
      </c>
      <c r="D7865" s="2" t="str">
        <f t="shared" si="129"/>
        <v>Error?</v>
      </c>
      <c r="E7865" s="4" t="s">
        <v>1992</v>
      </c>
    </row>
    <row r="7866" spans="1:5" x14ac:dyDescent="0.2">
      <c r="A7866">
        <v>7805</v>
      </c>
      <c r="B7866" s="1821">
        <f>'PCTC-OEPP 27-28'!F158</f>
        <v>0</v>
      </c>
      <c r="D7866" s="2" t="str">
        <f t="shared" si="129"/>
        <v>Error?</v>
      </c>
      <c r="E7866" s="4" t="s">
        <v>1992</v>
      </c>
    </row>
    <row r="7867" spans="1:5" x14ac:dyDescent="0.2">
      <c r="A7867">
        <v>7806</v>
      </c>
      <c r="B7867" s="1821">
        <f>'PCTC-OEPP 27-28'!F160</f>
        <v>0</v>
      </c>
      <c r="D7867" s="2" t="str">
        <f t="shared" si="129"/>
        <v>Error?</v>
      </c>
      <c r="E7867" s="4" t="s">
        <v>1992</v>
      </c>
    </row>
    <row r="7868" spans="1:5" x14ac:dyDescent="0.2">
      <c r="A7868">
        <v>7807</v>
      </c>
      <c r="B7868" s="1821">
        <f>'PCTC-OEPP 27-28'!F161</f>
        <v>0</v>
      </c>
      <c r="D7868" s="2" t="str">
        <f t="shared" si="129"/>
        <v>Error?</v>
      </c>
      <c r="E7868" s="4" t="s">
        <v>1992</v>
      </c>
    </row>
    <row r="7869" spans="1:5" x14ac:dyDescent="0.2">
      <c r="A7869">
        <v>7808</v>
      </c>
      <c r="B7869" s="1821">
        <f>'PCTC-OEPP 27-28'!F162</f>
        <v>0</v>
      </c>
      <c r="D7869" s="2" t="str">
        <f t="shared" si="129"/>
        <v>Error?</v>
      </c>
      <c r="E7869" s="4" t="s">
        <v>1992</v>
      </c>
    </row>
    <row r="7870" spans="1:5" x14ac:dyDescent="0.2">
      <c r="A7870">
        <v>7809</v>
      </c>
      <c r="B7870" s="1821">
        <f>'PCTC-OEPP 27-28'!F163</f>
        <v>0</v>
      </c>
      <c r="D7870" s="2" t="str">
        <f t="shared" si="129"/>
        <v>Error?</v>
      </c>
      <c r="E7870" s="4" t="s">
        <v>1992</v>
      </c>
    </row>
    <row r="7871" spans="1:5" x14ac:dyDescent="0.2">
      <c r="A7871">
        <v>7810</v>
      </c>
      <c r="B7871" s="1821">
        <f>'PCTC-OEPP 27-28'!F164</f>
        <v>0</v>
      </c>
      <c r="D7871" s="2" t="str">
        <f t="shared" si="129"/>
        <v>Error?</v>
      </c>
      <c r="E7871" s="4" t="s">
        <v>1992</v>
      </c>
    </row>
    <row r="7872" spans="1:5" x14ac:dyDescent="0.2">
      <c r="A7872">
        <v>7811</v>
      </c>
      <c r="B7872" s="1821">
        <f>'PCTC-OEPP 27-28'!F165</f>
        <v>71656</v>
      </c>
      <c r="D7872" s="2" t="str">
        <f t="shared" si="129"/>
        <v>Error?</v>
      </c>
      <c r="E7872" s="4" t="s">
        <v>1992</v>
      </c>
    </row>
    <row r="7873" spans="1:5" x14ac:dyDescent="0.2">
      <c r="A7873">
        <v>7812</v>
      </c>
      <c r="B7873" s="1821">
        <f>'PCTC-OEPP 27-28'!F166</f>
        <v>0</v>
      </c>
      <c r="D7873" s="2" t="str">
        <f t="shared" si="129"/>
        <v>Error?</v>
      </c>
      <c r="E7873" s="4" t="s">
        <v>1992</v>
      </c>
    </row>
    <row r="7874" spans="1:5" x14ac:dyDescent="0.2">
      <c r="A7874">
        <v>7813</v>
      </c>
      <c r="B7874" s="1821">
        <f>'PCTC-OEPP 27-28'!F169</f>
        <v>60006</v>
      </c>
      <c r="D7874" s="2" t="str">
        <f t="shared" si="129"/>
        <v>Error?</v>
      </c>
      <c r="E7874" s="4" t="s">
        <v>1992</v>
      </c>
    </row>
    <row r="7875" spans="1:5" x14ac:dyDescent="0.2">
      <c r="A7875">
        <v>7814</v>
      </c>
      <c r="B7875" s="1821">
        <f>'PCTC-OEPP 27-28'!F170</f>
        <v>161047</v>
      </c>
      <c r="D7875" s="2" t="str">
        <f t="shared" si="129"/>
        <v>Error?</v>
      </c>
      <c r="E7875" s="4" t="s">
        <v>1992</v>
      </c>
    </row>
    <row r="7876" spans="1:5" x14ac:dyDescent="0.2">
      <c r="A7876">
        <v>7815</v>
      </c>
      <c r="B7876" s="1821">
        <f>'PCTC-OEPP 27-28'!F171</f>
        <v>0</v>
      </c>
      <c r="D7876" s="2" t="str">
        <f t="shared" si="129"/>
        <v>Error?</v>
      </c>
      <c r="E7876" s="4" t="s">
        <v>1992</v>
      </c>
    </row>
    <row r="7877" spans="1:5" x14ac:dyDescent="0.2">
      <c r="A7877">
        <v>7816</v>
      </c>
      <c r="B7877" s="1821">
        <f>'PCTC-OEPP 27-28'!F175</f>
        <v>4954732</v>
      </c>
      <c r="D7877" s="2" t="str">
        <f t="shared" si="129"/>
        <v>Error?</v>
      </c>
      <c r="E7877" s="4" t="s">
        <v>1992</v>
      </c>
    </row>
    <row r="7878" spans="1:5" x14ac:dyDescent="0.2">
      <c r="A7878">
        <v>7817</v>
      </c>
      <c r="B7878" s="1821">
        <f>'PCTC-OEPP 27-28'!F176</f>
        <v>26996226</v>
      </c>
      <c r="D7878" s="2" t="str">
        <f t="shared" si="129"/>
        <v>Error?</v>
      </c>
      <c r="E7878" s="4" t="s">
        <v>1992</v>
      </c>
    </row>
    <row r="7879" spans="1:5" x14ac:dyDescent="0.2">
      <c r="A7879">
        <v>7818</v>
      </c>
      <c r="B7879" s="1821">
        <f>'PCTC-OEPP 27-28'!F178</f>
        <v>29218342.100000001</v>
      </c>
      <c r="D7879" s="2" t="str">
        <f t="shared" si="129"/>
        <v>Error?</v>
      </c>
      <c r="E7879" s="4" t="s">
        <v>1992</v>
      </c>
    </row>
    <row r="7880" spans="1:5" x14ac:dyDescent="0.2">
      <c r="A7880">
        <v>7819</v>
      </c>
      <c r="B7880" s="1821">
        <f>'PCTC-OEPP 27-28'!F180</f>
        <v>10784.461705975713</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2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33"/>
    <pageSetUpPr fitToPage="1"/>
  </sheetPr>
  <dimension ref="A1:AC59"/>
  <sheetViews>
    <sheetView showGridLines="0" showZeros="0" topLeftCell="A22" zoomScale="110" zoomScaleNormal="110" workbookViewId="0">
      <selection activeCell="B32" sqref="B32"/>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614" t="s">
        <v>1180</v>
      </c>
      <c r="B2" s="2614"/>
      <c r="C2" s="2614"/>
      <c r="D2" s="2614"/>
      <c r="E2" s="2614"/>
      <c r="F2" s="2614"/>
      <c r="G2" s="2614"/>
      <c r="H2" s="2614"/>
      <c r="I2" s="2614"/>
      <c r="J2" s="2614"/>
      <c r="K2" s="2614"/>
      <c r="L2" s="2614"/>
    </row>
    <row r="3" spans="1:29" ht="13.5" customHeight="1" x14ac:dyDescent="0.2">
      <c r="A3" s="2600" t="s">
        <v>1179</v>
      </c>
      <c r="B3" s="2600"/>
      <c r="C3" s="2600"/>
      <c r="D3" s="2600"/>
      <c r="E3" s="2600"/>
      <c r="F3" s="2600"/>
      <c r="G3" s="2600"/>
      <c r="H3" s="2600"/>
      <c r="I3" s="2600"/>
      <c r="J3" s="2600"/>
      <c r="K3" s="2600"/>
      <c r="L3" s="2600"/>
    </row>
    <row r="4" spans="1:29" ht="13.5" customHeight="1" x14ac:dyDescent="0.2">
      <c r="A4" s="2631" t="str">
        <f>"Year Ending June 30, "&amp;'AFR20'!E2</f>
        <v>Year Ending June 30, 2020</v>
      </c>
      <c r="B4" s="2632"/>
      <c r="C4" s="2632"/>
      <c r="D4" s="2632"/>
      <c r="E4" s="2632"/>
      <c r="F4" s="2632"/>
      <c r="G4" s="2632"/>
      <c r="H4" s="2632"/>
      <c r="I4" s="2632"/>
      <c r="J4" s="2632"/>
      <c r="K4" s="2632"/>
      <c r="L4" s="2632"/>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94" t="str">
        <f>COVER!A17</f>
        <v xml:space="preserve">   Antioch CCSD 34</v>
      </c>
      <c r="B7" s="2595"/>
      <c r="C7" s="2595"/>
      <c r="D7" s="2633"/>
      <c r="E7" s="2634">
        <f>COVER!A13</f>
        <v>34049034004</v>
      </c>
      <c r="F7" s="2635"/>
      <c r="G7" s="2601" t="str">
        <f>COVER!T23</f>
        <v>066-005142</v>
      </c>
      <c r="H7" s="2602"/>
      <c r="I7" s="2602"/>
      <c r="J7" s="2602"/>
      <c r="K7" s="2602"/>
      <c r="L7" s="2603"/>
    </row>
    <row r="8" spans="1:29" ht="13.5" customHeight="1" x14ac:dyDescent="0.2">
      <c r="A8" s="956" t="s">
        <v>1497</v>
      </c>
      <c r="B8" s="957"/>
      <c r="C8" s="958"/>
      <c r="D8" s="958"/>
      <c r="E8" s="963"/>
      <c r="F8" s="962"/>
      <c r="G8" s="964" t="s">
        <v>1175</v>
      </c>
      <c r="H8" s="965"/>
      <c r="I8" s="965"/>
      <c r="J8" s="965"/>
      <c r="K8" s="965"/>
      <c r="L8" s="966"/>
    </row>
    <row r="9" spans="1:29" ht="13.5" customHeight="1" x14ac:dyDescent="0.2">
      <c r="A9" s="2604"/>
      <c r="B9" s="2605"/>
      <c r="C9" s="2605"/>
      <c r="D9" s="2605"/>
      <c r="E9" s="2605"/>
      <c r="F9" s="2606"/>
      <c r="G9" s="2607" t="str">
        <f>COVER!T13</f>
        <v>EDER, CASELLA &amp; CO.</v>
      </c>
      <c r="H9" s="2608"/>
      <c r="I9" s="2608"/>
      <c r="J9" s="2608"/>
      <c r="K9" s="2608"/>
      <c r="L9" s="2609"/>
    </row>
    <row r="10" spans="1:29" ht="13.5" customHeight="1" x14ac:dyDescent="0.2">
      <c r="A10" s="2591">
        <f>COVER!A38</f>
        <v>0</v>
      </c>
      <c r="B10" s="2592"/>
      <c r="C10" s="2592"/>
      <c r="D10" s="2592"/>
      <c r="E10" s="2592"/>
      <c r="F10" s="2593"/>
      <c r="G10" s="2607" t="str">
        <f>COVER!T17</f>
        <v>5400 WEST ELM STREET, SUITE 203</v>
      </c>
      <c r="H10" s="2620"/>
      <c r="I10" s="2620"/>
      <c r="J10" s="2620"/>
      <c r="K10" s="2620"/>
      <c r="L10" s="2621"/>
    </row>
    <row r="11" spans="1:29" ht="13.5" customHeight="1" x14ac:dyDescent="0.2">
      <c r="A11" s="956" t="s">
        <v>1499</v>
      </c>
      <c r="B11" s="957"/>
      <c r="C11" s="958"/>
      <c r="D11" s="963"/>
      <c r="E11" s="958"/>
      <c r="F11" s="962"/>
      <c r="G11" s="2607" t="str">
        <f>COVER!T19</f>
        <v>MCHENRY</v>
      </c>
      <c r="H11" s="2620"/>
      <c r="I11" s="2620"/>
      <c r="J11" s="2620"/>
      <c r="K11" s="2620"/>
      <c r="L11" s="2621"/>
    </row>
    <row r="12" spans="1:29" ht="13.5" customHeight="1" x14ac:dyDescent="0.2">
      <c r="A12" s="2625" t="s">
        <v>1498</v>
      </c>
      <c r="B12" s="2626"/>
      <c r="C12" s="2626"/>
      <c r="D12" s="2626"/>
      <c r="E12" s="2626"/>
      <c r="F12" s="2627"/>
      <c r="G12" s="2622"/>
      <c r="H12" s="2623"/>
      <c r="I12" s="2623"/>
      <c r="J12" s="2623"/>
      <c r="K12" s="2623"/>
      <c r="L12" s="2624"/>
    </row>
    <row r="13" spans="1:29" ht="13.5" customHeight="1" x14ac:dyDescent="0.2">
      <c r="A13" s="2607"/>
      <c r="B13" s="2620"/>
      <c r="C13" s="2620"/>
      <c r="D13" s="2620"/>
      <c r="E13" s="2620"/>
      <c r="F13" s="2621"/>
      <c r="G13" s="2615" t="s">
        <v>1500</v>
      </c>
      <c r="H13" s="2616"/>
      <c r="I13" s="2628" t="str">
        <f>COVER!T25</f>
        <v>CPAS@EDERCASELLA.COM</v>
      </c>
      <c r="J13" s="2629"/>
      <c r="K13" s="2629"/>
      <c r="L13" s="2630"/>
    </row>
    <row r="14" spans="1:29" ht="13.5" customHeight="1" x14ac:dyDescent="0.2">
      <c r="A14" s="2607" t="str">
        <f>COVER!A19</f>
        <v>364 SPAFFORD STREET</v>
      </c>
      <c r="B14" s="2620"/>
      <c r="C14" s="2620"/>
      <c r="D14" s="2620"/>
      <c r="E14" s="2620"/>
      <c r="F14" s="2621"/>
      <c r="G14" s="967" t="s">
        <v>1174</v>
      </c>
      <c r="H14" s="965"/>
      <c r="I14" s="965"/>
      <c r="J14" s="965"/>
      <c r="K14" s="965"/>
      <c r="L14" s="966"/>
    </row>
    <row r="15" spans="1:29" ht="13.5" customHeight="1" x14ac:dyDescent="0.2">
      <c r="A15" s="2607" t="str">
        <f>COVER!A21</f>
        <v>ANTIOCH</v>
      </c>
      <c r="B15" s="2620"/>
      <c r="C15" s="2620"/>
      <c r="D15" s="2620"/>
      <c r="E15" s="2620"/>
      <c r="F15" s="2621"/>
      <c r="G15" s="2617" t="str">
        <f>COVER!T15</f>
        <v>CHERYDEN JUERGENSEN</v>
      </c>
      <c r="H15" s="2618"/>
      <c r="I15" s="2618"/>
      <c r="J15" s="2618"/>
      <c r="K15" s="2618"/>
      <c r="L15" s="2619"/>
    </row>
    <row r="16" spans="1:29" ht="12.2" customHeight="1" x14ac:dyDescent="0.2">
      <c r="A16" s="2597">
        <f>COVER!A25</f>
        <v>60002</v>
      </c>
      <c r="B16" s="2598"/>
      <c r="C16" s="2598"/>
      <c r="D16" s="2598"/>
      <c r="E16" s="2598"/>
      <c r="F16" s="2599"/>
      <c r="G16" s="2610"/>
      <c r="H16" s="2611"/>
      <c r="I16" s="2611"/>
      <c r="J16" s="2611"/>
      <c r="K16" s="2611"/>
      <c r="L16" s="2612"/>
    </row>
    <row r="17" spans="1:13" ht="12.2" customHeight="1" x14ac:dyDescent="0.2">
      <c r="A17" s="2613"/>
      <c r="B17" s="2598"/>
      <c r="C17" s="2598"/>
      <c r="D17" s="2598"/>
      <c r="E17" s="2598"/>
      <c r="F17" s="2599"/>
      <c r="G17" s="967" t="s">
        <v>1173</v>
      </c>
      <c r="H17" s="965"/>
      <c r="I17" s="965"/>
      <c r="J17" s="965"/>
      <c r="K17" s="969" t="s">
        <v>1172</v>
      </c>
      <c r="L17" s="962"/>
      <c r="M17" s="955"/>
    </row>
    <row r="18" spans="1:13" ht="12.2" customHeight="1" x14ac:dyDescent="0.2">
      <c r="A18" s="2591"/>
      <c r="B18" s="2592"/>
      <c r="C18" s="2592"/>
      <c r="D18" s="2592"/>
      <c r="E18" s="2592"/>
      <c r="F18" s="2593"/>
      <c r="G18" s="2594" t="str">
        <f>COVER!T21</f>
        <v>815-344-1300</v>
      </c>
      <c r="H18" s="2595"/>
      <c r="I18" s="2595"/>
      <c r="J18" s="2595"/>
      <c r="K18" s="2594" t="str">
        <f>COVER!X21</f>
        <v>815-344-1320</v>
      </c>
      <c r="L18" s="2596"/>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2132</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2132</v>
      </c>
      <c r="C26" s="974" t="s">
        <v>1674</v>
      </c>
    </row>
    <row r="27" spans="1:13" s="970" customFormat="1" ht="9" customHeight="1" x14ac:dyDescent="0.2">
      <c r="B27" s="975"/>
      <c r="C27" s="974"/>
    </row>
    <row r="28" spans="1:13" s="970" customFormat="1" ht="12.2" customHeight="1" x14ac:dyDescent="0.2">
      <c r="A28" s="977"/>
      <c r="B28" s="973" t="s">
        <v>2132</v>
      </c>
      <c r="C28" s="974" t="s">
        <v>1675</v>
      </c>
    </row>
    <row r="29" spans="1:13" s="970" customFormat="1" ht="9" customHeight="1" x14ac:dyDescent="0.2">
      <c r="A29" s="977"/>
      <c r="B29" s="975"/>
      <c r="C29" s="974"/>
    </row>
    <row r="30" spans="1:13" s="970" customFormat="1" ht="12.2" customHeight="1" x14ac:dyDescent="0.2">
      <c r="B30" s="973" t="s">
        <v>2132</v>
      </c>
      <c r="C30" s="974" t="s">
        <v>1542</v>
      </c>
      <c r="D30" s="968"/>
      <c r="E30" s="968"/>
    </row>
    <row r="31" spans="1:13" s="970" customFormat="1" ht="9" customHeight="1" x14ac:dyDescent="0.2">
      <c r="B31" s="975"/>
      <c r="C31" s="974"/>
      <c r="D31" s="968"/>
      <c r="E31" s="968"/>
    </row>
    <row r="32" spans="1:13" s="970" customFormat="1" ht="12.2" customHeight="1" x14ac:dyDescent="0.2">
      <c r="B32" s="973" t="s">
        <v>2132</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2132</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2132</v>
      </c>
      <c r="C38" s="974" t="s">
        <v>1546</v>
      </c>
    </row>
    <row r="39" spans="1:8" ht="9" customHeight="1" x14ac:dyDescent="0.2">
      <c r="B39" s="975"/>
      <c r="C39" s="978"/>
    </row>
    <row r="40" spans="1:8" s="970" customFormat="1" ht="13.5" customHeight="1" x14ac:dyDescent="0.2">
      <c r="B40" s="973" t="s">
        <v>2132</v>
      </c>
      <c r="C40" s="974" t="s">
        <v>1547</v>
      </c>
    </row>
    <row r="41" spans="1:8" ht="9" customHeight="1" x14ac:dyDescent="0.2">
      <c r="A41" s="979"/>
      <c r="B41" s="975"/>
      <c r="C41" s="978"/>
    </row>
    <row r="42" spans="1:8" s="970" customFormat="1" ht="13.5" customHeight="1" x14ac:dyDescent="0.2">
      <c r="B42" s="973" t="s">
        <v>2132</v>
      </c>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499984740745262"/>
    <pageSetUpPr fitToPage="1"/>
  </sheetPr>
  <dimension ref="A1:K127"/>
  <sheetViews>
    <sheetView showGridLines="0" topLeftCell="A49" zoomScale="125" zoomScaleNormal="125" workbookViewId="0">
      <selection activeCell="D35" sqref="D35"/>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636" t="str">
        <f>'Single Audit Cover'!A7</f>
        <v xml:space="preserve">   Antioch CCSD 34</v>
      </c>
      <c r="B1" s="2637"/>
      <c r="C1" s="2637"/>
      <c r="D1" s="2637"/>
    </row>
    <row r="2" spans="1:11" s="984" customFormat="1" ht="12.75" x14ac:dyDescent="0.2">
      <c r="A2" s="2638">
        <f>'Single Audit Cover'!E7</f>
        <v>34049034004</v>
      </c>
      <c r="B2" s="2639"/>
      <c r="C2" s="2639"/>
      <c r="D2" s="2639"/>
    </row>
    <row r="3" spans="1:11" s="984" customFormat="1" ht="12.75" x14ac:dyDescent="0.2">
      <c r="A3" s="2636" t="s">
        <v>1493</v>
      </c>
      <c r="B3" s="2637"/>
      <c r="C3" s="2637"/>
      <c r="D3" s="2637"/>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33"/>
  </sheetPr>
  <dimension ref="A1:E49"/>
  <sheetViews>
    <sheetView showGridLines="0" zoomScale="110" zoomScaleNormal="110" zoomScaleSheetLayoutView="100" workbookViewId="0">
      <selection activeCell="D39" sqref="D39"/>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641" t="str">
        <f>'Single Audit Cover'!A7</f>
        <v xml:space="preserve">   Antioch CCSD 34</v>
      </c>
      <c r="B1" s="2641"/>
      <c r="C1" s="2641"/>
      <c r="D1" s="2641"/>
      <c r="E1" s="2641"/>
    </row>
    <row r="2" spans="1:5" x14ac:dyDescent="0.2">
      <c r="A2" s="2642">
        <f>'Single Audit Cover'!E7</f>
        <v>34049034004</v>
      </c>
      <c r="B2" s="2642"/>
      <c r="C2" s="2642"/>
      <c r="D2" s="2642"/>
      <c r="E2" s="2642"/>
    </row>
    <row r="3" spans="1:5" ht="4.5" customHeight="1" x14ac:dyDescent="0.2"/>
    <row r="4" spans="1:5" x14ac:dyDescent="0.2">
      <c r="A4" s="2641" t="s">
        <v>1233</v>
      </c>
      <c r="B4" s="2641"/>
      <c r="C4" s="2641"/>
      <c r="D4" s="2641"/>
      <c r="E4" s="2641"/>
    </row>
    <row r="5" spans="1:5" x14ac:dyDescent="0.2">
      <c r="A5" s="2644" t="str">
        <f>'Single Audit Cover'!A4</f>
        <v>Year Ending June 30, 2020</v>
      </c>
      <c r="B5" s="2644"/>
      <c r="C5" s="2644"/>
      <c r="D5" s="2644"/>
      <c r="E5" s="2644"/>
    </row>
    <row r="6" spans="1:5" x14ac:dyDescent="0.2">
      <c r="A6" s="2641" t="s">
        <v>1232</v>
      </c>
      <c r="B6" s="2641"/>
      <c r="C6" s="2641"/>
      <c r="D6" s="2641"/>
      <c r="E6" s="2641"/>
    </row>
    <row r="8" spans="1:5" x14ac:dyDescent="0.2">
      <c r="A8" s="1029" t="s">
        <v>1231</v>
      </c>
    </row>
    <row r="10" spans="1:5" x14ac:dyDescent="0.2">
      <c r="A10" s="1030" t="s">
        <v>1230</v>
      </c>
      <c r="B10" s="1031" t="s">
        <v>1229</v>
      </c>
      <c r="C10" s="1031"/>
      <c r="D10" s="1032">
        <f>SUM('Acct Summary 7-8'!C7:K7)</f>
        <v>1260465</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f>'ICR Computation 30'!E11</f>
        <v>66373</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-161047</v>
      </c>
    </row>
    <row r="19" spans="1:4" ht="13.5" thickBot="1" x14ac:dyDescent="0.25">
      <c r="A19" s="1034" t="s">
        <v>1223</v>
      </c>
      <c r="D19" s="1035">
        <f>SUM(D10:D17)</f>
        <v>1165791</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643" t="s">
        <v>2115</v>
      </c>
      <c r="B24" s="2643"/>
      <c r="D24" s="1037">
        <v>2503</v>
      </c>
    </row>
    <row r="25" spans="1:4" x14ac:dyDescent="0.2">
      <c r="A25" s="2640"/>
      <c r="B25" s="2640"/>
      <c r="D25" s="1037"/>
    </row>
    <row r="26" spans="1:4" x14ac:dyDescent="0.2">
      <c r="A26" s="2640"/>
      <c r="B26" s="2640"/>
      <c r="D26" s="1037"/>
    </row>
    <row r="27" spans="1:4" x14ac:dyDescent="0.2">
      <c r="A27" s="2640"/>
      <c r="B27" s="2640"/>
      <c r="D27" s="1037"/>
    </row>
    <row r="28" spans="1:4" x14ac:dyDescent="0.2">
      <c r="A28" s="2640"/>
      <c r="B28" s="2640"/>
      <c r="D28" s="1037"/>
    </row>
    <row r="29" spans="1:4" x14ac:dyDescent="0.2">
      <c r="A29" s="2640"/>
      <c r="B29" s="2640"/>
      <c r="D29" s="1037"/>
    </row>
    <row r="30" spans="1:4" x14ac:dyDescent="0.2">
      <c r="A30" s="2640"/>
      <c r="B30" s="2640"/>
      <c r="D30" s="1037"/>
    </row>
    <row r="32" spans="1:4" x14ac:dyDescent="0.2">
      <c r="A32" s="1029" t="s">
        <v>1221</v>
      </c>
      <c r="D32" s="1032">
        <f>SUM(D19:D30)</f>
        <v>1168294</v>
      </c>
    </row>
    <row r="33" spans="1:4" x14ac:dyDescent="0.2">
      <c r="D33" s="1038"/>
    </row>
    <row r="34" spans="1:4" x14ac:dyDescent="0.2">
      <c r="A34" s="295" t="s">
        <v>1220</v>
      </c>
    </row>
    <row r="35" spans="1:4" x14ac:dyDescent="0.2">
      <c r="A35" s="295" t="s">
        <v>1219</v>
      </c>
      <c r="B35" s="1027" t="s">
        <v>1218</v>
      </c>
      <c r="D35" s="1039">
        <f>' SEFA (4)'!F23</f>
        <v>1168292</v>
      </c>
    </row>
    <row r="37" spans="1:4" x14ac:dyDescent="0.2">
      <c r="A37" s="1029" t="s">
        <v>1217</v>
      </c>
    </row>
    <row r="39" spans="1:4" ht="13.35" customHeight="1" x14ac:dyDescent="0.2">
      <c r="A39" s="1036" t="s">
        <v>1216</v>
      </c>
    </row>
    <row r="40" spans="1:4" x14ac:dyDescent="0.2">
      <c r="A40" s="2640" t="s">
        <v>2116</v>
      </c>
      <c r="B40" s="2640"/>
      <c r="D40" s="1037">
        <v>2</v>
      </c>
    </row>
    <row r="41" spans="1:4" x14ac:dyDescent="0.2">
      <c r="A41" s="2640"/>
      <c r="B41" s="2640"/>
      <c r="D41" s="1040"/>
    </row>
    <row r="42" spans="1:4" x14ac:dyDescent="0.2">
      <c r="A42" s="2640"/>
      <c r="B42" s="2640"/>
      <c r="D42" s="1040"/>
    </row>
    <row r="43" spans="1:4" x14ac:dyDescent="0.2">
      <c r="A43" s="2640"/>
      <c r="B43" s="2640"/>
      <c r="D43" s="1040"/>
    </row>
    <row r="44" spans="1:4" x14ac:dyDescent="0.2">
      <c r="A44" s="2640"/>
      <c r="B44" s="2640"/>
      <c r="D44" s="1040"/>
    </row>
    <row r="45" spans="1:4" x14ac:dyDescent="0.2">
      <c r="A45" s="2640"/>
      <c r="B45" s="2640"/>
      <c r="D45" s="1040"/>
    </row>
    <row r="47" spans="1:4" x14ac:dyDescent="0.2">
      <c r="B47" s="1041" t="s">
        <v>1215</v>
      </c>
      <c r="C47" s="1041"/>
      <c r="D47" s="1042">
        <f>SUM(D35:D45)</f>
        <v>1168294</v>
      </c>
    </row>
    <row r="49" spans="2:4" x14ac:dyDescent="0.2">
      <c r="B49" s="1041" t="s">
        <v>1214</v>
      </c>
      <c r="C49" s="1041"/>
      <c r="D49" s="1042">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FF33"/>
  </sheetPr>
  <dimension ref="B1:N152"/>
  <sheetViews>
    <sheetView showGridLines="0" topLeftCell="B10" zoomScaleNormal="100" workbookViewId="0">
      <selection activeCell="D39" sqref="D39"/>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600" t="str">
        <f>'Single Audit Cover'!A7</f>
        <v xml:space="preserve">   Antioch CCSD 34</v>
      </c>
      <c r="C1" s="2645"/>
      <c r="D1" s="2645"/>
      <c r="E1" s="2645"/>
      <c r="F1" s="2645"/>
      <c r="G1" s="2645"/>
      <c r="H1" s="2645"/>
      <c r="I1" s="2645"/>
      <c r="J1" s="2645"/>
      <c r="K1" s="2645"/>
      <c r="L1" s="2645"/>
      <c r="M1" s="2645"/>
    </row>
    <row r="2" spans="2:14" ht="15" x14ac:dyDescent="0.2">
      <c r="B2" s="2646">
        <f>'Single Audit Cover'!E7</f>
        <v>34049034004</v>
      </c>
      <c r="C2" s="2646"/>
      <c r="D2" s="2646"/>
      <c r="E2" s="2646"/>
      <c r="F2" s="2646"/>
      <c r="G2" s="2646"/>
      <c r="H2" s="2646"/>
      <c r="I2" s="2646"/>
      <c r="J2" s="2646"/>
      <c r="K2" s="2646"/>
      <c r="L2" s="2646"/>
      <c r="M2" s="2646"/>
      <c r="N2" s="1071"/>
    </row>
    <row r="3" spans="2:14" ht="15" x14ac:dyDescent="0.2">
      <c r="B3" s="2647" t="s">
        <v>1207</v>
      </c>
      <c r="C3" s="2647"/>
      <c r="D3" s="2647"/>
      <c r="E3" s="2647"/>
      <c r="F3" s="2647"/>
      <c r="G3" s="2647"/>
      <c r="H3" s="2647"/>
      <c r="I3" s="2647"/>
      <c r="J3" s="2647"/>
      <c r="K3" s="2647"/>
      <c r="L3" s="2647"/>
      <c r="M3" s="2647"/>
      <c r="N3" s="1071"/>
    </row>
    <row r="4" spans="2:14" ht="15" x14ac:dyDescent="0.2">
      <c r="B4" s="2648" t="str">
        <f>'Single Audit Cover'!A4</f>
        <v>Year Ending June 30, 2020</v>
      </c>
      <c r="C4" s="2648"/>
      <c r="D4" s="2648"/>
      <c r="E4" s="2648"/>
      <c r="F4" s="2648"/>
      <c r="G4" s="2648"/>
      <c r="H4" s="2648"/>
      <c r="I4" s="2648"/>
      <c r="J4" s="2648"/>
      <c r="K4" s="2648"/>
      <c r="L4" s="2648"/>
      <c r="M4" s="2648"/>
      <c r="N4" s="1071"/>
    </row>
    <row r="5" spans="2:14" x14ac:dyDescent="0.2">
      <c r="H5" s="1902"/>
      <c r="J5" s="1902"/>
    </row>
    <row r="6" spans="2:14" x14ac:dyDescent="0.2">
      <c r="B6" s="1072"/>
      <c r="C6" s="1073"/>
      <c r="D6" s="1074" t="s">
        <v>1253</v>
      </c>
      <c r="E6" s="1075" t="s">
        <v>524</v>
      </c>
      <c r="F6" s="1076"/>
      <c r="G6" s="1077" t="s">
        <v>1705</v>
      </c>
      <c r="H6" s="1075"/>
      <c r="I6" s="1075"/>
      <c r="J6" s="1903"/>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1" t="str">
        <f>"7/1/"&amp;MID('AFR20'!$E$2,3,2)-2&amp;"-6/30/"&amp;MID('AFR20'!$E$2,3,2)-1</f>
        <v>7/1/18-6/30/19</v>
      </c>
      <c r="F9" s="1901" t="str">
        <f>"7/1/"&amp;MID('AFR20'!$E$2,3,2)-1&amp;"-6/30/"&amp;MID('AFR20'!$E$2,3,2)</f>
        <v>7/1/19-6/30/20</v>
      </c>
      <c r="G9" s="1901" t="str">
        <f>"7/1/"&amp;MID('AFR20'!$E$2,3,2)-2&amp;"-6/30/"&amp;MID('AFR20'!$E$2,3,2)-1</f>
        <v>7/1/18-6/30/19</v>
      </c>
      <c r="H9" s="1086" t="s">
        <v>1562</v>
      </c>
      <c r="I9" s="1901"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36" t="s">
        <v>2059</v>
      </c>
      <c r="C11" s="1810"/>
      <c r="D11" s="1811"/>
      <c r="E11" s="1812"/>
      <c r="F11" s="1812"/>
      <c r="G11" s="1812"/>
      <c r="H11" s="1812"/>
      <c r="I11" s="1812"/>
      <c r="J11" s="1812"/>
      <c r="K11" s="1812"/>
      <c r="L11" s="1812"/>
      <c r="M11" s="1812"/>
    </row>
    <row r="12" spans="2:14" ht="20.100000000000001" customHeight="1" x14ac:dyDescent="0.2">
      <c r="B12" s="2036" t="s">
        <v>2060</v>
      </c>
      <c r="C12" s="1813"/>
      <c r="D12" s="1814"/>
      <c r="E12" s="1815"/>
      <c r="F12" s="1815"/>
      <c r="G12" s="1815"/>
      <c r="H12" s="1815"/>
      <c r="I12" s="1815"/>
      <c r="J12" s="1815"/>
      <c r="K12" s="1815"/>
      <c r="L12" s="1812"/>
      <c r="M12" s="1815"/>
    </row>
    <row r="13" spans="2:14" ht="20.100000000000001" customHeight="1" x14ac:dyDescent="0.2">
      <c r="B13" s="2035" t="s">
        <v>2073</v>
      </c>
      <c r="C13" s="2044">
        <v>10.555</v>
      </c>
      <c r="D13" s="2045" t="s">
        <v>2068</v>
      </c>
      <c r="E13" s="2046"/>
      <c r="F13" s="2047">
        <v>33788</v>
      </c>
      <c r="G13" s="2046"/>
      <c r="H13" s="2046"/>
      <c r="I13" s="2047">
        <v>33788</v>
      </c>
      <c r="J13" s="2043"/>
      <c r="K13" s="2043"/>
      <c r="L13" s="2048">
        <f t="shared" ref="L13:L26" si="0">+G13+I13+K13</f>
        <v>33788</v>
      </c>
      <c r="M13" s="2046" t="s">
        <v>2069</v>
      </c>
    </row>
    <row r="14" spans="2:14" ht="20.100000000000001" customHeight="1" x14ac:dyDescent="0.2">
      <c r="B14" s="2035" t="s">
        <v>2074</v>
      </c>
      <c r="C14" s="2044">
        <v>10.555</v>
      </c>
      <c r="D14" s="2045" t="s">
        <v>2070</v>
      </c>
      <c r="E14" s="2046">
        <v>272039</v>
      </c>
      <c r="F14" s="2046">
        <v>50251</v>
      </c>
      <c r="G14" s="2046">
        <v>272039</v>
      </c>
      <c r="H14" s="2046"/>
      <c r="I14" s="2046">
        <v>50251</v>
      </c>
      <c r="J14" s="2043"/>
      <c r="K14" s="2043"/>
      <c r="L14" s="2048">
        <f t="shared" si="0"/>
        <v>322290</v>
      </c>
      <c r="M14" s="2046" t="s">
        <v>2069</v>
      </c>
    </row>
    <row r="15" spans="2:14" ht="20.100000000000001" customHeight="1" x14ac:dyDescent="0.2">
      <c r="B15" s="2035" t="s">
        <v>2074</v>
      </c>
      <c r="C15" s="2044">
        <v>10.555</v>
      </c>
      <c r="D15" s="2045" t="s">
        <v>2071</v>
      </c>
      <c r="E15" s="2046"/>
      <c r="F15" s="2046">
        <v>195234</v>
      </c>
      <c r="G15" s="2046"/>
      <c r="H15" s="2046"/>
      <c r="I15" s="2046">
        <v>195234</v>
      </c>
      <c r="J15" s="2043"/>
      <c r="K15" s="2043"/>
      <c r="L15" s="2048">
        <f t="shared" si="0"/>
        <v>195234</v>
      </c>
      <c r="M15" s="2046" t="s">
        <v>2069</v>
      </c>
    </row>
    <row r="16" spans="2:14" ht="20.100000000000001" customHeight="1" x14ac:dyDescent="0.2">
      <c r="B16" s="2036" t="s">
        <v>2061</v>
      </c>
      <c r="C16" s="2044"/>
      <c r="D16" s="2045"/>
      <c r="E16" s="2046"/>
      <c r="F16" s="2046"/>
      <c r="G16" s="2046"/>
      <c r="H16" s="2046"/>
      <c r="I16" s="2046"/>
      <c r="J16" s="2043"/>
      <c r="K16" s="2043"/>
      <c r="L16" s="2042"/>
      <c r="M16" s="2046"/>
    </row>
    <row r="17" spans="2:14" ht="20.100000000000001" customHeight="1" x14ac:dyDescent="0.2">
      <c r="B17" s="2035" t="s">
        <v>2073</v>
      </c>
      <c r="C17" s="2044">
        <v>10.555</v>
      </c>
      <c r="D17" s="2045" t="s">
        <v>2068</v>
      </c>
      <c r="E17" s="2046"/>
      <c r="F17" s="2046">
        <v>32585</v>
      </c>
      <c r="G17" s="2046"/>
      <c r="H17" s="2046"/>
      <c r="I17" s="2046">
        <v>32585</v>
      </c>
      <c r="J17" s="2043"/>
      <c r="K17" s="2043"/>
      <c r="L17" s="2048">
        <f t="shared" si="0"/>
        <v>32585</v>
      </c>
      <c r="M17" s="2046" t="s">
        <v>2069</v>
      </c>
    </row>
    <row r="18" spans="2:14" ht="20.100000000000001" customHeight="1" x14ac:dyDescent="0.2">
      <c r="B18" s="2056" t="s">
        <v>2062</v>
      </c>
      <c r="C18" s="2044"/>
      <c r="D18" s="2045"/>
      <c r="E18" s="2046">
        <f>SUM(E13:E17)</f>
        <v>272039</v>
      </c>
      <c r="F18" s="2054">
        <f>SUM(F13:F17)</f>
        <v>311858</v>
      </c>
      <c r="G18" s="2054">
        <f>SUM(G13:G17)</f>
        <v>272039</v>
      </c>
      <c r="H18" s="2046"/>
      <c r="I18" s="2054">
        <f>SUM(I13:I17)</f>
        <v>311858</v>
      </c>
      <c r="J18" s="2043"/>
      <c r="K18" s="2043"/>
      <c r="L18" s="2048">
        <f t="shared" si="0"/>
        <v>583897</v>
      </c>
      <c r="M18" s="2046"/>
    </row>
    <row r="19" spans="2:14" ht="20.100000000000001" customHeight="1" x14ac:dyDescent="0.2">
      <c r="B19" s="2036" t="s">
        <v>2060</v>
      </c>
      <c r="C19" s="1813"/>
      <c r="D19" s="1814"/>
      <c r="E19" s="1815"/>
      <c r="F19" s="1815"/>
      <c r="G19" s="1815"/>
      <c r="H19" s="1815"/>
      <c r="I19" s="1815"/>
      <c r="J19" s="1815"/>
      <c r="K19" s="1815"/>
      <c r="L19" s="1812"/>
      <c r="M19" s="1815"/>
    </row>
    <row r="20" spans="2:14" ht="20.100000000000001" customHeight="1" x14ac:dyDescent="0.2">
      <c r="B20" s="2035" t="s">
        <v>2072</v>
      </c>
      <c r="C20" s="2052">
        <v>10.555999999999999</v>
      </c>
      <c r="D20" s="2053" t="s">
        <v>2075</v>
      </c>
      <c r="E20" s="2054">
        <v>3463</v>
      </c>
      <c r="F20" s="2055">
        <v>525</v>
      </c>
      <c r="G20" s="2055">
        <v>3463</v>
      </c>
      <c r="H20" s="2055"/>
      <c r="I20" s="2055">
        <v>525</v>
      </c>
      <c r="J20" s="2051"/>
      <c r="K20" s="2051"/>
      <c r="L20" s="2048">
        <f t="shared" si="0"/>
        <v>3988</v>
      </c>
      <c r="M20" s="2054" t="s">
        <v>2069</v>
      </c>
    </row>
    <row r="21" spans="2:14" ht="20.100000000000001" customHeight="1" x14ac:dyDescent="0.2">
      <c r="B21" s="2035" t="s">
        <v>2072</v>
      </c>
      <c r="C21" s="2052">
        <v>10.555999999999999</v>
      </c>
      <c r="D21" s="2053" t="s">
        <v>2076</v>
      </c>
      <c r="E21" s="2054"/>
      <c r="F21" s="2054">
        <v>1478</v>
      </c>
      <c r="G21" s="2054"/>
      <c r="H21" s="2054"/>
      <c r="I21" s="2054">
        <v>1478</v>
      </c>
      <c r="J21" s="2051"/>
      <c r="K21" s="2051"/>
      <c r="L21" s="2048">
        <f t="shared" si="0"/>
        <v>1478</v>
      </c>
      <c r="M21" s="2054" t="s">
        <v>2069</v>
      </c>
    </row>
    <row r="22" spans="2:14" ht="20.100000000000001" customHeight="1" x14ac:dyDescent="0.2">
      <c r="B22" s="2056" t="s">
        <v>2063</v>
      </c>
      <c r="C22" s="2049"/>
      <c r="D22" s="2050"/>
      <c r="E22" s="2054">
        <f>SUM(E20:E21)</f>
        <v>3463</v>
      </c>
      <c r="F22" s="2054">
        <f>SUM(F20:F21)</f>
        <v>2003</v>
      </c>
      <c r="G22" s="2054">
        <f>SUM(G20:G21)</f>
        <v>3463</v>
      </c>
      <c r="H22" s="2054"/>
      <c r="I22" s="2054">
        <f>SUM(I20:I21)</f>
        <v>2003</v>
      </c>
      <c r="J22" s="2051"/>
      <c r="K22" s="2051"/>
      <c r="L22" s="2048">
        <f t="shared" si="0"/>
        <v>5466</v>
      </c>
      <c r="M22" s="2054"/>
    </row>
    <row r="23" spans="2:14" ht="20.100000000000001" customHeight="1" x14ac:dyDescent="0.2">
      <c r="B23" s="2040" t="s">
        <v>2060</v>
      </c>
      <c r="C23" s="1813"/>
      <c r="D23" s="1814"/>
      <c r="E23" s="1815"/>
      <c r="F23" s="1815"/>
      <c r="G23" s="1815"/>
      <c r="H23" s="1815"/>
      <c r="I23" s="1815"/>
      <c r="J23" s="1815"/>
      <c r="K23" s="1815"/>
      <c r="L23" s="1812"/>
      <c r="M23" s="1815"/>
    </row>
    <row r="24" spans="2:14" ht="20.100000000000001" customHeight="1" x14ac:dyDescent="0.2">
      <c r="B24" s="2035" t="s">
        <v>2077</v>
      </c>
      <c r="C24" s="1813">
        <v>10.558999999999999</v>
      </c>
      <c r="D24" s="1814" t="s">
        <v>2121</v>
      </c>
      <c r="E24" s="1815"/>
      <c r="F24" s="1815">
        <v>25293</v>
      </c>
      <c r="G24" s="1815"/>
      <c r="H24" s="1815"/>
      <c r="I24" s="1815">
        <v>36148</v>
      </c>
      <c r="J24" s="1815"/>
      <c r="K24" s="1815"/>
      <c r="L24" s="1812">
        <f t="shared" si="0"/>
        <v>36148</v>
      </c>
      <c r="M24" s="1815" t="s">
        <v>2069</v>
      </c>
    </row>
    <row r="25" spans="2:14" ht="20.100000000000001" customHeight="1" x14ac:dyDescent="0.2">
      <c r="B25" s="2056" t="s">
        <v>2067</v>
      </c>
      <c r="C25" s="1813"/>
      <c r="D25" s="1814"/>
      <c r="E25" s="1815"/>
      <c r="F25" s="1815">
        <f>SUM(F24)</f>
        <v>25293</v>
      </c>
      <c r="G25" s="1815"/>
      <c r="H25" s="1815"/>
      <c r="I25" s="1815">
        <f>SUM(I24)</f>
        <v>36148</v>
      </c>
      <c r="J25" s="1815"/>
      <c r="K25" s="1815"/>
      <c r="L25" s="2048">
        <f t="shared" si="0"/>
        <v>36148</v>
      </c>
      <c r="M25" s="1815"/>
    </row>
    <row r="26" spans="2:14" ht="20.100000000000001" customHeight="1" x14ac:dyDescent="0.2">
      <c r="B26" s="2040" t="s">
        <v>2064</v>
      </c>
      <c r="C26" s="1813"/>
      <c r="D26" s="1814"/>
      <c r="E26" s="1815">
        <f>+E18+E22+E25</f>
        <v>275502</v>
      </c>
      <c r="F26" s="2051">
        <f>+F18+F22+F25</f>
        <v>339154</v>
      </c>
      <c r="G26" s="2051">
        <f>+G18+G22+G25</f>
        <v>275502</v>
      </c>
      <c r="H26" s="1815"/>
      <c r="I26" s="2051">
        <f>+I18+I22+I25</f>
        <v>350009</v>
      </c>
      <c r="J26" s="1815"/>
      <c r="K26" s="1815"/>
      <c r="L26" s="1812">
        <f t="shared" si="0"/>
        <v>625511</v>
      </c>
      <c r="M26" s="1815"/>
    </row>
    <row r="27" spans="2:14" ht="20.100000000000001" customHeight="1" x14ac:dyDescent="0.2">
      <c r="B27" s="2056" t="s">
        <v>2065</v>
      </c>
      <c r="C27" s="1813"/>
      <c r="D27" s="1814"/>
      <c r="E27" s="1815">
        <f>+E26</f>
        <v>275502</v>
      </c>
      <c r="F27" s="2100">
        <f>+F26</f>
        <v>339154</v>
      </c>
      <c r="G27" s="2100">
        <f>+G26</f>
        <v>275502</v>
      </c>
      <c r="H27" s="1815"/>
      <c r="I27" s="2100">
        <f>+I26</f>
        <v>350009</v>
      </c>
      <c r="J27" s="1815"/>
      <c r="K27" s="1815"/>
      <c r="L27" s="2100">
        <f>+L26</f>
        <v>625511</v>
      </c>
      <c r="M27" s="1815"/>
      <c r="N27" s="1107"/>
    </row>
    <row r="28" spans="2:14" ht="12.75" customHeight="1" x14ac:dyDescent="0.2">
      <c r="B28" s="2041" t="s">
        <v>2066</v>
      </c>
      <c r="C28" s="1109"/>
      <c r="D28" s="1110"/>
      <c r="E28" s="1111"/>
      <c r="F28" s="1111"/>
      <c r="G28" s="1111"/>
      <c r="H28" s="1111"/>
      <c r="I28" s="1111"/>
      <c r="J28" s="1111"/>
      <c r="K28" s="1111"/>
      <c r="L28" s="1111"/>
      <c r="M28" s="1111"/>
      <c r="N28" s="1107"/>
    </row>
    <row r="29" spans="2:14" x14ac:dyDescent="0.2">
      <c r="B29" s="2037"/>
      <c r="C29" s="1112"/>
      <c r="D29" s="1113"/>
      <c r="E29" s="1026"/>
      <c r="F29" s="1026"/>
      <c r="G29" s="1019"/>
      <c r="H29" s="1019"/>
      <c r="I29" s="1019"/>
      <c r="J29" s="1019"/>
      <c r="K29" s="1019"/>
      <c r="L29" s="1019"/>
      <c r="M29" s="1026"/>
      <c r="N29" s="1107"/>
    </row>
    <row r="30" spans="2:14" ht="13.5" customHeight="1" x14ac:dyDescent="0.2">
      <c r="B30" s="2038" t="s">
        <v>1708</v>
      </c>
      <c r="C30" s="1112"/>
      <c r="D30" s="1113"/>
      <c r="E30" s="1026"/>
      <c r="F30" s="1026"/>
      <c r="G30" s="1019"/>
      <c r="H30" s="1019"/>
      <c r="I30" s="1019"/>
      <c r="J30" s="1019"/>
      <c r="K30" s="1019"/>
      <c r="L30" s="1019"/>
      <c r="M30" s="1026"/>
      <c r="N30" s="1107"/>
    </row>
    <row r="31" spans="2:14" ht="8.25" customHeight="1" x14ac:dyDescent="0.2">
      <c r="B31" s="2038"/>
      <c r="C31" s="1112"/>
      <c r="D31" s="1113"/>
      <c r="E31" s="1026"/>
      <c r="F31" s="1026"/>
      <c r="G31" s="1019"/>
      <c r="H31" s="1019"/>
      <c r="I31" s="1019"/>
      <c r="J31" s="1019"/>
      <c r="K31" s="1019"/>
      <c r="L31" s="1019"/>
      <c r="M31" s="1026"/>
      <c r="N31" s="1107"/>
    </row>
    <row r="32" spans="2:14" x14ac:dyDescent="0.2">
      <c r="B32" s="2039"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0E879-70AF-43BA-94B0-F6EBAF20A19B}">
  <sheetPr>
    <tabColor rgb="FF99FF33"/>
  </sheetPr>
  <dimension ref="B1:N152"/>
  <sheetViews>
    <sheetView showGridLines="0" zoomScaleNormal="100" workbookViewId="0">
      <selection activeCell="C17" sqref="C17"/>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600" t="str">
        <f>'Single Audit Cover'!A7</f>
        <v xml:space="preserve">   Antioch CCSD 34</v>
      </c>
      <c r="C1" s="2645"/>
      <c r="D1" s="2645"/>
      <c r="E1" s="2645"/>
      <c r="F1" s="2645"/>
      <c r="G1" s="2645"/>
      <c r="H1" s="2645"/>
      <c r="I1" s="2645"/>
      <c r="J1" s="2645"/>
      <c r="K1" s="2645"/>
      <c r="L1" s="2645"/>
      <c r="M1" s="2645"/>
    </row>
    <row r="2" spans="2:14" ht="15" x14ac:dyDescent="0.2">
      <c r="B2" s="2646">
        <f>'Single Audit Cover'!E7</f>
        <v>34049034004</v>
      </c>
      <c r="C2" s="2646"/>
      <c r="D2" s="2646"/>
      <c r="E2" s="2646"/>
      <c r="F2" s="2646"/>
      <c r="G2" s="2646"/>
      <c r="H2" s="2646"/>
      <c r="I2" s="2646"/>
      <c r="J2" s="2646"/>
      <c r="K2" s="2646"/>
      <c r="L2" s="2646"/>
      <c r="M2" s="2646"/>
      <c r="N2" s="1071"/>
    </row>
    <row r="3" spans="2:14" ht="15" x14ac:dyDescent="0.2">
      <c r="B3" s="2647" t="s">
        <v>1207</v>
      </c>
      <c r="C3" s="2647"/>
      <c r="D3" s="2647"/>
      <c r="E3" s="2647"/>
      <c r="F3" s="2647"/>
      <c r="G3" s="2647"/>
      <c r="H3" s="2647"/>
      <c r="I3" s="2647"/>
      <c r="J3" s="2647"/>
      <c r="K3" s="2647"/>
      <c r="L3" s="2647"/>
      <c r="M3" s="2647"/>
      <c r="N3" s="1071"/>
    </row>
    <row r="4" spans="2:14" ht="15" x14ac:dyDescent="0.2">
      <c r="B4" s="2648" t="str">
        <f>'Single Audit Cover'!A4</f>
        <v>Year Ending June 30, 2020</v>
      </c>
      <c r="C4" s="2648"/>
      <c r="D4" s="2648"/>
      <c r="E4" s="2648"/>
      <c r="F4" s="2648"/>
      <c r="G4" s="2648"/>
      <c r="H4" s="2648"/>
      <c r="I4" s="2648"/>
      <c r="J4" s="2648"/>
      <c r="K4" s="2648"/>
      <c r="L4" s="2648"/>
      <c r="M4" s="2648"/>
      <c r="N4" s="1071"/>
    </row>
    <row r="5" spans="2:14" x14ac:dyDescent="0.2">
      <c r="H5" s="1902"/>
      <c r="J5" s="1902"/>
    </row>
    <row r="6" spans="2:14" x14ac:dyDescent="0.2">
      <c r="B6" s="1072"/>
      <c r="C6" s="1073"/>
      <c r="D6" s="1074" t="s">
        <v>1253</v>
      </c>
      <c r="E6" s="1075" t="s">
        <v>524</v>
      </c>
      <c r="F6" s="1076"/>
      <c r="G6" s="1077" t="s">
        <v>1705</v>
      </c>
      <c r="H6" s="1075"/>
      <c r="I6" s="1075"/>
      <c r="J6" s="1903"/>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1" t="str">
        <f>"7/1/"&amp;MID('AFR20'!$E$2,3,2)-2&amp;"-6/30/"&amp;MID('AFR20'!$E$2,3,2)-1</f>
        <v>7/1/18-6/30/19</v>
      </c>
      <c r="F9" s="1901" t="str">
        <f>"7/1/"&amp;MID('AFR20'!$E$2,3,2)-1&amp;"-6/30/"&amp;MID('AFR20'!$E$2,3,2)</f>
        <v>7/1/19-6/30/20</v>
      </c>
      <c r="G9" s="1901" t="str">
        <f>"7/1/"&amp;MID('AFR20'!$E$2,3,2)-2&amp;"-6/30/"&amp;MID('AFR20'!$E$2,3,2)-1</f>
        <v>7/1/18-6/30/19</v>
      </c>
      <c r="H9" s="1086" t="s">
        <v>1562</v>
      </c>
      <c r="I9" s="1901"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57" t="s">
        <v>2078</v>
      </c>
      <c r="C11" s="2062"/>
      <c r="D11" s="2063"/>
      <c r="E11" s="2064"/>
      <c r="F11" s="2065"/>
      <c r="G11" s="2065"/>
      <c r="H11" s="2065"/>
      <c r="I11" s="2065"/>
      <c r="J11" s="1812"/>
      <c r="K11" s="1812"/>
      <c r="L11" s="1812"/>
      <c r="M11" s="1812"/>
    </row>
    <row r="12" spans="2:14" ht="20.100000000000001" customHeight="1" x14ac:dyDescent="0.2">
      <c r="B12" s="2035" t="s">
        <v>2083</v>
      </c>
      <c r="C12" s="2062">
        <v>84.01</v>
      </c>
      <c r="D12" s="2063" t="s">
        <v>2079</v>
      </c>
      <c r="E12" s="2064">
        <v>103551</v>
      </c>
      <c r="F12" s="2064">
        <v>98142</v>
      </c>
      <c r="G12" s="2064">
        <v>176253</v>
      </c>
      <c r="H12" s="2064"/>
      <c r="I12" s="2064">
        <v>25400</v>
      </c>
      <c r="J12" s="1815"/>
      <c r="K12" s="1815"/>
      <c r="L12" s="1812">
        <f t="shared" ref="L12:L23" si="0">+G12+I12+K12</f>
        <v>201653</v>
      </c>
      <c r="M12" s="1815">
        <v>336163</v>
      </c>
    </row>
    <row r="13" spans="2:14" ht="20.100000000000001" customHeight="1" x14ac:dyDescent="0.2">
      <c r="B13" s="2035" t="s">
        <v>2083</v>
      </c>
      <c r="C13" s="2062">
        <v>84.01</v>
      </c>
      <c r="D13" s="2063" t="s">
        <v>2080</v>
      </c>
      <c r="E13" s="2064"/>
      <c r="F13" s="2064">
        <v>69253</v>
      </c>
      <c r="G13" s="2064"/>
      <c r="H13" s="2064"/>
      <c r="I13" s="2064">
        <v>138449</v>
      </c>
      <c r="J13" s="1815"/>
      <c r="K13" s="1815"/>
      <c r="L13" s="1812">
        <f t="shared" si="0"/>
        <v>138449</v>
      </c>
      <c r="M13" s="1815">
        <v>308586</v>
      </c>
    </row>
    <row r="14" spans="2:14" ht="20.100000000000001" customHeight="1" x14ac:dyDescent="0.2">
      <c r="B14" s="2035" t="s">
        <v>2201</v>
      </c>
      <c r="C14" s="1813">
        <v>84.01</v>
      </c>
      <c r="D14" s="1814" t="s">
        <v>2081</v>
      </c>
      <c r="E14" s="1815"/>
      <c r="F14" s="1815">
        <v>2880</v>
      </c>
      <c r="G14" s="1815"/>
      <c r="H14" s="1815"/>
      <c r="I14" s="1815">
        <v>3070</v>
      </c>
      <c r="J14" s="1815"/>
      <c r="K14" s="1815"/>
      <c r="L14" s="1812">
        <f t="shared" si="0"/>
        <v>3070</v>
      </c>
      <c r="M14" s="1815">
        <v>15000</v>
      </c>
    </row>
    <row r="15" spans="2:14" ht="20.100000000000001" customHeight="1" x14ac:dyDescent="0.2">
      <c r="B15" s="2056" t="s">
        <v>2084</v>
      </c>
      <c r="C15" s="1813"/>
      <c r="D15" s="1814"/>
      <c r="E15" s="1815">
        <f>+E12+E13+E14</f>
        <v>103551</v>
      </c>
      <c r="F15" s="2061">
        <f>+F12+F13+F14</f>
        <v>170275</v>
      </c>
      <c r="G15" s="2061">
        <f>+G12+G13+G14</f>
        <v>176253</v>
      </c>
      <c r="H15" s="1815"/>
      <c r="I15" s="2100">
        <f>+I12+I13+I14</f>
        <v>166919</v>
      </c>
      <c r="J15" s="1815"/>
      <c r="K15" s="1815"/>
      <c r="L15" s="1812">
        <f t="shared" si="0"/>
        <v>343172</v>
      </c>
      <c r="M15" s="1815"/>
    </row>
    <row r="16" spans="2:14" ht="20.100000000000001" customHeight="1" x14ac:dyDescent="0.2">
      <c r="B16" s="2035"/>
      <c r="C16" s="1813"/>
      <c r="D16" s="1814"/>
      <c r="E16" s="1815"/>
      <c r="F16" s="1815"/>
      <c r="G16" s="1815"/>
      <c r="H16" s="1815"/>
      <c r="I16" s="1815"/>
      <c r="J16" s="1815"/>
      <c r="K16" s="1815"/>
      <c r="L16" s="2058"/>
      <c r="M16" s="1815"/>
    </row>
    <row r="17" spans="2:14" ht="20.100000000000001" customHeight="1" x14ac:dyDescent="0.2">
      <c r="B17" s="2071" t="s">
        <v>2091</v>
      </c>
      <c r="C17" s="2059">
        <v>84.424000000000007</v>
      </c>
      <c r="D17" s="2060" t="s">
        <v>2085</v>
      </c>
      <c r="E17" s="2061">
        <v>8694</v>
      </c>
      <c r="F17" s="2061">
        <v>8816</v>
      </c>
      <c r="G17" s="2061">
        <v>12738</v>
      </c>
      <c r="H17" s="2061"/>
      <c r="I17" s="2061">
        <v>4772</v>
      </c>
      <c r="J17" s="1815"/>
      <c r="K17" s="1815"/>
      <c r="L17" s="1812">
        <f>+G17+I17+K17</f>
        <v>17510</v>
      </c>
      <c r="M17" s="1815">
        <v>36102</v>
      </c>
    </row>
    <row r="18" spans="2:14" ht="20.100000000000001" customHeight="1" x14ac:dyDescent="0.2">
      <c r="B18" s="2071" t="s">
        <v>2091</v>
      </c>
      <c r="C18" s="2059">
        <v>84.424000000000007</v>
      </c>
      <c r="D18" s="2060" t="s">
        <v>2086</v>
      </c>
      <c r="E18" s="2061"/>
      <c r="F18" s="2061">
        <v>16921</v>
      </c>
      <c r="G18" s="2061"/>
      <c r="H18" s="2061"/>
      <c r="I18" s="2061">
        <v>29199</v>
      </c>
      <c r="J18" s="1815"/>
      <c r="K18" s="1815"/>
      <c r="L18" s="1812">
        <f>+G18+I18+K18</f>
        <v>29199</v>
      </c>
      <c r="M18" s="1815">
        <v>37717</v>
      </c>
    </row>
    <row r="19" spans="2:14" ht="20.100000000000001" customHeight="1" x14ac:dyDescent="0.2">
      <c r="B19" s="2056" t="s">
        <v>2087</v>
      </c>
      <c r="C19" s="2059"/>
      <c r="D19" s="2060"/>
      <c r="E19" s="2061">
        <f>SUM(E17:E18)</f>
        <v>8694</v>
      </c>
      <c r="F19" s="2061">
        <f>SUM(F17:F18)</f>
        <v>25737</v>
      </c>
      <c r="G19" s="2061">
        <f>SUM(G17:G18)</f>
        <v>12738</v>
      </c>
      <c r="H19" s="2061"/>
      <c r="I19" s="2061">
        <f>SUM(I17:I18)</f>
        <v>33971</v>
      </c>
      <c r="J19" s="1815"/>
      <c r="K19" s="1815"/>
      <c r="L19" s="1812">
        <f>+G19+I19+K19</f>
        <v>46709</v>
      </c>
      <c r="M19" s="1815"/>
    </row>
    <row r="20" spans="2:14" ht="20.100000000000001" customHeight="1" x14ac:dyDescent="0.2">
      <c r="B20" s="1106"/>
      <c r="C20" s="1813"/>
      <c r="D20" s="1814"/>
      <c r="E20" s="1815"/>
      <c r="F20" s="1815"/>
      <c r="G20" s="1815"/>
      <c r="H20" s="1815"/>
      <c r="I20" s="1815"/>
      <c r="J20" s="1815"/>
      <c r="K20" s="1815"/>
      <c r="L20" s="1812"/>
      <c r="M20" s="1815"/>
    </row>
    <row r="21" spans="2:14" ht="20.100000000000001" customHeight="1" x14ac:dyDescent="0.2">
      <c r="B21" s="2066" t="s">
        <v>2092</v>
      </c>
      <c r="C21" s="2067">
        <v>84.367000000000004</v>
      </c>
      <c r="D21" s="2068" t="s">
        <v>2088</v>
      </c>
      <c r="E21" s="2069">
        <v>18575</v>
      </c>
      <c r="F21" s="2070">
        <v>54064</v>
      </c>
      <c r="G21" s="2069">
        <v>72492</v>
      </c>
      <c r="H21" s="2069"/>
      <c r="I21" s="2070">
        <v>147</v>
      </c>
      <c r="J21" s="1815"/>
      <c r="K21" s="1815"/>
      <c r="L21" s="1812">
        <f t="shared" si="0"/>
        <v>72639</v>
      </c>
      <c r="M21" s="1815">
        <v>79521</v>
      </c>
    </row>
    <row r="22" spans="2:14" ht="20.100000000000001" customHeight="1" x14ac:dyDescent="0.2">
      <c r="B22" s="2066" t="s">
        <v>2092</v>
      </c>
      <c r="C22" s="2067">
        <v>84.367000000000004</v>
      </c>
      <c r="D22" s="2068" t="s">
        <v>2089</v>
      </c>
      <c r="E22" s="2069"/>
      <c r="F22" s="2069">
        <v>17592</v>
      </c>
      <c r="G22" s="2069"/>
      <c r="H22" s="2069"/>
      <c r="I22" s="2069">
        <v>35537</v>
      </c>
      <c r="J22" s="1815"/>
      <c r="K22" s="1815"/>
      <c r="L22" s="1812">
        <f t="shared" si="0"/>
        <v>35537</v>
      </c>
      <c r="M22" s="1815">
        <v>64316</v>
      </c>
    </row>
    <row r="23" spans="2:14" ht="20.100000000000001" customHeight="1" x14ac:dyDescent="0.2">
      <c r="B23" s="2056" t="s">
        <v>2090</v>
      </c>
      <c r="C23" s="2067"/>
      <c r="D23" s="2068"/>
      <c r="E23" s="2069">
        <f>SUM(E21:E22)</f>
        <v>18575</v>
      </c>
      <c r="F23" s="2072">
        <f>SUM(F21:F22)</f>
        <v>71656</v>
      </c>
      <c r="G23" s="2072">
        <f>SUM(G21:G22)</f>
        <v>72492</v>
      </c>
      <c r="H23" s="2069"/>
      <c r="I23" s="2072">
        <f>SUM(I21:I22)</f>
        <v>35684</v>
      </c>
      <c r="J23" s="1815"/>
      <c r="K23" s="1815"/>
      <c r="L23" s="1812">
        <f t="shared" si="0"/>
        <v>108176</v>
      </c>
      <c r="M23" s="1815"/>
    </row>
    <row r="24" spans="2:14" ht="20.100000000000001" customHeight="1" x14ac:dyDescent="0.2">
      <c r="B24" s="1106"/>
      <c r="C24" s="1813"/>
      <c r="D24" s="1814"/>
      <c r="E24" s="1815"/>
      <c r="F24" s="1815"/>
      <c r="G24" s="1815"/>
      <c r="H24" s="1815"/>
      <c r="I24" s="1815"/>
      <c r="J24" s="1815"/>
      <c r="K24" s="1815"/>
      <c r="L24" s="1812"/>
      <c r="M24" s="1815"/>
    </row>
    <row r="25" spans="2:14" ht="20.100000000000001" customHeight="1" x14ac:dyDescent="0.2">
      <c r="B25" s="1106"/>
      <c r="C25" s="1813"/>
      <c r="D25" s="1814"/>
      <c r="E25" s="1815"/>
      <c r="F25" s="1815"/>
      <c r="G25" s="1815"/>
      <c r="H25" s="1815"/>
      <c r="I25" s="1815"/>
      <c r="J25" s="1815"/>
      <c r="K25" s="1815"/>
      <c r="L25" s="1812"/>
      <c r="M25" s="1815"/>
    </row>
    <row r="26" spans="2:14" ht="20.100000000000001" customHeight="1" x14ac:dyDescent="0.2">
      <c r="B26" s="1106"/>
      <c r="C26" s="1813"/>
      <c r="D26" s="1814"/>
      <c r="E26" s="1815"/>
      <c r="F26" s="1815"/>
      <c r="G26" s="1815"/>
      <c r="H26" s="1815"/>
      <c r="I26" s="1815"/>
      <c r="J26" s="1815"/>
      <c r="K26" s="1815"/>
      <c r="L26" s="1812"/>
      <c r="M26" s="1815"/>
    </row>
    <row r="27" spans="2:14" ht="20.100000000000001" customHeight="1" x14ac:dyDescent="0.2">
      <c r="B27" s="1106"/>
      <c r="C27" s="1813"/>
      <c r="D27" s="1814"/>
      <c r="E27" s="1815"/>
      <c r="F27" s="1815"/>
      <c r="G27" s="1815"/>
      <c r="H27" s="1815"/>
      <c r="I27" s="1815"/>
      <c r="J27" s="1815"/>
      <c r="K27" s="1815"/>
      <c r="L27" s="1812"/>
      <c r="M27" s="1815"/>
      <c r="N27" s="1107"/>
    </row>
    <row r="28" spans="2:14" ht="12.75" customHeight="1" x14ac:dyDescent="0.2">
      <c r="B28" s="1108" t="s">
        <v>2082</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33"/>
  </sheetPr>
  <dimension ref="A1:K143"/>
  <sheetViews>
    <sheetView showGridLines="0" defaultGridColor="0" topLeftCell="A83" colorId="8" zoomScaleNormal="100" workbookViewId="0">
      <selection activeCell="P30" sqref="P3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7" t="s">
        <v>1157</v>
      </c>
      <c r="B2" s="2227"/>
      <c r="C2" s="2227"/>
      <c r="D2" s="2227"/>
      <c r="E2" s="2227"/>
      <c r="F2" s="2227"/>
      <c r="G2" s="2227"/>
      <c r="H2" s="2227"/>
      <c r="I2" s="2227"/>
      <c r="J2" s="2227"/>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41" t="s">
        <v>1613</v>
      </c>
      <c r="B35" s="2242"/>
      <c r="C35" s="2242"/>
      <c r="D35" s="2242"/>
      <c r="E35" s="2243"/>
      <c r="F35" s="2243"/>
      <c r="G35" s="2243"/>
      <c r="H35" s="2243"/>
      <c r="I35" s="224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1" t="s">
        <v>310</v>
      </c>
      <c r="B47" s="2244"/>
      <c r="C47" s="2244"/>
      <c r="D47" s="2244"/>
      <c r="E47" s="2245"/>
      <c r="F47" s="2245"/>
      <c r="G47" s="2245"/>
      <c r="H47" s="2245"/>
      <c r="I47" s="224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2132</v>
      </c>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2132</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8" t="s">
        <v>2195</v>
      </c>
      <c r="C57" s="2249"/>
      <c r="D57" s="2249"/>
      <c r="E57" s="2249"/>
      <c r="F57" s="2249"/>
      <c r="G57" s="2249"/>
      <c r="H57" s="2249"/>
      <c r="I57" s="2249"/>
      <c r="J57" s="2250"/>
    </row>
    <row r="58" spans="1:10" s="176" customFormat="1" x14ac:dyDescent="0.2">
      <c r="A58" s="248"/>
      <c r="B58" s="2251"/>
      <c r="C58" s="2252"/>
      <c r="D58" s="2252"/>
      <c r="E58" s="2252"/>
      <c r="F58" s="2252"/>
      <c r="G58" s="2252"/>
      <c r="H58" s="2252"/>
      <c r="I58" s="2252"/>
      <c r="J58" s="2253"/>
    </row>
    <row r="59" spans="1:10" s="176" customFormat="1" x14ac:dyDescent="0.2">
      <c r="A59" s="248"/>
      <c r="B59" s="2251"/>
      <c r="C59" s="2252"/>
      <c r="D59" s="2252"/>
      <c r="E59" s="2252"/>
      <c r="F59" s="2252"/>
      <c r="G59" s="2252"/>
      <c r="H59" s="2252"/>
      <c r="I59" s="2252"/>
      <c r="J59" s="2253"/>
    </row>
    <row r="60" spans="1:10" s="176" customFormat="1" x14ac:dyDescent="0.2">
      <c r="A60" s="248"/>
      <c r="B60" s="2251"/>
      <c r="C60" s="2252"/>
      <c r="D60" s="2252"/>
      <c r="E60" s="2252"/>
      <c r="F60" s="2252"/>
      <c r="G60" s="2252"/>
      <c r="H60" s="2252"/>
      <c r="I60" s="2252"/>
      <c r="J60" s="2253"/>
    </row>
    <row r="61" spans="1:10" s="176" customFormat="1" x14ac:dyDescent="0.2">
      <c r="A61" s="248"/>
      <c r="B61" s="2251"/>
      <c r="C61" s="2252"/>
      <c r="D61" s="2252"/>
      <c r="E61" s="2252"/>
      <c r="F61" s="2252"/>
      <c r="G61" s="2252"/>
      <c r="H61" s="2252"/>
      <c r="I61" s="2252"/>
      <c r="J61" s="2253"/>
    </row>
    <row r="62" spans="1:10" s="176" customFormat="1" x14ac:dyDescent="0.2">
      <c r="A62" s="248"/>
      <c r="B62" s="2251"/>
      <c r="C62" s="2252"/>
      <c r="D62" s="2252"/>
      <c r="E62" s="2252"/>
      <c r="F62" s="2252"/>
      <c r="G62" s="2252"/>
      <c r="H62" s="2252"/>
      <c r="I62" s="2252"/>
      <c r="J62" s="2253"/>
    </row>
    <row r="63" spans="1:10" s="176" customFormat="1" x14ac:dyDescent="0.2">
      <c r="A63" s="248"/>
      <c r="B63" s="2251"/>
      <c r="C63" s="2252"/>
      <c r="D63" s="2252"/>
      <c r="E63" s="2252"/>
      <c r="F63" s="2252"/>
      <c r="G63" s="2252"/>
      <c r="H63" s="2252"/>
      <c r="I63" s="2252"/>
      <c r="J63" s="2253"/>
    </row>
    <row r="64" spans="1:10" s="176" customFormat="1" x14ac:dyDescent="0.2">
      <c r="A64" s="248"/>
      <c r="B64" s="2251"/>
      <c r="C64" s="2252"/>
      <c r="D64" s="2252"/>
      <c r="E64" s="2252"/>
      <c r="F64" s="2252"/>
      <c r="G64" s="2252"/>
      <c r="H64" s="2252"/>
      <c r="I64" s="2252"/>
      <c r="J64" s="2253"/>
    </row>
    <row r="65" spans="1:11" s="176" customFormat="1" x14ac:dyDescent="0.2">
      <c r="A65" s="248"/>
      <c r="B65" s="2251"/>
      <c r="C65" s="2252"/>
      <c r="D65" s="2252"/>
      <c r="E65" s="2252"/>
      <c r="F65" s="2252"/>
      <c r="G65" s="2252"/>
      <c r="H65" s="2252"/>
      <c r="I65" s="2252"/>
      <c r="J65" s="2253"/>
    </row>
    <row r="66" spans="1:11" s="176" customFormat="1" x14ac:dyDescent="0.2">
      <c r="A66" s="248"/>
      <c r="B66" s="2251"/>
      <c r="C66" s="2252"/>
      <c r="D66" s="2252"/>
      <c r="E66" s="2252"/>
      <c r="F66" s="2252"/>
      <c r="G66" s="2252"/>
      <c r="H66" s="2252"/>
      <c r="I66" s="2252"/>
      <c r="J66" s="2253"/>
    </row>
    <row r="67" spans="1:11" s="176" customFormat="1" ht="9" customHeight="1" x14ac:dyDescent="0.2">
      <c r="A67" s="249"/>
      <c r="B67" s="2254"/>
      <c r="C67" s="2255"/>
      <c r="D67" s="2255"/>
      <c r="E67" s="2255"/>
      <c r="F67" s="2255"/>
      <c r="G67" s="2255"/>
      <c r="H67" s="2255"/>
      <c r="I67" s="2255"/>
      <c r="J67" s="225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1" t="s">
        <v>1311</v>
      </c>
      <c r="B70" s="2244"/>
      <c r="C70" s="2244"/>
      <c r="D70" s="2244"/>
      <c r="E70" s="2245"/>
      <c r="F70" s="2245"/>
      <c r="G70" s="2245"/>
      <c r="H70" s="2245"/>
      <c r="I70" s="224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6" t="s">
        <v>1308</v>
      </c>
      <c r="B83" s="2246"/>
      <c r="C83" s="2246"/>
      <c r="D83" s="224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57" t="s">
        <v>1983</v>
      </c>
      <c r="B85" s="2257"/>
      <c r="C85" s="2257"/>
      <c r="D85" s="2258"/>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259" t="s">
        <v>1983</v>
      </c>
      <c r="B88" s="2260"/>
      <c r="C88" s="2260"/>
      <c r="D88" s="2261"/>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28"/>
      <c r="C102" s="2229"/>
      <c r="D102" s="2229"/>
      <c r="E102" s="2229"/>
      <c r="F102" s="2229"/>
      <c r="G102" s="2229"/>
      <c r="H102" s="2229"/>
      <c r="I102" s="2230"/>
    </row>
    <row r="103" spans="1:9" s="176" customFormat="1" ht="11.25" customHeight="1" x14ac:dyDescent="0.2">
      <c r="A103" s="294"/>
      <c r="B103" s="2231"/>
      <c r="C103" s="2232"/>
      <c r="D103" s="2232"/>
      <c r="E103" s="2232"/>
      <c r="F103" s="2232"/>
      <c r="G103" s="2232"/>
      <c r="H103" s="2232"/>
      <c r="I103" s="2233"/>
    </row>
    <row r="104" spans="1:9" s="176" customFormat="1" ht="11.25" customHeight="1" x14ac:dyDescent="0.2">
      <c r="A104" s="294"/>
      <c r="B104" s="2231"/>
      <c r="C104" s="2232"/>
      <c r="D104" s="2232"/>
      <c r="E104" s="2232"/>
      <c r="F104" s="2232"/>
      <c r="G104" s="2232"/>
      <c r="H104" s="2232"/>
      <c r="I104" s="2233"/>
    </row>
    <row r="105" spans="1:9" s="176" customFormat="1" x14ac:dyDescent="0.2">
      <c r="A105" s="294"/>
      <c r="B105" s="2231"/>
      <c r="C105" s="2232"/>
      <c r="D105" s="2232"/>
      <c r="E105" s="2232"/>
      <c r="F105" s="2232"/>
      <c r="G105" s="2232"/>
      <c r="H105" s="2232"/>
      <c r="I105" s="2233"/>
    </row>
    <row r="106" spans="1:9" s="176" customFormat="1" ht="11.25" customHeight="1" x14ac:dyDescent="0.2">
      <c r="A106" s="294"/>
      <c r="B106" s="2231"/>
      <c r="C106" s="2232"/>
      <c r="D106" s="2232"/>
      <c r="E106" s="2232"/>
      <c r="F106" s="2232"/>
      <c r="G106" s="2232"/>
      <c r="H106" s="2232"/>
      <c r="I106" s="2233"/>
    </row>
    <row r="107" spans="1:9" s="176" customFormat="1" ht="11.25" customHeight="1" x14ac:dyDescent="0.2">
      <c r="A107" s="294"/>
      <c r="B107" s="2231"/>
      <c r="C107" s="2232"/>
      <c r="D107" s="2232"/>
      <c r="E107" s="2232"/>
      <c r="F107" s="2232"/>
      <c r="G107" s="2232"/>
      <c r="H107" s="2232"/>
      <c r="I107" s="2233"/>
    </row>
    <row r="108" spans="1:9" s="176" customFormat="1" ht="11.25" customHeight="1" x14ac:dyDescent="0.2">
      <c r="A108" s="294"/>
      <c r="B108" s="2231"/>
      <c r="C108" s="2232"/>
      <c r="D108" s="2232"/>
      <c r="E108" s="2232"/>
      <c r="F108" s="2232"/>
      <c r="G108" s="2232"/>
      <c r="H108" s="2232"/>
      <c r="I108" s="2233"/>
    </row>
    <row r="109" spans="1:9" s="176" customFormat="1" ht="11.25" customHeight="1" x14ac:dyDescent="0.2">
      <c r="A109" s="294"/>
      <c r="B109" s="2231"/>
      <c r="C109" s="2232"/>
      <c r="D109" s="2232"/>
      <c r="E109" s="2232"/>
      <c r="F109" s="2232"/>
      <c r="G109" s="2232"/>
      <c r="H109" s="2232"/>
      <c r="I109" s="2233"/>
    </row>
    <row r="110" spans="1:9" s="176" customFormat="1" ht="11.25" customHeight="1" x14ac:dyDescent="0.2">
      <c r="A110" s="294"/>
      <c r="B110" s="2231"/>
      <c r="C110" s="2232"/>
      <c r="D110" s="2232"/>
      <c r="E110" s="2232"/>
      <c r="F110" s="2232"/>
      <c r="G110" s="2232"/>
      <c r="H110" s="2232"/>
      <c r="I110" s="2233"/>
    </row>
    <row r="111" spans="1:9" s="176" customFormat="1" ht="11.25" customHeight="1" x14ac:dyDescent="0.2">
      <c r="A111" s="294"/>
      <c r="B111" s="2231"/>
      <c r="C111" s="2232"/>
      <c r="D111" s="2232"/>
      <c r="E111" s="2232"/>
      <c r="F111" s="2232"/>
      <c r="G111" s="2232"/>
      <c r="H111" s="2232"/>
      <c r="I111" s="2233"/>
    </row>
    <row r="112" spans="1:9" s="176" customFormat="1" ht="11.25" customHeight="1" x14ac:dyDescent="0.2">
      <c r="A112" s="294"/>
      <c r="B112" s="2234"/>
      <c r="C112" s="2235"/>
      <c r="D112" s="2235"/>
      <c r="E112" s="2235"/>
      <c r="F112" s="2235"/>
      <c r="G112" s="2235"/>
      <c r="H112" s="2235"/>
      <c r="I112" s="223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7" t="s">
        <v>2012</v>
      </c>
      <c r="D114" s="223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8" t="s">
        <v>1318</v>
      </c>
      <c r="D117" s="2239"/>
      <c r="E117" s="2240"/>
      <c r="F117" s="2240"/>
      <c r="G117" s="2240"/>
      <c r="H117" s="2240"/>
      <c r="I117" s="282"/>
    </row>
    <row r="118" spans="1:9" s="176" customFormat="1" ht="24" customHeight="1" x14ac:dyDescent="0.2">
      <c r="A118" s="294"/>
      <c r="B118" s="294"/>
      <c r="C118" s="294"/>
      <c r="D118" s="301" t="s">
        <v>2203</v>
      </c>
      <c r="E118" s="300"/>
      <c r="F118" s="302"/>
      <c r="G118" s="1466"/>
      <c r="H118" s="300"/>
      <c r="I118" s="282"/>
    </row>
    <row r="119" spans="1:9" s="176" customFormat="1" ht="11.25" customHeight="1" x14ac:dyDescent="0.2">
      <c r="A119" s="303"/>
      <c r="B119" s="303"/>
      <c r="C119" s="304"/>
      <c r="D119" s="305" t="s">
        <v>358</v>
      </c>
      <c r="E119" s="288"/>
      <c r="F119" s="1465" t="s">
        <v>1867</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21"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F5E32-9443-4361-BD36-DA632B681831}">
  <sheetPr>
    <tabColor rgb="FF99FF33"/>
  </sheetPr>
  <dimension ref="B1:N152"/>
  <sheetViews>
    <sheetView showGridLines="0" zoomScaleNormal="100" workbookViewId="0">
      <selection activeCell="D39" sqref="D39"/>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600" t="str">
        <f>'Single Audit Cover'!A7</f>
        <v xml:space="preserve">   Antioch CCSD 34</v>
      </c>
      <c r="C1" s="2645"/>
      <c r="D1" s="2645"/>
      <c r="E1" s="2645"/>
      <c r="F1" s="2645"/>
      <c r="G1" s="2645"/>
      <c r="H1" s="2645"/>
      <c r="I1" s="2645"/>
      <c r="J1" s="2645"/>
      <c r="K1" s="2645"/>
      <c r="L1" s="2645"/>
      <c r="M1" s="2645"/>
    </row>
    <row r="2" spans="2:14" ht="15" x14ac:dyDescent="0.2">
      <c r="B2" s="2646">
        <f>'Single Audit Cover'!E7</f>
        <v>34049034004</v>
      </c>
      <c r="C2" s="2646"/>
      <c r="D2" s="2646"/>
      <c r="E2" s="2646"/>
      <c r="F2" s="2646"/>
      <c r="G2" s="2646"/>
      <c r="H2" s="2646"/>
      <c r="I2" s="2646"/>
      <c r="J2" s="2646"/>
      <c r="K2" s="2646"/>
      <c r="L2" s="2646"/>
      <c r="M2" s="2646"/>
      <c r="N2" s="1071"/>
    </row>
    <row r="3" spans="2:14" ht="15" x14ac:dyDescent="0.2">
      <c r="B3" s="2647" t="s">
        <v>1207</v>
      </c>
      <c r="C3" s="2647"/>
      <c r="D3" s="2647"/>
      <c r="E3" s="2647"/>
      <c r="F3" s="2647"/>
      <c r="G3" s="2647"/>
      <c r="H3" s="2647"/>
      <c r="I3" s="2647"/>
      <c r="J3" s="2647"/>
      <c r="K3" s="2647"/>
      <c r="L3" s="2647"/>
      <c r="M3" s="2647"/>
      <c r="N3" s="1071"/>
    </row>
    <row r="4" spans="2:14" ht="15" x14ac:dyDescent="0.2">
      <c r="B4" s="2648" t="str">
        <f>'Single Audit Cover'!A4</f>
        <v>Year Ending June 30, 2020</v>
      </c>
      <c r="C4" s="2648"/>
      <c r="D4" s="2648"/>
      <c r="E4" s="2648"/>
      <c r="F4" s="2648"/>
      <c r="G4" s="2648"/>
      <c r="H4" s="2648"/>
      <c r="I4" s="2648"/>
      <c r="J4" s="2648"/>
      <c r="K4" s="2648"/>
      <c r="L4" s="2648"/>
      <c r="M4" s="2648"/>
      <c r="N4" s="1071"/>
    </row>
    <row r="5" spans="2:14" x14ac:dyDescent="0.2">
      <c r="H5" s="1902"/>
      <c r="J5" s="1902"/>
    </row>
    <row r="6" spans="2:14" x14ac:dyDescent="0.2">
      <c r="B6" s="1072"/>
      <c r="C6" s="1073"/>
      <c r="D6" s="1074" t="s">
        <v>1253</v>
      </c>
      <c r="E6" s="1075" t="s">
        <v>524</v>
      </c>
      <c r="F6" s="1076"/>
      <c r="G6" s="1077" t="s">
        <v>1705</v>
      </c>
      <c r="H6" s="1075"/>
      <c r="I6" s="1075"/>
      <c r="J6" s="1903"/>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1" t="str">
        <f>"7/1/"&amp;MID('AFR20'!$E$2,3,2)-2&amp;"-6/30/"&amp;MID('AFR20'!$E$2,3,2)-1</f>
        <v>7/1/18-6/30/19</v>
      </c>
      <c r="F9" s="1901" t="str">
        <f>"7/1/"&amp;MID('AFR20'!$E$2,3,2)-1&amp;"-6/30/"&amp;MID('AFR20'!$E$2,3,2)</f>
        <v>7/1/19-6/30/20</v>
      </c>
      <c r="G9" s="1901" t="str">
        <f>"7/1/"&amp;MID('AFR20'!$E$2,3,2)-2&amp;"-6/30/"&amp;MID('AFR20'!$E$2,3,2)-1</f>
        <v>7/1/18-6/30/19</v>
      </c>
      <c r="H9" s="1086" t="s">
        <v>1562</v>
      </c>
      <c r="I9" s="1901"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73" t="s">
        <v>2093</v>
      </c>
      <c r="C11" s="2074"/>
      <c r="D11" s="2075"/>
      <c r="E11" s="2076"/>
      <c r="F11" s="2076"/>
      <c r="G11" s="2076"/>
      <c r="H11" s="2076"/>
      <c r="I11" s="2076"/>
      <c r="J11" s="1812"/>
      <c r="K11" s="1812"/>
      <c r="L11" s="1812"/>
      <c r="M11" s="1812"/>
    </row>
    <row r="12" spans="2:14" ht="20.100000000000001" customHeight="1" x14ac:dyDescent="0.2">
      <c r="B12" s="2073" t="s">
        <v>2078</v>
      </c>
      <c r="C12" s="2077"/>
      <c r="D12" s="2079"/>
      <c r="E12" s="2081"/>
      <c r="F12" s="2081"/>
      <c r="G12" s="2081"/>
      <c r="H12" s="2081"/>
      <c r="I12" s="2081"/>
      <c r="J12" s="1815"/>
      <c r="K12" s="1815"/>
      <c r="L12" s="1812"/>
      <c r="M12" s="1815"/>
    </row>
    <row r="13" spans="2:14" ht="20.100000000000001" customHeight="1" x14ac:dyDescent="0.2">
      <c r="B13" s="2073" t="s">
        <v>2122</v>
      </c>
      <c r="C13" s="2078">
        <v>84.027000000000001</v>
      </c>
      <c r="D13" s="2080" t="s">
        <v>2094</v>
      </c>
      <c r="E13" s="2082"/>
      <c r="F13" s="2083">
        <v>11083</v>
      </c>
      <c r="G13" s="2082"/>
      <c r="H13" s="2082"/>
      <c r="I13" s="2083">
        <v>11083</v>
      </c>
      <c r="J13" s="1815"/>
      <c r="K13" s="1815"/>
      <c r="L13" s="1812">
        <f t="shared" ref="L13:L24" si="0">+G13+I13+K13</f>
        <v>11083</v>
      </c>
      <c r="M13" s="1815" t="s">
        <v>2069</v>
      </c>
    </row>
    <row r="14" spans="2:14" ht="20.100000000000001" customHeight="1" x14ac:dyDescent="0.2">
      <c r="B14" s="2073"/>
      <c r="C14" s="2078"/>
      <c r="D14" s="2080"/>
      <c r="E14" s="2082"/>
      <c r="F14" s="2082"/>
      <c r="G14" s="2082"/>
      <c r="H14" s="2082"/>
      <c r="I14" s="2082"/>
      <c r="J14" s="1815"/>
      <c r="K14" s="1815"/>
      <c r="L14" s="1812"/>
      <c r="M14" s="1815"/>
    </row>
    <row r="15" spans="2:14" ht="20.100000000000001" customHeight="1" x14ac:dyDescent="0.2">
      <c r="B15" s="2084" t="s">
        <v>2105</v>
      </c>
      <c r="C15" s="2090"/>
      <c r="D15" s="2091"/>
      <c r="E15" s="2092"/>
      <c r="F15" s="2092"/>
      <c r="G15" s="2092"/>
      <c r="H15" s="2092"/>
      <c r="I15" s="2092"/>
      <c r="J15" s="1815"/>
      <c r="K15" s="1815"/>
      <c r="L15" s="1812"/>
      <c r="M15" s="1815"/>
    </row>
    <row r="16" spans="2:14" ht="20.100000000000001" customHeight="1" x14ac:dyDescent="0.2">
      <c r="B16" s="2084" t="s">
        <v>2095</v>
      </c>
      <c r="C16" s="2090">
        <v>84.027000000000001</v>
      </c>
      <c r="D16" s="2091" t="s">
        <v>2096</v>
      </c>
      <c r="E16" s="2092">
        <v>240633</v>
      </c>
      <c r="F16" s="2092">
        <v>164501</v>
      </c>
      <c r="G16" s="2092">
        <v>405134</v>
      </c>
      <c r="H16" s="2092"/>
      <c r="I16" s="2092">
        <v>0</v>
      </c>
      <c r="J16" s="1815"/>
      <c r="K16" s="1815"/>
      <c r="L16" s="1812">
        <f t="shared" si="0"/>
        <v>405134</v>
      </c>
      <c r="M16" s="1815">
        <v>516390</v>
      </c>
    </row>
    <row r="17" spans="2:14" ht="20.100000000000001" customHeight="1" x14ac:dyDescent="0.2">
      <c r="B17" s="2084" t="s">
        <v>2095</v>
      </c>
      <c r="C17" s="2090">
        <v>84.027000000000001</v>
      </c>
      <c r="D17" s="2091" t="s">
        <v>2097</v>
      </c>
      <c r="E17" s="2092"/>
      <c r="F17" s="2092">
        <v>295094</v>
      </c>
      <c r="G17" s="2092"/>
      <c r="H17" s="2092"/>
      <c r="I17" s="2092">
        <v>369426</v>
      </c>
      <c r="J17" s="1815"/>
      <c r="K17" s="1815"/>
      <c r="L17" s="1812">
        <f t="shared" si="0"/>
        <v>369426</v>
      </c>
      <c r="M17" s="1815">
        <v>451496</v>
      </c>
    </row>
    <row r="18" spans="2:14" ht="20.100000000000001" customHeight="1" x14ac:dyDescent="0.2">
      <c r="B18" s="2056" t="s">
        <v>2098</v>
      </c>
      <c r="C18" s="2090"/>
      <c r="D18" s="2091"/>
      <c r="E18" s="2092">
        <f>SUM(E13:E17)</f>
        <v>240633</v>
      </c>
      <c r="F18" s="2092">
        <f>SUM(F13:F17)</f>
        <v>470678</v>
      </c>
      <c r="G18" s="2092">
        <f>SUM(G13:G17)</f>
        <v>405134</v>
      </c>
      <c r="H18" s="2092"/>
      <c r="I18" s="2092">
        <f>SUM(I13:I17)</f>
        <v>380509</v>
      </c>
      <c r="J18" s="1815"/>
      <c r="K18" s="1815"/>
      <c r="L18" s="2086">
        <f t="shared" si="0"/>
        <v>785643</v>
      </c>
      <c r="M18" s="1815"/>
    </row>
    <row r="19" spans="2:14" ht="20.100000000000001" customHeight="1" x14ac:dyDescent="0.2">
      <c r="B19" s="2084"/>
      <c r="C19" s="2087"/>
      <c r="D19" s="2088"/>
      <c r="E19" s="2089"/>
      <c r="F19" s="2089"/>
      <c r="G19" s="2089"/>
      <c r="H19" s="2089"/>
      <c r="I19" s="2089"/>
      <c r="J19" s="1815"/>
      <c r="K19" s="1815"/>
      <c r="L19" s="1812"/>
      <c r="M19" s="1815"/>
    </row>
    <row r="20" spans="2:14" ht="20.100000000000001" customHeight="1" x14ac:dyDescent="0.2">
      <c r="B20" s="2084" t="s">
        <v>2099</v>
      </c>
      <c r="C20" s="2090">
        <v>84.173000000000002</v>
      </c>
      <c r="D20" s="2091" t="s">
        <v>2100</v>
      </c>
      <c r="E20" s="2092">
        <v>12569</v>
      </c>
      <c r="F20" s="2092">
        <v>15454</v>
      </c>
      <c r="G20" s="2092">
        <v>28023</v>
      </c>
      <c r="H20" s="2092"/>
      <c r="I20" s="2092"/>
      <c r="J20" s="1815"/>
      <c r="K20" s="1815"/>
      <c r="L20" s="1812">
        <f t="shared" si="0"/>
        <v>28023</v>
      </c>
      <c r="M20" s="1815">
        <v>30624</v>
      </c>
    </row>
    <row r="21" spans="2:14" ht="20.100000000000001" customHeight="1" x14ac:dyDescent="0.2">
      <c r="B21" s="2084" t="s">
        <v>2099</v>
      </c>
      <c r="C21" s="2090">
        <v>84.173000000000002</v>
      </c>
      <c r="D21" s="2091" t="s">
        <v>2101</v>
      </c>
      <c r="E21" s="2092"/>
      <c r="F21" s="2092">
        <v>12829</v>
      </c>
      <c r="G21" s="2092"/>
      <c r="H21" s="2092"/>
      <c r="I21" s="2092">
        <v>19610</v>
      </c>
      <c r="J21" s="1815"/>
      <c r="K21" s="1815"/>
      <c r="L21" s="1812">
        <f t="shared" si="0"/>
        <v>19610</v>
      </c>
      <c r="M21" s="1815">
        <v>24478</v>
      </c>
    </row>
    <row r="22" spans="2:14" ht="20.100000000000001" customHeight="1" x14ac:dyDescent="0.2">
      <c r="B22" s="2056" t="s">
        <v>2102</v>
      </c>
      <c r="C22" s="2090"/>
      <c r="D22" s="2091"/>
      <c r="E22" s="2092">
        <f>SUM(E20:E21)</f>
        <v>12569</v>
      </c>
      <c r="F22" s="2092">
        <f>SUM(F20:F21)</f>
        <v>28283</v>
      </c>
      <c r="G22" s="2092">
        <f>SUM(G20:G21)</f>
        <v>28023</v>
      </c>
      <c r="H22" s="2092"/>
      <c r="I22" s="2092">
        <f>SUM(I20:I21)</f>
        <v>19610</v>
      </c>
      <c r="J22" s="1815"/>
      <c r="K22" s="1815"/>
      <c r="L22" s="2086">
        <f t="shared" si="0"/>
        <v>47633</v>
      </c>
      <c r="M22" s="1815"/>
    </row>
    <row r="23" spans="2:14" ht="20.100000000000001" customHeight="1" x14ac:dyDescent="0.2">
      <c r="B23" s="2084"/>
      <c r="C23" s="2087"/>
      <c r="D23" s="2088"/>
      <c r="E23" s="2089"/>
      <c r="F23" s="2089"/>
      <c r="G23" s="2089"/>
      <c r="H23" s="2089"/>
      <c r="I23" s="2089"/>
      <c r="J23" s="1815"/>
      <c r="K23" s="1815"/>
      <c r="L23" s="1812"/>
      <c r="M23" s="1815"/>
    </row>
    <row r="24" spans="2:14" ht="20.100000000000001" customHeight="1" x14ac:dyDescent="0.2">
      <c r="B24" s="2084" t="s">
        <v>2103</v>
      </c>
      <c r="C24" s="2090"/>
      <c r="D24" s="2091"/>
      <c r="E24" s="2092">
        <f>+E18+E22</f>
        <v>253202</v>
      </c>
      <c r="F24" s="2092">
        <f>+F18+F22</f>
        <v>498961</v>
      </c>
      <c r="G24" s="2092">
        <f>+G18+G22</f>
        <v>433157</v>
      </c>
      <c r="H24" s="2092"/>
      <c r="I24" s="2092">
        <f>++I18+I22</f>
        <v>400119</v>
      </c>
      <c r="J24" s="1815"/>
      <c r="K24" s="1815"/>
      <c r="L24" s="2086">
        <f t="shared" si="0"/>
        <v>833276</v>
      </c>
      <c r="M24" s="1815"/>
    </row>
    <row r="25" spans="2:14" ht="20.100000000000001" customHeight="1" x14ac:dyDescent="0.2">
      <c r="B25" s="2084"/>
      <c r="C25" s="2087"/>
      <c r="D25" s="2088"/>
      <c r="E25" s="2089"/>
      <c r="F25" s="2089"/>
      <c r="G25" s="2089"/>
      <c r="H25" s="2089"/>
      <c r="I25" s="2089"/>
      <c r="J25" s="1815"/>
      <c r="K25" s="1815"/>
      <c r="L25" s="1812"/>
      <c r="M25" s="1815"/>
    </row>
    <row r="26" spans="2:14" ht="20.100000000000001" customHeight="1" x14ac:dyDescent="0.2">
      <c r="B26" s="2084" t="s">
        <v>2104</v>
      </c>
      <c r="C26" s="2087"/>
      <c r="D26" s="2088"/>
      <c r="E26" s="2089">
        <f>+' SEFA (2)'!E15+' SEFA (2)'!E19+' SEFA (2)'!E23+' SEFA (3)'!E18+' SEFA (3)'!E22</f>
        <v>384022</v>
      </c>
      <c r="F26" s="2089">
        <f>+' SEFA (2)'!F15+' SEFA (2)'!F19+' SEFA (2)'!F23+' SEFA (3)'!F18+' SEFA (3)'!F22</f>
        <v>766629</v>
      </c>
      <c r="G26" s="2089">
        <f>+' SEFA (2)'!G15+' SEFA (2)'!G19+' SEFA (2)'!G23+' SEFA (3)'!G18+' SEFA (3)'!G22</f>
        <v>694640</v>
      </c>
      <c r="H26" s="2089"/>
      <c r="I26" s="2089">
        <f>+' SEFA (2)'!I15+' SEFA (2)'!I19+' SEFA (2)'!I23+' SEFA (3)'!I18+' SEFA (3)'!I22</f>
        <v>636693</v>
      </c>
      <c r="J26" s="1815"/>
      <c r="K26" s="1815"/>
      <c r="L26" s="2089">
        <f>+' SEFA (2)'!L15+' SEFA (2)'!L19+' SEFA (2)'!L23+' SEFA (3)'!L18+' SEFA (3)'!L22</f>
        <v>1331333</v>
      </c>
      <c r="M26" s="1815"/>
    </row>
    <row r="27" spans="2:14" ht="20.100000000000001" customHeight="1" x14ac:dyDescent="0.2">
      <c r="B27" s="1106"/>
      <c r="C27" s="1813"/>
      <c r="D27" s="1814"/>
      <c r="E27" s="1815"/>
      <c r="F27" s="1815"/>
      <c r="G27" s="1815"/>
      <c r="H27" s="1815"/>
      <c r="I27" s="1815"/>
      <c r="J27" s="1815"/>
      <c r="K27" s="1815"/>
      <c r="L27" s="1812"/>
      <c r="M27" s="1815"/>
      <c r="N27" s="1107"/>
    </row>
    <row r="28" spans="2:14" ht="12.75" customHeight="1" x14ac:dyDescent="0.2">
      <c r="B28" s="2085" t="s">
        <v>2082</v>
      </c>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FC60C-1C1F-42C6-884B-3CFB5697CAE2}">
  <sheetPr>
    <tabColor rgb="FF99FF33"/>
  </sheetPr>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600" t="str">
        <f>'Single Audit Cover'!A7</f>
        <v xml:space="preserve">   Antioch CCSD 34</v>
      </c>
      <c r="C1" s="2645"/>
      <c r="D1" s="2645"/>
      <c r="E1" s="2645"/>
      <c r="F1" s="2645"/>
      <c r="G1" s="2645"/>
      <c r="H1" s="2645"/>
      <c r="I1" s="2645"/>
      <c r="J1" s="2645"/>
      <c r="K1" s="2645"/>
      <c r="L1" s="2645"/>
      <c r="M1" s="2645"/>
    </row>
    <row r="2" spans="2:14" ht="15" x14ac:dyDescent="0.2">
      <c r="B2" s="2646">
        <f>'Single Audit Cover'!E7</f>
        <v>34049034004</v>
      </c>
      <c r="C2" s="2646"/>
      <c r="D2" s="2646"/>
      <c r="E2" s="2646"/>
      <c r="F2" s="2646"/>
      <c r="G2" s="2646"/>
      <c r="H2" s="2646"/>
      <c r="I2" s="2646"/>
      <c r="J2" s="2646"/>
      <c r="K2" s="2646"/>
      <c r="L2" s="2646"/>
      <c r="M2" s="2646"/>
      <c r="N2" s="1071"/>
    </row>
    <row r="3" spans="2:14" ht="15" x14ac:dyDescent="0.2">
      <c r="B3" s="2647" t="s">
        <v>1207</v>
      </c>
      <c r="C3" s="2647"/>
      <c r="D3" s="2647"/>
      <c r="E3" s="2647"/>
      <c r="F3" s="2647"/>
      <c r="G3" s="2647"/>
      <c r="H3" s="2647"/>
      <c r="I3" s="2647"/>
      <c r="J3" s="2647"/>
      <c r="K3" s="2647"/>
      <c r="L3" s="2647"/>
      <c r="M3" s="2647"/>
      <c r="N3" s="1071"/>
    </row>
    <row r="4" spans="2:14" ht="15" x14ac:dyDescent="0.2">
      <c r="B4" s="2648" t="str">
        <f>'Single Audit Cover'!A4</f>
        <v>Year Ending June 30, 2020</v>
      </c>
      <c r="C4" s="2648"/>
      <c r="D4" s="2648"/>
      <c r="E4" s="2648"/>
      <c r="F4" s="2648"/>
      <c r="G4" s="2648"/>
      <c r="H4" s="2648"/>
      <c r="I4" s="2648"/>
      <c r="J4" s="2648"/>
      <c r="K4" s="2648"/>
      <c r="L4" s="2648"/>
      <c r="M4" s="2648"/>
      <c r="N4" s="1071"/>
    </row>
    <row r="5" spans="2:14" x14ac:dyDescent="0.2">
      <c r="H5" s="1902"/>
      <c r="J5" s="1902"/>
    </row>
    <row r="6" spans="2:14" x14ac:dyDescent="0.2">
      <c r="B6" s="1072"/>
      <c r="C6" s="1073"/>
      <c r="D6" s="1074" t="s">
        <v>1253</v>
      </c>
      <c r="E6" s="1075" t="s">
        <v>524</v>
      </c>
      <c r="F6" s="1076"/>
      <c r="G6" s="1077" t="s">
        <v>1705</v>
      </c>
      <c r="H6" s="1075"/>
      <c r="I6" s="1075"/>
      <c r="J6" s="1903"/>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1" t="str">
        <f>"7/1/"&amp;MID('AFR20'!$E$2,3,2)-2&amp;"-6/30/"&amp;MID('AFR20'!$E$2,3,2)-1</f>
        <v>7/1/18-6/30/19</v>
      </c>
      <c r="F9" s="1901" t="str">
        <f>"7/1/"&amp;MID('AFR20'!$E$2,3,2)-1&amp;"-6/30/"&amp;MID('AFR20'!$E$2,3,2)</f>
        <v>7/1/19-6/30/20</v>
      </c>
      <c r="G9" s="1901" t="str">
        <f>"7/1/"&amp;MID('AFR20'!$E$2,3,2)-2&amp;"-6/30/"&amp;MID('AFR20'!$E$2,3,2)-1</f>
        <v>7/1/18-6/30/19</v>
      </c>
      <c r="H9" s="1086" t="s">
        <v>1562</v>
      </c>
      <c r="I9" s="1901"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94" t="s">
        <v>2106</v>
      </c>
      <c r="C11" s="2095"/>
      <c r="D11" s="2096"/>
      <c r="E11" s="2097"/>
      <c r="F11" s="2097"/>
      <c r="G11" s="2097"/>
      <c r="H11" s="2097"/>
      <c r="I11" s="2097"/>
      <c r="J11" s="1812"/>
      <c r="K11" s="1812"/>
      <c r="L11" s="1812"/>
      <c r="M11" s="1812"/>
    </row>
    <row r="12" spans="2:14" ht="20.100000000000001" customHeight="1" x14ac:dyDescent="0.2">
      <c r="B12" s="2094" t="s">
        <v>2107</v>
      </c>
      <c r="C12" s="2101"/>
      <c r="D12" s="2102"/>
      <c r="E12" s="2103"/>
      <c r="F12" s="2103"/>
      <c r="G12" s="2103"/>
      <c r="H12" s="2103"/>
      <c r="I12" s="2103"/>
      <c r="J12" s="1815"/>
      <c r="K12" s="1815"/>
      <c r="L12" s="1812"/>
      <c r="M12" s="1815"/>
    </row>
    <row r="13" spans="2:14" ht="20.100000000000001" customHeight="1" x14ac:dyDescent="0.2">
      <c r="B13" s="2094" t="s">
        <v>2200</v>
      </c>
      <c r="C13" s="2101"/>
      <c r="D13" s="2102"/>
      <c r="E13" s="2103"/>
      <c r="F13" s="2103"/>
      <c r="G13" s="2103"/>
      <c r="H13" s="2103"/>
      <c r="I13" s="2103"/>
      <c r="J13" s="1815"/>
      <c r="K13" s="1815"/>
      <c r="L13" s="1812"/>
      <c r="M13" s="1815"/>
    </row>
    <row r="14" spans="2:14" ht="20.100000000000001" customHeight="1" x14ac:dyDescent="0.2">
      <c r="B14" s="2094" t="s">
        <v>2108</v>
      </c>
      <c r="C14" s="2101">
        <v>93.778000000000006</v>
      </c>
      <c r="D14" s="2102" t="s">
        <v>2109</v>
      </c>
      <c r="E14" s="2103">
        <v>20844</v>
      </c>
      <c r="F14" s="2104">
        <v>25825</v>
      </c>
      <c r="G14" s="2104">
        <v>46669</v>
      </c>
      <c r="H14" s="2104"/>
      <c r="I14" s="2104"/>
      <c r="J14" s="1815"/>
      <c r="K14" s="1815"/>
      <c r="L14" s="1812">
        <f t="shared" ref="L14:L23" si="0">+G14+I14+K14</f>
        <v>46669</v>
      </c>
      <c r="M14" s="1815" t="s">
        <v>2069</v>
      </c>
    </row>
    <row r="15" spans="2:14" ht="20.100000000000001" customHeight="1" x14ac:dyDescent="0.2">
      <c r="B15" s="2094" t="s">
        <v>2108</v>
      </c>
      <c r="C15" s="2101">
        <v>93.778000000000006</v>
      </c>
      <c r="D15" s="2102" t="s">
        <v>2110</v>
      </c>
      <c r="E15" s="2103"/>
      <c r="F15" s="2103">
        <v>36684</v>
      </c>
      <c r="G15" s="2103"/>
      <c r="H15" s="2103"/>
      <c r="I15" s="2103">
        <v>57433</v>
      </c>
      <c r="J15" s="1815"/>
      <c r="K15" s="1815"/>
      <c r="L15" s="1812">
        <f t="shared" si="0"/>
        <v>57433</v>
      </c>
      <c r="M15" s="1815" t="s">
        <v>2069</v>
      </c>
    </row>
    <row r="16" spans="2:14" ht="20.100000000000001" customHeight="1" x14ac:dyDescent="0.2">
      <c r="B16" s="2094"/>
      <c r="C16" s="2098"/>
      <c r="D16" s="2099"/>
      <c r="E16" s="2100"/>
      <c r="F16" s="2100"/>
      <c r="G16" s="2100"/>
      <c r="H16" s="2100"/>
      <c r="I16" s="2100"/>
      <c r="J16" s="1815"/>
      <c r="K16" s="1815"/>
      <c r="L16" s="1812"/>
      <c r="M16" s="1815"/>
    </row>
    <row r="17" spans="2:14" ht="20.100000000000001" customHeight="1" x14ac:dyDescent="0.2">
      <c r="B17" s="2094" t="s">
        <v>2111</v>
      </c>
      <c r="C17" s="2098"/>
      <c r="D17" s="2099"/>
      <c r="E17" s="2100">
        <f>SUM(E14:E16)</f>
        <v>20844</v>
      </c>
      <c r="F17" s="2100">
        <f>SUM(F14:F16)</f>
        <v>62509</v>
      </c>
      <c r="G17" s="2100">
        <f>SUM(G14:G16)</f>
        <v>46669</v>
      </c>
      <c r="H17" s="2100"/>
      <c r="I17" s="2100">
        <f>SUM(I14:I16)</f>
        <v>57433</v>
      </c>
      <c r="J17" s="2100"/>
      <c r="K17" s="2100"/>
      <c r="L17" s="1812">
        <f t="shared" si="0"/>
        <v>104102</v>
      </c>
      <c r="M17" s="1815"/>
    </row>
    <row r="18" spans="2:14" ht="20.100000000000001" customHeight="1" x14ac:dyDescent="0.2">
      <c r="B18" s="2094"/>
      <c r="C18" s="2098"/>
      <c r="D18" s="2099"/>
      <c r="E18" s="2100"/>
      <c r="F18" s="2100"/>
      <c r="G18" s="2100"/>
      <c r="H18" s="2100"/>
      <c r="I18" s="2100"/>
      <c r="J18" s="2100"/>
      <c r="K18" s="2100"/>
      <c r="L18" s="1812"/>
      <c r="M18" s="1815"/>
    </row>
    <row r="19" spans="2:14" ht="20.100000000000001" customHeight="1" x14ac:dyDescent="0.2">
      <c r="B19" s="2094" t="s">
        <v>2112</v>
      </c>
      <c r="C19" s="2098"/>
      <c r="D19" s="2099"/>
      <c r="E19" s="2100">
        <f>+E17</f>
        <v>20844</v>
      </c>
      <c r="F19" s="2100">
        <f>+F17</f>
        <v>62509</v>
      </c>
      <c r="G19" s="2100">
        <f>+G17</f>
        <v>46669</v>
      </c>
      <c r="H19" s="2100"/>
      <c r="I19" s="2100">
        <f>+I17</f>
        <v>57433</v>
      </c>
      <c r="J19" s="2100"/>
      <c r="K19" s="2100"/>
      <c r="L19" s="1812">
        <f t="shared" si="0"/>
        <v>104102</v>
      </c>
      <c r="M19" s="1815"/>
    </row>
    <row r="20" spans="2:14" ht="20.100000000000001" customHeight="1" x14ac:dyDescent="0.2">
      <c r="B20" s="2094"/>
      <c r="C20" s="2098"/>
      <c r="D20" s="2099"/>
      <c r="E20" s="2100"/>
      <c r="F20" s="2100"/>
      <c r="G20" s="2100"/>
      <c r="H20" s="2100"/>
      <c r="I20" s="2100"/>
      <c r="J20" s="2100"/>
      <c r="K20" s="2100"/>
      <c r="L20" s="1812"/>
      <c r="M20" s="1815"/>
    </row>
    <row r="21" spans="2:14" ht="20.100000000000001" customHeight="1" x14ac:dyDescent="0.2">
      <c r="B21" s="2094" t="s">
        <v>2113</v>
      </c>
      <c r="C21" s="2098"/>
      <c r="D21" s="2099"/>
      <c r="E21" s="2100">
        <f>+E19</f>
        <v>20844</v>
      </c>
      <c r="F21" s="2100">
        <f>+F19</f>
        <v>62509</v>
      </c>
      <c r="G21" s="2100">
        <f>+G19</f>
        <v>46669</v>
      </c>
      <c r="H21" s="2100"/>
      <c r="I21" s="2100">
        <f>+I19</f>
        <v>57433</v>
      </c>
      <c r="J21" s="2100"/>
      <c r="K21" s="2100"/>
      <c r="L21" s="1812">
        <f t="shared" si="0"/>
        <v>104102</v>
      </c>
      <c r="M21" s="1815"/>
    </row>
    <row r="22" spans="2:14" ht="20.100000000000001" customHeight="1" x14ac:dyDescent="0.2">
      <c r="B22" s="2094"/>
      <c r="C22" s="2098"/>
      <c r="D22" s="2099"/>
      <c r="E22" s="2100"/>
      <c r="F22" s="2100"/>
      <c r="G22" s="2100"/>
      <c r="H22" s="2100"/>
      <c r="I22" s="2100"/>
      <c r="J22" s="2100"/>
      <c r="K22" s="2100"/>
      <c r="L22" s="1812"/>
      <c r="M22" s="1815"/>
    </row>
    <row r="23" spans="2:14" ht="20.100000000000001" customHeight="1" x14ac:dyDescent="0.2">
      <c r="B23" s="2094" t="s">
        <v>2114</v>
      </c>
      <c r="C23" s="2098"/>
      <c r="D23" s="2099"/>
      <c r="E23" s="2100">
        <f>+' SEFA'!E26+' SEFA (3)'!E26+' SEFA (4)'!E21</f>
        <v>680368</v>
      </c>
      <c r="F23" s="2100">
        <f>+' SEFA'!F26+' SEFA (3)'!F26+' SEFA (4)'!F21</f>
        <v>1168292</v>
      </c>
      <c r="G23" s="2100">
        <f>+' SEFA'!G26+' SEFA (3)'!G26+' SEFA (4)'!G21</f>
        <v>1016811</v>
      </c>
      <c r="H23" s="2100"/>
      <c r="I23" s="2100">
        <f>+' SEFA'!I26+' SEFA (3)'!I26+' SEFA (4)'!I21</f>
        <v>1044135</v>
      </c>
      <c r="J23" s="1815"/>
      <c r="K23" s="1815"/>
      <c r="L23" s="1812">
        <f t="shared" si="0"/>
        <v>2060946</v>
      </c>
      <c r="M23" s="1815"/>
    </row>
    <row r="24" spans="2:14" ht="20.100000000000001" customHeight="1" x14ac:dyDescent="0.2">
      <c r="B24" s="1106"/>
      <c r="C24" s="1813"/>
      <c r="D24" s="1814"/>
      <c r="E24" s="1815"/>
      <c r="F24" s="1815"/>
      <c r="G24" s="1815"/>
      <c r="H24" s="1815"/>
      <c r="I24" s="1815"/>
      <c r="J24" s="1815"/>
      <c r="K24" s="1815"/>
      <c r="L24" s="1812"/>
      <c r="M24" s="1815"/>
    </row>
    <row r="25" spans="2:14" ht="20.100000000000001" customHeight="1" x14ac:dyDescent="0.2">
      <c r="B25" s="1106"/>
      <c r="C25" s="1813"/>
      <c r="D25" s="1814"/>
      <c r="E25" s="1815"/>
      <c r="F25" s="1815"/>
      <c r="G25" s="1815"/>
      <c r="H25" s="1815"/>
      <c r="I25" s="1815"/>
      <c r="J25" s="1815"/>
      <c r="K25" s="1815"/>
      <c r="L25" s="1812"/>
      <c r="M25" s="1815"/>
    </row>
    <row r="26" spans="2:14" ht="20.100000000000001" customHeight="1" x14ac:dyDescent="0.2">
      <c r="B26" s="1106"/>
      <c r="C26" s="1813"/>
      <c r="D26" s="1814"/>
      <c r="E26" s="1815"/>
      <c r="F26" s="1815"/>
      <c r="G26" s="1815"/>
      <c r="H26" s="1815"/>
      <c r="I26" s="1815"/>
      <c r="J26" s="1815"/>
      <c r="K26" s="1815"/>
      <c r="L26" s="1812"/>
      <c r="M26" s="1815"/>
    </row>
    <row r="27" spans="2:14" ht="20.100000000000001" customHeight="1" x14ac:dyDescent="0.2">
      <c r="B27" s="1106"/>
      <c r="C27" s="1813"/>
      <c r="D27" s="1814"/>
      <c r="E27" s="1815"/>
      <c r="F27" s="1815"/>
      <c r="G27" s="1815"/>
      <c r="H27" s="1815"/>
      <c r="I27" s="1815"/>
      <c r="J27" s="1815"/>
      <c r="K27" s="1815"/>
      <c r="L27" s="1812"/>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33"/>
    <pageSetUpPr fitToPage="1"/>
  </sheetPr>
  <dimension ref="A1:G52"/>
  <sheetViews>
    <sheetView showGridLines="0" topLeftCell="A13" zoomScale="120" zoomScaleNormal="120" workbookViewId="0">
      <selection activeCell="D39" sqref="D39"/>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50" t="str">
        <f>'Single Audit Cover'!A7</f>
        <v xml:space="preserve">   Antioch CCSD 34</v>
      </c>
      <c r="B1" s="2650"/>
      <c r="C1" s="2650"/>
      <c r="D1" s="2650"/>
      <c r="E1" s="2650"/>
      <c r="F1" s="2650"/>
    </row>
    <row r="2" spans="1:7" ht="13.5" customHeight="1" x14ac:dyDescent="0.2">
      <c r="A2" s="2646">
        <f>'Single Audit Cover'!E7</f>
        <v>34049034004</v>
      </c>
      <c r="B2" s="2646"/>
      <c r="C2" s="2646"/>
      <c r="D2" s="2646"/>
      <c r="E2" s="2646"/>
      <c r="F2" s="2646"/>
      <c r="G2" s="1044"/>
    </row>
    <row r="3" spans="1:7" ht="15.75" customHeight="1" x14ac:dyDescent="0.2">
      <c r="A3" s="2651" t="s">
        <v>1259</v>
      </c>
      <c r="B3" s="2651"/>
      <c r="C3" s="2651"/>
      <c r="D3" s="2651"/>
      <c r="E3" s="2651"/>
      <c r="F3" s="2651"/>
    </row>
    <row r="4" spans="1:7" ht="13.5" customHeight="1" x14ac:dyDescent="0.2">
      <c r="A4" s="2652" t="str">
        <f>'Single Audit Cover'!A4</f>
        <v>Year Ending June 30, 2020</v>
      </c>
      <c r="B4" s="2652"/>
      <c r="C4" s="2652"/>
      <c r="D4" s="2652"/>
      <c r="E4" s="2652"/>
      <c r="F4" s="2652"/>
    </row>
    <row r="5" spans="1:7" ht="8.25" customHeight="1" x14ac:dyDescent="0.2">
      <c r="C5" s="295"/>
      <c r="D5" s="295"/>
    </row>
    <row r="6" spans="1:7" ht="13.5" customHeight="1" x14ac:dyDescent="0.2">
      <c r="A6" s="1045" t="s">
        <v>1702</v>
      </c>
      <c r="C6" s="295"/>
      <c r="D6" s="295"/>
    </row>
    <row r="7" spans="1:7" ht="60.95" customHeight="1" x14ac:dyDescent="0.2">
      <c r="A7" s="2649" t="s">
        <v>2123</v>
      </c>
      <c r="B7" s="2649"/>
      <c r="C7" s="2649"/>
      <c r="D7" s="2649"/>
      <c r="E7" s="2649"/>
      <c r="F7" s="2649"/>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2120</v>
      </c>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30" customHeight="1" x14ac:dyDescent="0.2">
      <c r="A13" s="2649" t="s">
        <v>2124</v>
      </c>
      <c r="B13" s="2649"/>
      <c r="C13" s="2649"/>
      <c r="D13" s="2649"/>
      <c r="E13" s="2649"/>
      <c r="F13" s="2649"/>
    </row>
    <row r="14" spans="1:7" ht="9.75" customHeight="1" x14ac:dyDescent="0.2">
      <c r="C14" s="1029"/>
      <c r="D14" s="1029"/>
    </row>
    <row r="15" spans="1:7" ht="13.5" customHeight="1" x14ac:dyDescent="0.2">
      <c r="C15" s="1469" t="s">
        <v>1258</v>
      </c>
      <c r="D15" s="2654" t="s">
        <v>1257</v>
      </c>
      <c r="E15" s="2654"/>
      <c r="F15" s="2654"/>
    </row>
    <row r="16" spans="1:7" ht="13.5" customHeight="1" x14ac:dyDescent="0.2">
      <c r="A16" s="1051"/>
      <c r="B16" s="1045" t="s">
        <v>1256</v>
      </c>
      <c r="C16" s="1469" t="s">
        <v>1255</v>
      </c>
      <c r="D16" s="2655" t="s">
        <v>1568</v>
      </c>
      <c r="E16" s="2655"/>
      <c r="F16" s="2655"/>
    </row>
    <row r="17" spans="1:6" ht="20.45" customHeight="1" x14ac:dyDescent="0.2">
      <c r="A17" s="1052"/>
      <c r="B17" s="1053" t="s">
        <v>2069</v>
      </c>
      <c r="C17" s="1054"/>
      <c r="D17" s="2653"/>
      <c r="E17" s="2653"/>
      <c r="F17" s="2653"/>
    </row>
    <row r="18" spans="1:6" ht="20.65" customHeight="1" x14ac:dyDescent="0.2">
      <c r="A18" s="1052"/>
      <c r="B18" s="1053"/>
      <c r="C18" s="1054"/>
      <c r="D18" s="2653"/>
      <c r="E18" s="2653"/>
      <c r="F18" s="2653"/>
    </row>
    <row r="19" spans="1:6" ht="20.65" customHeight="1" x14ac:dyDescent="0.2">
      <c r="A19" s="1052"/>
      <c r="B19" s="1053"/>
      <c r="C19" s="1054"/>
      <c r="D19" s="2653"/>
      <c r="E19" s="2653"/>
      <c r="F19" s="2653"/>
    </row>
    <row r="20" spans="1:6" ht="20.65" customHeight="1" x14ac:dyDescent="0.2">
      <c r="A20" s="1052"/>
      <c r="B20" s="1053"/>
      <c r="C20" s="1054"/>
      <c r="D20" s="2653"/>
      <c r="E20" s="2653"/>
      <c r="F20" s="2653"/>
    </row>
    <row r="21" spans="1:6" ht="20.65" customHeight="1" x14ac:dyDescent="0.2">
      <c r="A21" s="1052"/>
      <c r="B21" s="1053"/>
      <c r="C21" s="1054"/>
      <c r="D21" s="2653"/>
      <c r="E21" s="2653"/>
      <c r="F21" s="2653"/>
    </row>
    <row r="22" spans="1:6" ht="20.65" customHeight="1" x14ac:dyDescent="0.2">
      <c r="A22" s="1052"/>
      <c r="B22" s="1053"/>
      <c r="C22" s="1054"/>
      <c r="D22" s="2653"/>
      <c r="E22" s="2653"/>
      <c r="F22" s="2653"/>
    </row>
    <row r="23" spans="1:6" ht="20.65" customHeight="1" x14ac:dyDescent="0.2">
      <c r="A23" s="1052"/>
      <c r="B23" s="1053"/>
      <c r="C23" s="1054"/>
      <c r="D23" s="2653"/>
      <c r="E23" s="2653"/>
      <c r="F23" s="2653"/>
    </row>
    <row r="24" spans="1:6" ht="20.65" customHeight="1" x14ac:dyDescent="0.2">
      <c r="A24" s="1052"/>
      <c r="B24" s="1053"/>
      <c r="C24" s="1054"/>
      <c r="D24" s="2653"/>
      <c r="E24" s="2653"/>
      <c r="F24" s="2653"/>
    </row>
    <row r="25" spans="1:6" ht="20.65" customHeight="1" x14ac:dyDescent="0.2">
      <c r="A25" s="1052"/>
      <c r="B25" s="1053"/>
      <c r="C25" s="1054"/>
      <c r="D25" s="2653"/>
      <c r="E25" s="2653"/>
      <c r="F25" s="2653"/>
    </row>
    <row r="26" spans="1:6" ht="20.65" customHeight="1" x14ac:dyDescent="0.2">
      <c r="A26" s="1052"/>
      <c r="B26" s="1053"/>
      <c r="C26" s="1054"/>
      <c r="D26" s="2653"/>
      <c r="E26" s="2653"/>
      <c r="F26" s="2653"/>
    </row>
    <row r="27" spans="1:6" ht="20.65" customHeight="1" x14ac:dyDescent="0.2">
      <c r="A27" s="1052"/>
      <c r="B27" s="1053"/>
      <c r="C27" s="1054"/>
      <c r="D27" s="2653"/>
      <c r="E27" s="2653"/>
      <c r="F27" s="2653"/>
    </row>
    <row r="28" spans="1:6" ht="20.65" customHeight="1" x14ac:dyDescent="0.2">
      <c r="A28" s="1052"/>
      <c r="B28" s="1053"/>
      <c r="C28" s="1054"/>
      <c r="D28" s="2653"/>
      <c r="E28" s="2653"/>
      <c r="F28" s="2653"/>
    </row>
    <row r="29" spans="1:6" ht="20.65" customHeight="1" x14ac:dyDescent="0.2">
      <c r="A29" s="1052"/>
      <c r="B29" s="1053"/>
      <c r="C29" s="1054"/>
      <c r="D29" s="2653"/>
      <c r="E29" s="2653"/>
      <c r="F29" s="2653"/>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657" t="s">
        <v>2125</v>
      </c>
      <c r="B32" s="2657"/>
      <c r="C32" s="2657"/>
      <c r="D32" s="2657"/>
      <c r="E32" s="2657"/>
      <c r="F32" s="2657"/>
    </row>
    <row r="33" spans="1:6" ht="13.5" customHeight="1" x14ac:dyDescent="0.2">
      <c r="A33" s="306" t="s">
        <v>1414</v>
      </c>
      <c r="B33" s="306"/>
      <c r="C33" s="1057">
        <v>33788</v>
      </c>
      <c r="D33" s="1519"/>
      <c r="E33" s="1055"/>
    </row>
    <row r="34" spans="1:6" ht="13.5" customHeight="1" x14ac:dyDescent="0.2">
      <c r="A34" s="306" t="s">
        <v>1805</v>
      </c>
      <c r="B34" s="306"/>
      <c r="C34" s="1058">
        <v>32585</v>
      </c>
      <c r="D34" s="1519" t="s">
        <v>1569</v>
      </c>
      <c r="E34" s="2658">
        <f>+C33+C34</f>
        <v>66373</v>
      </c>
      <c r="F34" s="2659"/>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t="s">
        <v>99</v>
      </c>
      <c r="D38" s="1519"/>
      <c r="E38" s="1055"/>
    </row>
    <row r="39" spans="1:6" ht="14.25" customHeight="1" x14ac:dyDescent="0.2">
      <c r="A39" s="306"/>
      <c r="B39" s="306" t="s">
        <v>1416</v>
      </c>
      <c r="C39" s="1061" t="s">
        <v>99</v>
      </c>
      <c r="D39" s="1519"/>
      <c r="E39" s="1055"/>
    </row>
    <row r="40" spans="1:6" ht="14.25" customHeight="1" x14ac:dyDescent="0.2">
      <c r="A40" s="306"/>
      <c r="B40" s="306" t="s">
        <v>1417</v>
      </c>
      <c r="C40" s="1061" t="s">
        <v>99</v>
      </c>
      <c r="D40" s="1519"/>
      <c r="E40" s="1055"/>
    </row>
    <row r="41" spans="1:6" ht="14.25" customHeight="1" x14ac:dyDescent="0.2">
      <c r="A41" s="306"/>
      <c r="B41" s="306" t="s">
        <v>1418</v>
      </c>
      <c r="C41" s="1061" t="s">
        <v>99</v>
      </c>
      <c r="D41" s="1519"/>
      <c r="E41" s="1055"/>
    </row>
    <row r="42" spans="1:6" ht="14.25" customHeight="1" x14ac:dyDescent="0.2">
      <c r="A42" s="306" t="s">
        <v>1419</v>
      </c>
      <c r="B42" s="306"/>
      <c r="C42" s="1517" t="s">
        <v>99</v>
      </c>
      <c r="D42" s="1519"/>
      <c r="E42" s="1055"/>
    </row>
    <row r="43" spans="1:6" ht="14.25" customHeight="1" x14ac:dyDescent="0.2">
      <c r="A43" s="306" t="s">
        <v>1420</v>
      </c>
      <c r="B43" s="306"/>
      <c r="C43" s="1062" t="s">
        <v>99</v>
      </c>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60" t="s">
        <v>1570</v>
      </c>
      <c r="C49" s="2660"/>
      <c r="D49" s="2660"/>
      <c r="E49" s="1161"/>
    </row>
    <row r="50" spans="1:5" s="1069" customFormat="1" ht="3.75" customHeight="1" x14ac:dyDescent="0.2">
      <c r="A50" s="1068"/>
      <c r="B50" s="1468"/>
      <c r="C50" s="1468"/>
      <c r="D50" s="1468"/>
      <c r="E50" s="1161"/>
    </row>
    <row r="51" spans="1:5" s="1069" customFormat="1" ht="20.25" customHeight="1" x14ac:dyDescent="0.2">
      <c r="A51" s="1070">
        <v>6</v>
      </c>
      <c r="B51" s="2656" t="s">
        <v>1531</v>
      </c>
      <c r="C51" s="2656"/>
      <c r="D51" s="2656"/>
    </row>
    <row r="52" spans="1:5" ht="14.25" customHeight="1" x14ac:dyDescent="0.2">
      <c r="A52" s="1070"/>
      <c r="B52" s="2656"/>
      <c r="C52" s="2656"/>
      <c r="D52" s="265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33"/>
  </sheetPr>
  <dimension ref="A1:J63"/>
  <sheetViews>
    <sheetView showGridLines="0" topLeftCell="A40" zoomScale="110" zoomScaleNormal="110" workbookViewId="0">
      <selection activeCell="M24" sqref="M24"/>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65" t="str">
        <f>'Single Audit Cover'!A7</f>
        <v xml:space="preserve">   Antioch CCSD 34</v>
      </c>
      <c r="C1" s="2666"/>
      <c r="D1" s="2666"/>
      <c r="E1" s="2666"/>
      <c r="F1" s="2666"/>
      <c r="G1" s="2666"/>
      <c r="H1" s="2666"/>
      <c r="I1" s="2666"/>
      <c r="J1" s="1171"/>
    </row>
    <row r="2" spans="2:10" s="295" customFormat="1" ht="12.75" customHeight="1" x14ac:dyDescent="0.2">
      <c r="B2" s="2667">
        <f>'Single Audit Cover'!E7</f>
        <v>34049034004</v>
      </c>
      <c r="C2" s="2668"/>
      <c r="D2" s="2668"/>
      <c r="E2" s="2668"/>
      <c r="F2" s="2668"/>
      <c r="G2" s="2668"/>
      <c r="H2" s="2668"/>
      <c r="I2" s="2668"/>
      <c r="J2" s="1171"/>
    </row>
    <row r="3" spans="2:10" s="295" customFormat="1" ht="12.75" customHeight="1" x14ac:dyDescent="0.2">
      <c r="B3" s="2669" t="s">
        <v>1273</v>
      </c>
      <c r="C3" s="2670"/>
      <c r="D3" s="2670"/>
      <c r="E3" s="2670"/>
      <c r="F3" s="2670"/>
      <c r="G3" s="2670"/>
      <c r="H3" s="2670"/>
      <c r="I3" s="2670"/>
      <c r="J3" s="1172"/>
    </row>
    <row r="4" spans="2:10" s="295" customFormat="1" ht="12.75" customHeight="1" x14ac:dyDescent="0.2">
      <c r="B4" s="2669" t="str">
        <f>'Single Audit Cover'!A4</f>
        <v>Year Ending June 30, 2020</v>
      </c>
      <c r="C4" s="2670"/>
      <c r="D4" s="2670"/>
      <c r="E4" s="2670"/>
      <c r="F4" s="2670"/>
      <c r="G4" s="2670"/>
      <c r="H4" s="2670"/>
      <c r="I4" s="2670"/>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69" t="s">
        <v>1272</v>
      </c>
      <c r="C7" s="2670"/>
      <c r="D7" s="2670"/>
      <c r="E7" s="2670"/>
      <c r="F7" s="2670"/>
      <c r="G7" s="2670"/>
      <c r="H7" s="2670"/>
      <c r="I7" s="2670"/>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71" t="s">
        <v>1153</v>
      </c>
      <c r="D11" s="2671"/>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t="s">
        <v>2120</v>
      </c>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t="s">
        <v>2120</v>
      </c>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2120</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2120</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t="s">
        <v>2120</v>
      </c>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72" t="s">
        <v>2126</v>
      </c>
      <c r="E29" s="2672"/>
      <c r="F29" s="2672"/>
      <c r="G29" s="2672"/>
      <c r="H29" s="2672"/>
      <c r="I29" s="2672"/>
    </row>
    <row r="30" spans="2:9" s="295" customFormat="1" x14ac:dyDescent="0.2">
      <c r="B30" s="1131"/>
      <c r="C30" s="300"/>
      <c r="D30" s="1182" t="s">
        <v>1719</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t="s">
        <v>2120</v>
      </c>
      <c r="H33" s="1069" t="s">
        <v>99</v>
      </c>
    </row>
    <row r="35" spans="2:9" x14ac:dyDescent="0.2">
      <c r="B35" s="1190" t="s">
        <v>1720</v>
      </c>
      <c r="C35" s="1191"/>
      <c r="D35" s="1036"/>
    </row>
    <row r="36" spans="2:9" ht="6" customHeight="1" x14ac:dyDescent="0.2">
      <c r="B36" s="1190"/>
      <c r="C36" s="1191"/>
      <c r="D36" s="1036"/>
    </row>
    <row r="37" spans="2:9" ht="17.25" customHeight="1" x14ac:dyDescent="0.2">
      <c r="B37" s="1192" t="s">
        <v>1721</v>
      </c>
      <c r="C37" s="2673" t="s">
        <v>1722</v>
      </c>
      <c r="D37" s="2674"/>
      <c r="E37" s="2674"/>
      <c r="F37" s="2675"/>
      <c r="G37" s="2673" t="s">
        <v>1572</v>
      </c>
      <c r="H37" s="2674"/>
      <c r="I37" s="2675"/>
    </row>
    <row r="38" spans="2:9" ht="16.5" customHeight="1" x14ac:dyDescent="0.2">
      <c r="B38" s="1193" t="s">
        <v>2127</v>
      </c>
      <c r="C38" s="2661" t="s">
        <v>2093</v>
      </c>
      <c r="D38" s="2662"/>
      <c r="E38" s="2662"/>
      <c r="F38" s="2663"/>
      <c r="G38" s="2676">
        <v>400119</v>
      </c>
      <c r="H38" s="2677"/>
      <c r="I38" s="2678"/>
    </row>
    <row r="39" spans="2:9" ht="16.5" customHeight="1" x14ac:dyDescent="0.2">
      <c r="B39" s="1193">
        <v>84.01</v>
      </c>
      <c r="C39" s="2661" t="s">
        <v>2128</v>
      </c>
      <c r="D39" s="2662"/>
      <c r="E39" s="2662"/>
      <c r="F39" s="2663"/>
      <c r="G39" s="2664">
        <v>166919</v>
      </c>
      <c r="H39" s="2664"/>
      <c r="I39" s="2664"/>
    </row>
    <row r="40" spans="2:9" ht="16.5" customHeight="1" x14ac:dyDescent="0.2">
      <c r="B40" s="1193"/>
      <c r="C40" s="2661"/>
      <c r="D40" s="2662"/>
      <c r="E40" s="2662"/>
      <c r="F40" s="2663"/>
      <c r="G40" s="2664"/>
      <c r="H40" s="2664"/>
      <c r="I40" s="2664"/>
    </row>
    <row r="41" spans="2:9" ht="16.5" customHeight="1" x14ac:dyDescent="0.2">
      <c r="B41" s="1193"/>
      <c r="C41" s="2661"/>
      <c r="D41" s="2662"/>
      <c r="E41" s="2662"/>
      <c r="F41" s="2663"/>
      <c r="G41" s="2664"/>
      <c r="H41" s="2664"/>
      <c r="I41" s="2664"/>
    </row>
    <row r="42" spans="2:9" ht="16.5" customHeight="1" x14ac:dyDescent="0.2">
      <c r="B42" s="1193"/>
      <c r="C42" s="2661"/>
      <c r="D42" s="2662"/>
      <c r="E42" s="2662"/>
      <c r="F42" s="2663"/>
      <c r="G42" s="2664"/>
      <c r="H42" s="2664"/>
      <c r="I42" s="2664"/>
    </row>
    <row r="43" spans="2:9" ht="16.5" customHeight="1" x14ac:dyDescent="0.2">
      <c r="B43" s="1193"/>
      <c r="C43" s="2679" t="s">
        <v>1573</v>
      </c>
      <c r="D43" s="2680"/>
      <c r="E43" s="2680"/>
      <c r="F43" s="2681"/>
      <c r="G43" s="2682">
        <f>SUM(G38:I42)</f>
        <v>567038</v>
      </c>
      <c r="H43" s="2682"/>
      <c r="I43" s="2682"/>
    </row>
    <row r="44" spans="2:9" ht="12.75" customHeight="1" x14ac:dyDescent="0.2"/>
    <row r="45" spans="2:9" ht="12.75" customHeight="1" x14ac:dyDescent="0.2">
      <c r="B45" s="1904" t="str">
        <f>"Total Federal Expenditures for 7/1/"&amp;MID('AFR20'!E2,3,2)-1&amp;"-6/30/"&amp;MID('AFR20'!E2,3,2)</f>
        <v>Total Federal Expenditures for 7/1/19-6/30/20</v>
      </c>
      <c r="C45" s="1905"/>
      <c r="D45" s="2683">
        <f>' SEFA (4)'!I23</f>
        <v>1044135</v>
      </c>
      <c r="E45" s="2684"/>
    </row>
    <row r="46" spans="2:9" ht="5.25" customHeight="1" x14ac:dyDescent="0.2">
      <c r="B46" s="1194"/>
      <c r="D46" s="1195"/>
      <c r="E46" s="1196"/>
    </row>
    <row r="47" spans="2:9" ht="12.75" customHeight="1" x14ac:dyDescent="0.2">
      <c r="B47" s="1069" t="s">
        <v>1574</v>
      </c>
      <c r="C47" s="1069"/>
      <c r="D47" s="1197">
        <f>+G43/D45</f>
        <v>0.54306962222318</v>
      </c>
      <c r="E47" s="1198"/>
      <c r="F47" s="1199"/>
      <c r="I47" s="1200"/>
    </row>
    <row r="48" spans="2:9" ht="9.9499999999999993" customHeight="1" x14ac:dyDescent="0.2"/>
    <row r="49" spans="1:9" x14ac:dyDescent="0.2">
      <c r="B49" s="1131" t="s">
        <v>1261</v>
      </c>
      <c r="C49" s="1051"/>
      <c r="D49" s="1051"/>
      <c r="E49" s="2685">
        <v>750000</v>
      </c>
      <c r="F49" s="2685"/>
      <c r="G49" s="2685"/>
      <c r="H49" s="300"/>
    </row>
    <row r="51" spans="1:9" ht="13.5" customHeight="1" x14ac:dyDescent="0.2">
      <c r="B51" s="1131" t="s">
        <v>1260</v>
      </c>
      <c r="C51" s="1051"/>
      <c r="E51" s="1187"/>
      <c r="F51" s="1069" t="s">
        <v>878</v>
      </c>
      <c r="G51" s="1187" t="s">
        <v>2120</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1723</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1724</v>
      </c>
      <c r="C58" s="1213"/>
      <c r="D58" s="1213"/>
    </row>
    <row r="59" spans="1:9" s="1210" customFormat="1" ht="3.95" customHeight="1" x14ac:dyDescent="0.2">
      <c r="A59" s="1207"/>
      <c r="B59" s="1212"/>
      <c r="C59" s="1213"/>
      <c r="D59" s="1213"/>
    </row>
    <row r="60" spans="1:9" s="1210" customFormat="1" ht="13.5" customHeight="1" x14ac:dyDescent="0.2">
      <c r="A60" s="1207"/>
      <c r="B60" s="1212" t="s">
        <v>1725</v>
      </c>
      <c r="C60" s="1213"/>
      <c r="D60" s="1213"/>
    </row>
    <row r="61" spans="1:9" s="1210" customFormat="1" ht="3.95" customHeight="1" x14ac:dyDescent="0.2">
      <c r="A61" s="1207"/>
      <c r="B61" s="1212"/>
      <c r="C61" s="1213"/>
      <c r="D61" s="1213"/>
    </row>
    <row r="62" spans="1:9" s="1210" customFormat="1" ht="12.75" customHeight="1" x14ac:dyDescent="0.2">
      <c r="A62" s="1207"/>
      <c r="B62" s="1212" t="s">
        <v>1726</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33"/>
  </sheetPr>
  <dimension ref="A1:M41"/>
  <sheetViews>
    <sheetView showGridLines="0" topLeftCell="A22" zoomScale="110" zoomScaleNormal="110" workbookViewId="0">
      <selection activeCell="B26" sqref="B26:K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65" t="str">
        <f>'Single Audit Cover'!A7</f>
        <v xml:space="preserve">   Antioch CCSD 34</v>
      </c>
      <c r="C1" s="2665"/>
      <c r="D1" s="2665"/>
      <c r="E1" s="2665"/>
      <c r="F1" s="2665"/>
      <c r="G1" s="2665"/>
      <c r="H1" s="2665"/>
      <c r="I1" s="2665"/>
      <c r="J1" s="2665"/>
      <c r="K1" s="2665"/>
      <c r="L1" s="1137"/>
      <c r="M1" s="1137"/>
    </row>
    <row r="2" spans="1:13" ht="12" customHeight="1" x14ac:dyDescent="0.2">
      <c r="B2" s="2667">
        <f>'Single Audit Cover'!E7</f>
        <v>34049034004</v>
      </c>
      <c r="C2" s="2667"/>
      <c r="D2" s="2667"/>
      <c r="E2" s="2667"/>
      <c r="F2" s="2667"/>
      <c r="G2" s="2667"/>
      <c r="H2" s="2667"/>
      <c r="I2" s="2667"/>
      <c r="J2" s="2667"/>
      <c r="K2" s="2667"/>
      <c r="L2" s="1138"/>
      <c r="M2" s="1139"/>
    </row>
    <row r="3" spans="1:13" ht="10.35" customHeight="1" x14ac:dyDescent="0.2">
      <c r="B3" s="2688" t="s">
        <v>1273</v>
      </c>
      <c r="C3" s="2688"/>
      <c r="D3" s="2688"/>
      <c r="E3" s="2688"/>
      <c r="F3" s="2688"/>
      <c r="G3" s="2688"/>
      <c r="H3" s="2688"/>
      <c r="I3" s="2688"/>
      <c r="J3" s="2688"/>
      <c r="K3" s="2688"/>
      <c r="L3" s="1140"/>
      <c r="M3" s="1140"/>
    </row>
    <row r="4" spans="1:13" ht="14.25" customHeight="1" x14ac:dyDescent="0.2">
      <c r="B4" s="2689" t="str">
        <f>'Single Audit Cover'!A4</f>
        <v>Year Ending June 30, 2020</v>
      </c>
      <c r="C4" s="2689"/>
      <c r="D4" s="2689"/>
      <c r="E4" s="2689"/>
      <c r="F4" s="2689"/>
      <c r="G4" s="2689"/>
      <c r="H4" s="2689"/>
      <c r="I4" s="2689"/>
      <c r="J4" s="2689"/>
      <c r="K4" s="2689"/>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89" t="s">
        <v>1284</v>
      </c>
      <c r="C7" s="2689"/>
      <c r="D7" s="2690"/>
      <c r="E7" s="2690"/>
      <c r="F7" s="2690"/>
      <c r="G7" s="2690"/>
      <c r="H7" s="2690"/>
      <c r="I7" s="2690"/>
      <c r="J7" s="2690"/>
      <c r="K7" s="2690"/>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1713</v>
      </c>
      <c r="C10" s="1906" t="str">
        <f>'AFR20'!$E$2&amp;"-"</f>
        <v>2020-</v>
      </c>
      <c r="D10" s="1148">
        <v>1</v>
      </c>
      <c r="E10" s="300"/>
      <c r="F10" s="1149" t="s">
        <v>1283</v>
      </c>
      <c r="G10" s="1150" t="s">
        <v>2120</v>
      </c>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87" t="s">
        <v>2196</v>
      </c>
      <c r="C14" s="2687"/>
      <c r="D14" s="2687"/>
      <c r="E14" s="2687"/>
      <c r="F14" s="2687"/>
      <c r="G14" s="2687"/>
      <c r="H14" s="2687"/>
      <c r="I14" s="2687"/>
      <c r="J14" s="2687"/>
      <c r="K14" s="2687"/>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87" t="s">
        <v>2190</v>
      </c>
      <c r="C17" s="2687"/>
      <c r="D17" s="2687"/>
      <c r="E17" s="2687"/>
      <c r="F17" s="2687"/>
      <c r="G17" s="2687"/>
      <c r="H17" s="2687"/>
      <c r="I17" s="2687"/>
      <c r="J17" s="2687"/>
      <c r="K17" s="2687"/>
      <c r="L17" s="1144"/>
    </row>
    <row r="18" spans="2:12" ht="4.5" customHeight="1" x14ac:dyDescent="0.2">
      <c r="B18" s="1160"/>
      <c r="C18" s="1160"/>
      <c r="L18" s="1144"/>
    </row>
    <row r="19" spans="2:12" s="1051" customFormat="1" ht="13.5" customHeight="1" x14ac:dyDescent="0.2">
      <c r="B19" s="1155" t="s">
        <v>1714</v>
      </c>
      <c r="C19" s="1155"/>
      <c r="D19" s="1156"/>
      <c r="E19" s="1156"/>
      <c r="F19" s="1156"/>
      <c r="G19" s="1157"/>
      <c r="H19" s="1156"/>
      <c r="I19" s="1157"/>
      <c r="J19" s="1156"/>
      <c r="K19" s="1156"/>
      <c r="L19" s="1158"/>
    </row>
    <row r="20" spans="2:12" ht="45.75" customHeight="1" x14ac:dyDescent="0.2">
      <c r="B20" s="2691" t="s">
        <v>2195</v>
      </c>
      <c r="C20" s="2691"/>
      <c r="D20" s="2687"/>
      <c r="E20" s="2687"/>
      <c r="F20" s="2687"/>
      <c r="G20" s="2687"/>
      <c r="H20" s="2687"/>
      <c r="I20" s="2687"/>
      <c r="J20" s="2687"/>
      <c r="K20" s="2687"/>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87" t="s">
        <v>2197</v>
      </c>
      <c r="C23" s="2687"/>
      <c r="D23" s="2687"/>
      <c r="E23" s="2687"/>
      <c r="F23" s="2687"/>
      <c r="G23" s="2687"/>
      <c r="H23" s="2687"/>
      <c r="I23" s="2687"/>
      <c r="J23" s="2687"/>
      <c r="K23" s="2687"/>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87" t="s">
        <v>2202</v>
      </c>
      <c r="C26" s="2687"/>
      <c r="D26" s="2687"/>
      <c r="E26" s="2687"/>
      <c r="F26" s="2687"/>
      <c r="G26" s="2687"/>
      <c r="H26" s="2687"/>
      <c r="I26" s="2687"/>
      <c r="J26" s="2687"/>
      <c r="K26" s="2687"/>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86" t="s">
        <v>2198</v>
      </c>
      <c r="C29" s="2686"/>
      <c r="D29" s="2687"/>
      <c r="E29" s="2687"/>
      <c r="F29" s="2687"/>
      <c r="G29" s="2687"/>
      <c r="H29" s="2687"/>
      <c r="I29" s="2687"/>
      <c r="J29" s="2687"/>
      <c r="K29" s="2687"/>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1715</v>
      </c>
      <c r="C31" s="1165"/>
      <c r="D31" s="1141"/>
      <c r="E31" s="1142"/>
      <c r="F31" s="1142"/>
      <c r="G31" s="1143"/>
      <c r="H31" s="1142"/>
      <c r="I31" s="1143"/>
      <c r="J31" s="1142"/>
      <c r="K31" s="1142"/>
      <c r="L31" s="1144"/>
    </row>
    <row r="32" spans="2:12" s="300" customFormat="1" ht="44.25" customHeight="1" x14ac:dyDescent="0.2">
      <c r="B32" s="2686" t="s">
        <v>2199</v>
      </c>
      <c r="C32" s="2686"/>
      <c r="D32" s="2687"/>
      <c r="E32" s="2687"/>
      <c r="F32" s="2687"/>
      <c r="G32" s="2687"/>
      <c r="H32" s="2687"/>
      <c r="I32" s="2687"/>
      <c r="J32" s="2687"/>
      <c r="K32" s="2687"/>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1716</v>
      </c>
      <c r="C35" s="1168"/>
      <c r="D35" s="300"/>
      <c r="E35" s="300"/>
      <c r="F35" s="300"/>
      <c r="L35" s="1144"/>
    </row>
    <row r="36" spans="1:13" ht="9.6" customHeight="1" x14ac:dyDescent="0.2">
      <c r="B36" s="1069" t="s">
        <v>1807</v>
      </c>
      <c r="C36" s="1069"/>
      <c r="L36" s="1144"/>
    </row>
    <row r="37" spans="1:13" ht="9.6" customHeight="1" x14ac:dyDescent="0.2">
      <c r="B37" s="1069" t="s">
        <v>1808</v>
      </c>
      <c r="C37" s="1069"/>
    </row>
    <row r="38" spans="1:13" ht="11.85" customHeight="1" x14ac:dyDescent="0.2">
      <c r="B38" s="1169" t="s">
        <v>1717</v>
      </c>
      <c r="C38" s="1169"/>
    </row>
    <row r="39" spans="1:13" ht="9.6" customHeight="1" x14ac:dyDescent="0.2">
      <c r="B39" s="1069" t="s">
        <v>1274</v>
      </c>
      <c r="C39" s="1069"/>
      <c r="M39" s="1170"/>
    </row>
    <row r="40" spans="1:13" ht="12.6" customHeight="1" x14ac:dyDescent="0.2">
      <c r="B40" s="1169" t="s">
        <v>1718</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33"/>
  </sheetPr>
  <dimension ref="A1:L48"/>
  <sheetViews>
    <sheetView showGridLines="0" zoomScale="110" zoomScaleNormal="110" workbookViewId="0">
      <selection activeCell="D39" sqref="D3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92" t="str">
        <f>'Single Audit Cover'!A7</f>
        <v xml:space="preserve">   Antioch CCSD 34</v>
      </c>
      <c r="C1" s="2692"/>
      <c r="D1" s="2692"/>
      <c r="E1" s="2692"/>
      <c r="F1" s="2692"/>
      <c r="G1" s="2692"/>
      <c r="H1" s="2692"/>
      <c r="I1" s="2692"/>
      <c r="J1" s="2692"/>
      <c r="K1" s="2692"/>
      <c r="L1" s="1214"/>
    </row>
    <row r="2" spans="1:12" ht="12.75" customHeight="1" x14ac:dyDescent="0.2">
      <c r="B2" s="2693">
        <f>'Single Audit Cover'!E7</f>
        <v>34049034004</v>
      </c>
      <c r="C2" s="2693"/>
      <c r="D2" s="2693"/>
      <c r="E2" s="2693"/>
      <c r="F2" s="2693"/>
      <c r="G2" s="2693"/>
      <c r="H2" s="2693"/>
      <c r="I2" s="2693"/>
      <c r="J2" s="2693"/>
      <c r="K2" s="2693"/>
      <c r="L2" s="1215"/>
    </row>
    <row r="3" spans="1:12" ht="12.75" customHeight="1" x14ac:dyDescent="0.2">
      <c r="B3" s="2688" t="s">
        <v>1273</v>
      </c>
      <c r="C3" s="2688"/>
      <c r="D3" s="2688"/>
      <c r="E3" s="2688"/>
      <c r="F3" s="2688"/>
      <c r="G3" s="2688"/>
      <c r="H3" s="2688"/>
      <c r="I3" s="2688"/>
      <c r="J3" s="2688"/>
      <c r="K3" s="2688"/>
      <c r="L3" s="1140"/>
    </row>
    <row r="4" spans="1:12" ht="12.75" customHeight="1" x14ac:dyDescent="0.2">
      <c r="B4" s="2688" t="str">
        <f>'Single Audit Cover'!A4</f>
        <v>Year Ending June 30, 2020</v>
      </c>
      <c r="C4" s="2688"/>
      <c r="D4" s="2688"/>
      <c r="E4" s="2688"/>
      <c r="F4" s="2688"/>
      <c r="G4" s="2688"/>
      <c r="H4" s="2688"/>
      <c r="I4" s="2688"/>
      <c r="J4" s="2688"/>
      <c r="K4" s="2688"/>
      <c r="L4" s="1140"/>
    </row>
    <row r="5" spans="1:12" ht="5.25" customHeight="1" x14ac:dyDescent="0.2">
      <c r="B5" s="1029" t="s">
        <v>1158</v>
      </c>
      <c r="C5" s="1029"/>
      <c r="L5" s="300"/>
    </row>
    <row r="6" spans="1:12" ht="30.75" customHeight="1" x14ac:dyDescent="0.2">
      <c r="A6" s="300"/>
      <c r="B6" s="2694" t="s">
        <v>1296</v>
      </c>
      <c r="C6" s="2694"/>
      <c r="D6" s="2694"/>
      <c r="E6" s="2694"/>
      <c r="F6" s="2694"/>
      <c r="G6" s="2694"/>
      <c r="H6" s="2694"/>
      <c r="I6" s="2694"/>
      <c r="J6" s="2694"/>
      <c r="K6" s="2694"/>
      <c r="L6" s="300"/>
    </row>
    <row r="7" spans="1:12" ht="4.5" customHeight="1" x14ac:dyDescent="0.2">
      <c r="B7" s="1142"/>
      <c r="C7" s="1142"/>
      <c r="D7" s="1142"/>
      <c r="E7" s="1142"/>
      <c r="F7" s="1142"/>
      <c r="G7" s="1143"/>
      <c r="H7" s="1142"/>
      <c r="I7" s="1143"/>
      <c r="J7" s="1142"/>
      <c r="K7" s="1142"/>
      <c r="L7" s="300"/>
    </row>
    <row r="8" spans="1:12" ht="13.5" customHeight="1" x14ac:dyDescent="0.2">
      <c r="B8" s="1149" t="s">
        <v>1727</v>
      </c>
      <c r="C8" s="1906" t="str">
        <f>'AFR20'!$E$2&amp;"-"</f>
        <v>2020-</v>
      </c>
      <c r="D8" s="1216" t="s">
        <v>2069</v>
      </c>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72"/>
      <c r="G12" s="2672"/>
      <c r="H12" s="2672"/>
      <c r="I12" s="2672"/>
      <c r="J12" s="2672"/>
      <c r="K12" s="2672"/>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95"/>
      <c r="E14" s="2695"/>
      <c r="F14" s="2695"/>
      <c r="H14" s="1223" t="s">
        <v>1291</v>
      </c>
      <c r="I14" s="2696"/>
      <c r="J14" s="2696"/>
      <c r="K14" s="2696"/>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96"/>
      <c r="E16" s="2696"/>
      <c r="F16" s="2696"/>
      <c r="G16" s="2696"/>
      <c r="H16" s="2696"/>
      <c r="I16" s="2696"/>
      <c r="J16" s="2696"/>
      <c r="K16" s="2696"/>
      <c r="L16" s="300"/>
    </row>
    <row r="17" spans="2:12" ht="13.5" customHeight="1" x14ac:dyDescent="0.2">
      <c r="B17" s="1149" t="s">
        <v>1289</v>
      </c>
      <c r="C17" s="1149"/>
      <c r="D17" s="2697"/>
      <c r="E17" s="2697"/>
      <c r="F17" s="2697"/>
      <c r="G17" s="2697"/>
      <c r="H17" s="2697"/>
      <c r="I17" s="2697"/>
      <c r="J17" s="2697"/>
      <c r="K17" s="2697"/>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87"/>
      <c r="C20" s="2687"/>
      <c r="D20" s="2687"/>
      <c r="E20" s="2687"/>
      <c r="F20" s="2687"/>
      <c r="G20" s="2687"/>
      <c r="H20" s="2687"/>
      <c r="I20" s="2687"/>
      <c r="J20" s="2687"/>
      <c r="K20" s="2687"/>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1728</v>
      </c>
      <c r="C22" s="1225"/>
      <c r="D22" s="300"/>
      <c r="E22" s="300"/>
      <c r="F22" s="300"/>
      <c r="G22" s="1146"/>
      <c r="H22" s="300"/>
      <c r="I22" s="1146"/>
      <c r="J22" s="300"/>
      <c r="K22" s="300"/>
      <c r="L22" s="300"/>
    </row>
    <row r="23" spans="2:12" ht="37.5" customHeight="1" x14ac:dyDescent="0.2">
      <c r="B23" s="2687"/>
      <c r="C23" s="2687"/>
      <c r="D23" s="2687"/>
      <c r="E23" s="2687"/>
      <c r="F23" s="2687"/>
      <c r="G23" s="2687"/>
      <c r="H23" s="2687"/>
      <c r="I23" s="2687"/>
      <c r="J23" s="2687"/>
      <c r="K23" s="2687"/>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1729</v>
      </c>
      <c r="C25" s="1225"/>
      <c r="D25" s="300"/>
      <c r="E25" s="300"/>
      <c r="F25" s="300"/>
      <c r="G25" s="1146"/>
      <c r="H25" s="300"/>
      <c r="I25" s="1146"/>
      <c r="J25" s="300"/>
      <c r="K25" s="300"/>
      <c r="L25" s="300"/>
    </row>
    <row r="26" spans="2:12" ht="37.5" customHeight="1" x14ac:dyDescent="0.2">
      <c r="B26" s="2687"/>
      <c r="C26" s="2687"/>
      <c r="D26" s="2687"/>
      <c r="E26" s="2687"/>
      <c r="F26" s="2687"/>
      <c r="G26" s="2687"/>
      <c r="H26" s="2687"/>
      <c r="I26" s="2687"/>
      <c r="J26" s="2687"/>
      <c r="K26" s="2687"/>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1730</v>
      </c>
      <c r="C28" s="1225"/>
      <c r="D28" s="300"/>
      <c r="E28" s="300"/>
      <c r="F28" s="300"/>
      <c r="G28" s="1146"/>
      <c r="H28" s="300"/>
      <c r="I28" s="1146"/>
      <c r="J28" s="300"/>
      <c r="K28" s="300"/>
      <c r="L28" s="300"/>
    </row>
    <row r="29" spans="2:12" ht="37.5" customHeight="1" x14ac:dyDescent="0.2">
      <c r="B29" s="2687"/>
      <c r="C29" s="2687"/>
      <c r="D29" s="2687"/>
      <c r="E29" s="2687"/>
      <c r="F29" s="2687"/>
      <c r="G29" s="2687"/>
      <c r="H29" s="2687"/>
      <c r="I29" s="2687"/>
      <c r="J29" s="2687"/>
      <c r="K29" s="2687"/>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87"/>
      <c r="C32" s="2687"/>
      <c r="D32" s="2687"/>
      <c r="E32" s="2687"/>
      <c r="F32" s="2687"/>
      <c r="G32" s="2687"/>
      <c r="H32" s="2687"/>
      <c r="I32" s="2687"/>
      <c r="J32" s="2687"/>
      <c r="K32" s="2687"/>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87"/>
      <c r="C35" s="2687"/>
      <c r="D35" s="2687"/>
      <c r="E35" s="2687"/>
      <c r="F35" s="2687"/>
      <c r="G35" s="2687"/>
      <c r="H35" s="2687"/>
      <c r="I35" s="2687"/>
      <c r="J35" s="2687"/>
      <c r="K35" s="2687"/>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87"/>
      <c r="C38" s="2687"/>
      <c r="D38" s="2687"/>
      <c r="E38" s="2687"/>
      <c r="F38" s="2687"/>
      <c r="G38" s="2687"/>
      <c r="H38" s="2687"/>
      <c r="I38" s="2687"/>
      <c r="J38" s="2687"/>
      <c r="K38" s="2687"/>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1731</v>
      </c>
      <c r="C40" s="1165"/>
      <c r="D40" s="1141"/>
      <c r="E40" s="1142"/>
      <c r="F40" s="1142"/>
      <c r="G40" s="1143"/>
      <c r="H40" s="1142"/>
      <c r="I40" s="1143"/>
      <c r="J40" s="1142"/>
      <c r="K40" s="1142"/>
    </row>
    <row r="41" spans="2:12" s="300" customFormat="1" ht="33.75" customHeight="1" x14ac:dyDescent="0.2">
      <c r="B41" s="2687"/>
      <c r="C41" s="2687"/>
      <c r="D41" s="2687"/>
      <c r="E41" s="2687"/>
      <c r="F41" s="2687"/>
      <c r="G41" s="2687"/>
      <c r="H41" s="2687"/>
      <c r="I41" s="2687"/>
      <c r="J41" s="2687"/>
      <c r="K41" s="2687"/>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1732</v>
      </c>
      <c r="C44" s="1168"/>
      <c r="D44" s="300"/>
      <c r="E44" s="300"/>
      <c r="F44" s="300"/>
    </row>
    <row r="45" spans="2:12" ht="10.5" customHeight="1" x14ac:dyDescent="0.2">
      <c r="B45" s="1169" t="s">
        <v>1733</v>
      </c>
      <c r="C45" s="1169"/>
      <c r="G45" s="295"/>
      <c r="I45" s="295"/>
    </row>
    <row r="46" spans="2:12" ht="11.1" customHeight="1" x14ac:dyDescent="0.2">
      <c r="B46" s="1169" t="s">
        <v>1734</v>
      </c>
      <c r="C46" s="1169"/>
      <c r="G46" s="295"/>
      <c r="I46" s="295"/>
    </row>
    <row r="47" spans="2:12" ht="11.1" customHeight="1" x14ac:dyDescent="0.2">
      <c r="B47" s="1169" t="s">
        <v>1735</v>
      </c>
      <c r="C47" s="1169"/>
      <c r="G47" s="295"/>
      <c r="I47" s="295"/>
    </row>
    <row r="48" spans="2:12" ht="11.1" customHeight="1" x14ac:dyDescent="0.2">
      <c r="B48" s="1169" t="s">
        <v>1736</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FF33"/>
  </sheetPr>
  <dimension ref="B1:E73"/>
  <sheetViews>
    <sheetView showGridLines="0" zoomScale="110" zoomScaleNormal="110" workbookViewId="0">
      <selection activeCell="C18" sqref="C1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65" t="str">
        <f>'Single Audit Cover'!A7</f>
        <v xml:space="preserve">   Antioch CCSD 34</v>
      </c>
      <c r="C1" s="2665"/>
      <c r="D1" s="2665"/>
      <c r="E1" s="1233"/>
    </row>
    <row r="2" spans="2:5" s="1051" customFormat="1" ht="12.75" customHeight="1" x14ac:dyDescent="0.2">
      <c r="B2" s="2667">
        <f>'Single Audit Cover'!E7</f>
        <v>34049034004</v>
      </c>
      <c r="C2" s="2667"/>
      <c r="D2" s="2667"/>
      <c r="E2" s="1234"/>
    </row>
    <row r="3" spans="2:5" ht="12.75" customHeight="1" x14ac:dyDescent="0.2">
      <c r="B3" s="2688" t="s">
        <v>1737</v>
      </c>
      <c r="C3" s="2688"/>
      <c r="D3" s="2688"/>
      <c r="E3" s="1043"/>
    </row>
    <row r="4" spans="2:5" s="1051" customFormat="1" ht="12.75" customHeight="1" x14ac:dyDescent="0.2">
      <c r="B4" s="2698" t="str">
        <f>'Single Audit Cover'!A4</f>
        <v>Year Ending June 30, 2020</v>
      </c>
      <c r="C4" s="2698"/>
      <c r="D4" s="2698"/>
      <c r="E4" s="1235"/>
    </row>
    <row r="5" spans="2:5" s="1051" customFormat="1" ht="40.15" customHeight="1" x14ac:dyDescent="0.2">
      <c r="B5" s="1236" t="s">
        <v>1738</v>
      </c>
      <c r="C5" s="306"/>
      <c r="D5" s="306"/>
      <c r="E5" s="306"/>
    </row>
    <row r="6" spans="2:5" s="1051" customFormat="1" ht="13.5" customHeight="1" x14ac:dyDescent="0.2">
      <c r="B6" s="1237" t="s">
        <v>1303</v>
      </c>
      <c r="C6" s="1237" t="s">
        <v>1302</v>
      </c>
      <c r="D6" s="1237" t="s">
        <v>1739</v>
      </c>
    </row>
    <row r="7" spans="2:5" ht="31.5" customHeight="1" x14ac:dyDescent="0.2">
      <c r="B7" s="1238" t="s">
        <v>2129</v>
      </c>
      <c r="C7" s="2105" t="s">
        <v>2131</v>
      </c>
      <c r="D7" s="2105" t="s">
        <v>2130</v>
      </c>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1740</v>
      </c>
    </row>
    <row r="46" spans="2:5" ht="12.2" customHeight="1" x14ac:dyDescent="0.2">
      <c r="B46" s="1247" t="s">
        <v>1741</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33"/>
  </sheetPr>
  <dimension ref="A1:N72"/>
  <sheetViews>
    <sheetView showGridLines="0" defaultGridColor="0" topLeftCell="A16" colorId="8" zoomScale="110" zoomScaleNormal="110" workbookViewId="0">
      <selection activeCell="P30" sqref="P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2" t="s">
        <v>383</v>
      </c>
      <c r="B1" s="2262"/>
      <c r="C1" s="2262"/>
      <c r="D1" s="2262"/>
      <c r="E1" s="2262"/>
      <c r="F1" s="2262"/>
      <c r="G1" s="2262"/>
      <c r="H1" s="2262"/>
      <c r="I1" s="2262"/>
      <c r="J1" s="2262"/>
      <c r="K1" s="2262"/>
      <c r="L1" s="2262"/>
      <c r="M1" s="226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625016746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3.3474879999999999E-2</v>
      </c>
      <c r="E10" s="333" t="s">
        <v>997</v>
      </c>
      <c r="F10" s="332">
        <v>4.7263299999999999E-3</v>
      </c>
      <c r="G10" s="333" t="s">
        <v>997</v>
      </c>
      <c r="H10" s="332">
        <v>1.8906299999999999E-3</v>
      </c>
      <c r="I10" s="333" t="s">
        <v>998</v>
      </c>
      <c r="J10" s="1417">
        <f>ROUND(D10+F10+H10,5)</f>
        <v>4.0090000000000001E-2</v>
      </c>
      <c r="K10" s="217"/>
      <c r="L10" s="332">
        <v>2.6421000000000002E-4</v>
      </c>
      <c r="M10" s="217"/>
    </row>
    <row r="11" spans="1:14" ht="7.5" customHeight="1" x14ac:dyDescent="0.2">
      <c r="B11" s="217"/>
      <c r="C11" s="217"/>
      <c r="D11" s="2272" t="str">
        <f>IF(SUM(J10)&lt;=0.0999999,"","Enter the Tax Rates by moving the decimal two places to the left.")</f>
        <v/>
      </c>
      <c r="E11" s="2273"/>
      <c r="F11" s="2273"/>
      <c r="G11" s="2273"/>
      <c r="H11" s="2273"/>
      <c r="I11" s="2273"/>
      <c r="J11" s="227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35900819</v>
      </c>
      <c r="E16" s="1540"/>
      <c r="F16" s="1539">
        <f>SUM('Acct Summary 7-8'!C17,'Acct Summary 7-8'!D17,'Acct Summary 7-8'!F17)</f>
        <v>33496409</v>
      </c>
      <c r="G16" s="1540"/>
      <c r="H16" s="1539">
        <f>SUM(D16-F16)</f>
        <v>2404410</v>
      </c>
      <c r="I16" s="1541"/>
      <c r="J16" s="1539">
        <f>SUM('Acct Summary 7-8'!C81,'Acct Summary 7-8'!D81,'Acct Summary 7-8'!F81,'Acct Summary 7-8'!I81)</f>
        <v>23357922</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2132</v>
      </c>
      <c r="C31" s="344" t="s">
        <v>582</v>
      </c>
      <c r="D31" s="232" t="s">
        <v>1062</v>
      </c>
      <c r="E31" s="217"/>
      <c r="F31" s="217"/>
      <c r="G31" s="340"/>
      <c r="H31" s="1418">
        <f>IF(B31="X",(J7*0.069),IF(B32="X",(J7*0.138),"Enter x in a.or b."))</f>
        <v>43126155.474000007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17820652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3"/>
      <c r="C54" s="2264"/>
      <c r="D54" s="2264"/>
      <c r="E54" s="2264"/>
      <c r="F54" s="2264"/>
      <c r="G54" s="2264"/>
      <c r="H54" s="2264"/>
      <c r="I54" s="2264"/>
      <c r="J54" s="2264"/>
      <c r="K54" s="2264"/>
      <c r="L54" s="2265"/>
      <c r="M54" s="357"/>
    </row>
    <row r="55" spans="1:13" ht="12.75" customHeight="1" x14ac:dyDescent="0.2">
      <c r="B55" s="2266"/>
      <c r="C55" s="2267"/>
      <c r="D55" s="2267"/>
      <c r="E55" s="2267"/>
      <c r="F55" s="2267"/>
      <c r="G55" s="2267"/>
      <c r="H55" s="2267"/>
      <c r="I55" s="2267"/>
      <c r="J55" s="2267"/>
      <c r="K55" s="2267"/>
      <c r="L55" s="2268"/>
      <c r="M55" s="357"/>
    </row>
    <row r="56" spans="1:13" ht="12.75" customHeight="1" x14ac:dyDescent="0.2">
      <c r="B56" s="2266"/>
      <c r="C56" s="2267"/>
      <c r="D56" s="2267"/>
      <c r="E56" s="2267"/>
      <c r="F56" s="2267"/>
      <c r="G56" s="2267"/>
      <c r="H56" s="2267"/>
      <c r="I56" s="2267"/>
      <c r="J56" s="2267"/>
      <c r="K56" s="2267"/>
      <c r="L56" s="2268"/>
      <c r="M56" s="217"/>
    </row>
    <row r="57" spans="1:13" ht="12.75" customHeight="1" x14ac:dyDescent="0.2">
      <c r="B57" s="2266"/>
      <c r="C57" s="2267"/>
      <c r="D57" s="2267"/>
      <c r="E57" s="2267"/>
      <c r="F57" s="2267"/>
      <c r="G57" s="2267"/>
      <c r="H57" s="2267"/>
      <c r="I57" s="2267"/>
      <c r="J57" s="2267"/>
      <c r="K57" s="2267"/>
      <c r="L57" s="2268"/>
      <c r="M57" s="217"/>
    </row>
    <row r="58" spans="1:13" x14ac:dyDescent="0.2">
      <c r="B58" s="2269"/>
      <c r="C58" s="2270"/>
      <c r="D58" s="2270"/>
      <c r="E58" s="2270"/>
      <c r="F58" s="2270"/>
      <c r="G58" s="2270"/>
      <c r="H58" s="2270"/>
      <c r="I58" s="2270"/>
      <c r="J58" s="2270"/>
      <c r="K58" s="2270"/>
      <c r="L58" s="227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4"/>
      <c r="D61" s="227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2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33"/>
  </sheetPr>
  <dimension ref="A1:R44"/>
  <sheetViews>
    <sheetView showGridLines="0" zoomScale="110" zoomScaleNormal="110" workbookViewId="0">
      <selection activeCell="P30" sqref="P3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7"/>
      <c r="B1" s="2278"/>
      <c r="C1" s="2278"/>
      <c r="D1" s="361"/>
      <c r="E1" s="361"/>
      <c r="F1" s="361"/>
      <c r="G1" s="361"/>
      <c r="H1" s="361"/>
      <c r="I1" s="361"/>
      <c r="J1" s="361"/>
      <c r="K1" s="361"/>
      <c r="L1" s="361"/>
      <c r="M1" s="361"/>
      <c r="N1" s="361"/>
      <c r="O1" s="2277"/>
      <c r="P1" s="2278"/>
      <c r="Q1" s="2278"/>
    </row>
    <row r="2" spans="1:18" ht="15" x14ac:dyDescent="0.2">
      <c r="A2" s="2281" t="s">
        <v>552</v>
      </c>
      <c r="B2" s="2281"/>
      <c r="C2" s="2281"/>
      <c r="D2" s="2281"/>
      <c r="E2" s="2281"/>
      <c r="F2" s="2281"/>
      <c r="G2" s="2281"/>
      <c r="H2" s="2281"/>
      <c r="I2" s="2281"/>
      <c r="J2" s="2281"/>
      <c r="K2" s="2281"/>
      <c r="L2" s="2281"/>
      <c r="M2" s="2281"/>
      <c r="N2" s="2281"/>
      <c r="O2" s="2281"/>
      <c r="P2" s="2281"/>
      <c r="Q2" s="2281"/>
      <c r="R2" s="2281"/>
    </row>
    <row r="3" spans="1:18" ht="12.75" x14ac:dyDescent="0.2">
      <c r="A3" s="2282" t="s">
        <v>1393</v>
      </c>
      <c r="B3" s="2282"/>
      <c r="C3" s="2282"/>
      <c r="D3" s="2282"/>
      <c r="E3" s="2282"/>
      <c r="F3" s="2282"/>
      <c r="G3" s="2282"/>
      <c r="H3" s="2282"/>
      <c r="I3" s="2282"/>
      <c r="J3" s="2282"/>
      <c r="K3" s="2282"/>
      <c r="L3" s="2282"/>
      <c r="M3" s="2282"/>
      <c r="N3" s="2282"/>
      <c r="O3" s="2282"/>
      <c r="P3" s="2282"/>
      <c r="Q3" s="2282"/>
      <c r="R3" s="2282"/>
    </row>
    <row r="4" spans="1:18" x14ac:dyDescent="0.2">
      <c r="A4" s="2283" t="s">
        <v>1534</v>
      </c>
      <c r="B4" s="2283"/>
      <c r="C4" s="2283"/>
      <c r="D4" s="2283"/>
      <c r="E4" s="2283"/>
      <c r="F4" s="2283"/>
      <c r="G4" s="2283"/>
      <c r="H4" s="2283"/>
      <c r="I4" s="2283"/>
      <c r="J4" s="2283"/>
      <c r="K4" s="2283"/>
      <c r="L4" s="2283"/>
      <c r="M4" s="2283"/>
      <c r="N4" s="2283"/>
      <c r="O4" s="2283"/>
      <c r="P4" s="2283"/>
      <c r="Q4" s="2283"/>
      <c r="R4" s="228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Antioch CCSD 34</v>
      </c>
      <c r="E7" s="368"/>
      <c r="G7" s="247"/>
      <c r="H7" s="364"/>
      <c r="I7" s="364"/>
      <c r="J7" s="364"/>
      <c r="K7" s="364"/>
      <c r="L7" s="307"/>
      <c r="M7" s="307"/>
      <c r="N7" s="307"/>
      <c r="O7" s="307"/>
      <c r="P7" s="307"/>
    </row>
    <row r="8" spans="1:18" ht="12.75" x14ac:dyDescent="0.2">
      <c r="A8" s="307"/>
      <c r="B8" s="307"/>
      <c r="C8" s="366" t="s">
        <v>1114</v>
      </c>
      <c r="D8" s="369">
        <f>COVER!A13</f>
        <v>34049034004</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23357922</v>
      </c>
      <c r="I12" s="380"/>
      <c r="J12" s="380"/>
      <c r="K12" s="1552">
        <f>TRUNC((H12/H13*100000),5)/100000</f>
        <v>0.65709042830000008</v>
      </c>
      <c r="L12" s="381"/>
      <c r="M12" s="337" t="s">
        <v>1133</v>
      </c>
      <c r="N12" s="337"/>
      <c r="O12" s="1555">
        <v>0.35</v>
      </c>
      <c r="P12" s="213"/>
      <c r="Q12" s="213"/>
    </row>
    <row r="13" spans="1:18" s="382" customFormat="1" ht="12.75" x14ac:dyDescent="0.2">
      <c r="A13" s="213"/>
      <c r="B13" s="377"/>
      <c r="C13" s="2279" t="s">
        <v>1312</v>
      </c>
      <c r="D13" s="2280"/>
      <c r="E13" s="213"/>
      <c r="F13" s="383" t="s">
        <v>787</v>
      </c>
      <c r="G13" s="378"/>
      <c r="H13" s="1544">
        <f>SUM('Acct Summary 7-8'!C8+'Acct Summary 7-8'!D8+'Acct Summary 7-8'!F8+'Acct Summary 7-8'!I8)+H14</f>
        <v>35547500</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-353319</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33496409</v>
      </c>
      <c r="I17" s="380"/>
      <c r="J17" s="389"/>
      <c r="K17" s="1552">
        <f>TRUNC((H17/H18*100000),5)/100000</f>
        <v>0.94229999290000011</v>
      </c>
      <c r="L17" s="381"/>
      <c r="M17" s="390" t="s">
        <v>1160</v>
      </c>
      <c r="O17" s="1558" t="str">
        <f>IF(AND(O16="2", J20 &gt; 2),"1",IF(AND(O16 = "1", J20 &gt; 2),"2",IF(AND(O16="1", J20 &gt;1),"1","0")))</f>
        <v>0</v>
      </c>
      <c r="P17" s="213"/>
    </row>
    <row r="18" spans="1:18" s="382" customFormat="1" ht="11.25" x14ac:dyDescent="0.2">
      <c r="A18" s="213"/>
      <c r="B18" s="377"/>
      <c r="C18" s="2279" t="s">
        <v>1305</v>
      </c>
      <c r="D18" s="2280"/>
      <c r="E18" s="213"/>
      <c r="F18" s="391" t="s">
        <v>788</v>
      </c>
      <c r="G18" s="378"/>
      <c r="H18" s="1544">
        <f>SUM('Acct Summary 7-8'!C8+'Acct Summary 7-8'!D8+'Acct Summary 7-8'!F8+'Acct Summary 7-8'!I8)+H19</f>
        <v>35547500</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-353319</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76" t="s">
        <v>1392</v>
      </c>
      <c r="D24" s="2276"/>
      <c r="E24" s="213"/>
      <c r="F24" s="213" t="s">
        <v>442</v>
      </c>
      <c r="G24" s="378"/>
      <c r="H24" s="1544">
        <f>SUM('Assets-Liab 5-6'!C4+'Assets-Liab 5-6'!D4+'Assets-Liab 5-6'!F4+'Assets-Liab 5-6'!I4+'Assets-Liab 5-6'!C5+'Assets-Liab 5-6'!D5+'Assets-Liab 5-6'!F5+'Assets-Liab 5-6'!I5)</f>
        <v>23526661</v>
      </c>
      <c r="I24" s="394"/>
      <c r="J24" s="394"/>
      <c r="K24" s="1548">
        <f>TRUNC(((H24/H25*100000)/100000),2)</f>
        <v>252.85</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93045.580560000002</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1887</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21298383.145070001</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3</v>
      </c>
      <c r="P31" s="211"/>
    </row>
    <row r="32" spans="1:18" s="382" customFormat="1" ht="11.25" x14ac:dyDescent="0.2">
      <c r="A32" s="213"/>
      <c r="B32" s="377"/>
      <c r="C32" s="213" t="s">
        <v>841</v>
      </c>
      <c r="D32" s="213"/>
      <c r="E32" s="213"/>
      <c r="F32" s="213"/>
      <c r="G32" s="378"/>
      <c r="H32" s="1544">
        <f>'FP Info 3'!H37</f>
        <v>17820652</v>
      </c>
      <c r="I32" s="392"/>
      <c r="J32" s="392"/>
      <c r="K32" s="1548">
        <f>TRUNC(100-((((H32/H33*100))*100)/100),2)</f>
        <v>58.67</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43126155.474000007</v>
      </c>
      <c r="I33" s="392"/>
      <c r="J33" s="392"/>
      <c r="K33" s="379"/>
      <c r="L33" s="213"/>
      <c r="M33" s="401" t="s">
        <v>1134</v>
      </c>
      <c r="N33" s="401"/>
      <c r="O33" s="1561">
        <f>(O31*O32)</f>
        <v>0.30000000000000004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2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33"/>
  </sheetPr>
  <dimension ref="A1:N44"/>
  <sheetViews>
    <sheetView showGridLines="0" defaultGridColor="0" colorId="8" zoomScale="110" zoomScaleNormal="110" workbookViewId="0">
      <pane ySplit="2" topLeftCell="A3" activePane="bottomLeft" state="frozen"/>
      <selection activeCell="P30" sqref="P30"/>
      <selection pane="bottomLeft" activeCell="P30" sqref="P3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4"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85"/>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86" t="s">
        <v>966</v>
      </c>
      <c r="B3" s="2287"/>
      <c r="C3" s="1299"/>
      <c r="D3" s="1300"/>
      <c r="E3" s="1300"/>
      <c r="F3" s="1300"/>
      <c r="G3" s="1300"/>
      <c r="H3" s="1300"/>
      <c r="I3" s="1300"/>
      <c r="J3" s="1300"/>
      <c r="K3" s="1300"/>
      <c r="L3" s="1300"/>
      <c r="M3" s="1301"/>
      <c r="N3" s="1302"/>
    </row>
    <row r="4" spans="1:14" ht="13.5" customHeight="1" x14ac:dyDescent="0.2">
      <c r="A4" s="427" t="s">
        <v>1629</v>
      </c>
      <c r="B4" s="428"/>
      <c r="C4" s="1909">
        <v>16004830</v>
      </c>
      <c r="D4" s="1907">
        <v>3011829</v>
      </c>
      <c r="E4" s="1907">
        <v>0</v>
      </c>
      <c r="F4" s="1907">
        <v>1102644</v>
      </c>
      <c r="G4" s="1907">
        <v>1476235</v>
      </c>
      <c r="H4" s="1907">
        <v>700735</v>
      </c>
      <c r="I4" s="1907">
        <v>244118</v>
      </c>
      <c r="J4" s="1918">
        <v>276621</v>
      </c>
      <c r="K4" s="1910">
        <v>90333</v>
      </c>
      <c r="L4" s="1907">
        <v>57750</v>
      </c>
      <c r="M4" s="1567"/>
      <c r="N4" s="1568"/>
    </row>
    <row r="5" spans="1:14" x14ac:dyDescent="0.2">
      <c r="A5" s="427" t="s">
        <v>984</v>
      </c>
      <c r="B5" s="429">
        <v>120</v>
      </c>
      <c r="C5" s="1909">
        <v>2410139</v>
      </c>
      <c r="D5" s="1907">
        <v>486165</v>
      </c>
      <c r="E5" s="1907">
        <v>0</v>
      </c>
      <c r="F5" s="1907">
        <v>227933</v>
      </c>
      <c r="G5" s="1907">
        <v>257649</v>
      </c>
      <c r="H5" s="1907">
        <v>0</v>
      </c>
      <c r="I5" s="1907">
        <v>39003</v>
      </c>
      <c r="J5" s="1918">
        <v>44324</v>
      </c>
      <c r="K5" s="1910">
        <v>13896</v>
      </c>
      <c r="L5" s="1570">
        <v>0</v>
      </c>
      <c r="M5" s="1567"/>
      <c r="N5" s="1568"/>
    </row>
    <row r="6" spans="1:14" ht="13.5" customHeight="1" x14ac:dyDescent="0.2">
      <c r="A6" s="430" t="s">
        <v>414</v>
      </c>
      <c r="B6" s="429">
        <v>130</v>
      </c>
      <c r="C6" s="1909">
        <v>0</v>
      </c>
      <c r="D6" s="1907">
        <v>0</v>
      </c>
      <c r="E6" s="1907">
        <v>0</v>
      </c>
      <c r="F6" s="1907">
        <v>0</v>
      </c>
      <c r="G6" s="1910">
        <v>0</v>
      </c>
      <c r="H6" s="1910">
        <v>0</v>
      </c>
      <c r="I6" s="1907">
        <v>0</v>
      </c>
      <c r="J6" s="1917">
        <v>0</v>
      </c>
      <c r="K6" s="1910">
        <v>0</v>
      </c>
      <c r="L6" s="1572"/>
      <c r="M6" s="1567"/>
      <c r="N6" s="1568"/>
    </row>
    <row r="7" spans="1:14" ht="13.5" customHeight="1" x14ac:dyDescent="0.2">
      <c r="A7" s="430" t="s">
        <v>415</v>
      </c>
      <c r="B7" s="429">
        <v>140</v>
      </c>
      <c r="C7" s="1911">
        <v>0</v>
      </c>
      <c r="D7" s="1918">
        <v>0</v>
      </c>
      <c r="E7" s="1911">
        <v>0</v>
      </c>
      <c r="F7" s="1918">
        <v>0</v>
      </c>
      <c r="G7" s="1918">
        <v>0</v>
      </c>
      <c r="H7" s="1918">
        <v>0</v>
      </c>
      <c r="I7" s="1918">
        <v>0</v>
      </c>
      <c r="J7" s="1918">
        <v>0</v>
      </c>
      <c r="K7" s="1918">
        <v>0</v>
      </c>
      <c r="L7" s="1573"/>
      <c r="M7" s="1567"/>
      <c r="N7" s="1568"/>
    </row>
    <row r="8" spans="1:14" ht="13.5" customHeight="1" x14ac:dyDescent="0.2">
      <c r="A8" s="430" t="s">
        <v>267</v>
      </c>
      <c r="B8" s="429">
        <v>150</v>
      </c>
      <c r="C8" s="1911">
        <v>0</v>
      </c>
      <c r="D8" s="1918">
        <v>0</v>
      </c>
      <c r="E8" s="1911">
        <v>0</v>
      </c>
      <c r="F8" s="1918">
        <v>0</v>
      </c>
      <c r="G8" s="1915">
        <v>0</v>
      </c>
      <c r="H8" s="1918">
        <v>0</v>
      </c>
      <c r="I8" s="1917">
        <v>0</v>
      </c>
      <c r="J8" s="1917">
        <v>0</v>
      </c>
      <c r="K8" s="1916">
        <v>0</v>
      </c>
      <c r="L8" s="1576"/>
      <c r="M8" s="1567"/>
      <c r="N8" s="1568"/>
    </row>
    <row r="9" spans="1:14" ht="13.5" customHeight="1" x14ac:dyDescent="0.2">
      <c r="A9" s="430" t="s">
        <v>268</v>
      </c>
      <c r="B9" s="429">
        <v>160</v>
      </c>
      <c r="C9" s="1911">
        <v>0</v>
      </c>
      <c r="D9" s="1918">
        <v>0</v>
      </c>
      <c r="E9" s="1911">
        <v>0</v>
      </c>
      <c r="F9" s="1918">
        <v>0</v>
      </c>
      <c r="G9" s="1918">
        <v>0</v>
      </c>
      <c r="H9" s="1915">
        <v>0</v>
      </c>
      <c r="I9" s="1918">
        <v>0</v>
      </c>
      <c r="J9" s="1918">
        <v>0</v>
      </c>
      <c r="K9" s="1918">
        <v>0</v>
      </c>
      <c r="L9" s="1566"/>
      <c r="M9" s="1567"/>
      <c r="N9" s="1568"/>
    </row>
    <row r="10" spans="1:14" ht="13.5" customHeight="1" x14ac:dyDescent="0.2">
      <c r="A10" s="430" t="s">
        <v>983</v>
      </c>
      <c r="B10" s="429">
        <v>170</v>
      </c>
      <c r="C10" s="1909">
        <v>0</v>
      </c>
      <c r="D10" s="1907">
        <v>0</v>
      </c>
      <c r="E10" s="1918">
        <v>0</v>
      </c>
      <c r="F10" s="1907">
        <v>0</v>
      </c>
      <c r="G10" s="1915">
        <v>0</v>
      </c>
      <c r="H10" s="1908">
        <v>0</v>
      </c>
      <c r="I10" s="1918">
        <v>0</v>
      </c>
      <c r="J10" s="1918">
        <v>0</v>
      </c>
      <c r="K10" s="1908">
        <v>0</v>
      </c>
      <c r="L10" s="1577"/>
      <c r="M10" s="1568"/>
      <c r="N10" s="1568"/>
    </row>
    <row r="11" spans="1:14" ht="13.5" customHeight="1" x14ac:dyDescent="0.2">
      <c r="A11" s="430" t="s">
        <v>269</v>
      </c>
      <c r="B11" s="429">
        <v>180</v>
      </c>
      <c r="C11" s="1911">
        <v>0</v>
      </c>
      <c r="D11" s="1918">
        <v>0</v>
      </c>
      <c r="E11" s="1918">
        <v>0</v>
      </c>
      <c r="F11" s="1918">
        <v>0</v>
      </c>
      <c r="G11" s="1918">
        <v>0</v>
      </c>
      <c r="H11" s="1918">
        <v>0</v>
      </c>
      <c r="I11" s="1915">
        <v>0</v>
      </c>
      <c r="J11" s="1915">
        <v>0</v>
      </c>
      <c r="K11" s="1918">
        <v>0</v>
      </c>
      <c r="L11" s="1566"/>
      <c r="M11" s="1568"/>
      <c r="N11" s="1568"/>
    </row>
    <row r="12" spans="1:14" ht="13.5" customHeight="1" x14ac:dyDescent="0.2">
      <c r="A12" s="430" t="s">
        <v>416</v>
      </c>
      <c r="B12" s="429">
        <v>190</v>
      </c>
      <c r="C12" s="1909">
        <v>18310</v>
      </c>
      <c r="D12" s="1907">
        <v>0</v>
      </c>
      <c r="E12" s="1907">
        <v>0</v>
      </c>
      <c r="F12" s="1907">
        <v>0</v>
      </c>
      <c r="G12" s="1907">
        <v>13240</v>
      </c>
      <c r="H12" s="1907">
        <v>0</v>
      </c>
      <c r="I12" s="1907">
        <v>0</v>
      </c>
      <c r="J12" s="1918">
        <v>0</v>
      </c>
      <c r="K12" s="1907">
        <v>0</v>
      </c>
      <c r="L12" s="1565"/>
      <c r="M12" s="1568"/>
      <c r="N12" s="1568"/>
    </row>
    <row r="13" spans="1:14" ht="13.5" customHeight="1" thickBot="1" x14ac:dyDescent="0.25">
      <c r="A13" s="1419" t="s">
        <v>639</v>
      </c>
      <c r="B13" s="1400"/>
      <c r="C13" s="1578">
        <f>SUM(C4:C12)</f>
        <v>18433279</v>
      </c>
      <c r="D13" s="1578">
        <f t="shared" ref="D13:L13" si="0">SUM(D4:D12)</f>
        <v>3497994</v>
      </c>
      <c r="E13" s="1578">
        <f t="shared" si="0"/>
        <v>0</v>
      </c>
      <c r="F13" s="1578">
        <f t="shared" si="0"/>
        <v>1330577</v>
      </c>
      <c r="G13" s="1578">
        <f t="shared" si="0"/>
        <v>1747124</v>
      </c>
      <c r="H13" s="1578">
        <f t="shared" si="0"/>
        <v>700735</v>
      </c>
      <c r="I13" s="1578">
        <f t="shared" si="0"/>
        <v>283121</v>
      </c>
      <c r="J13" s="1578">
        <f t="shared" si="0"/>
        <v>320945</v>
      </c>
      <c r="K13" s="1578">
        <f t="shared" si="0"/>
        <v>104229</v>
      </c>
      <c r="L13" s="1578">
        <f t="shared" si="0"/>
        <v>57750</v>
      </c>
      <c r="M13" s="1567"/>
      <c r="N13" s="1568"/>
    </row>
    <row r="14" spans="1:14" ht="18" customHeight="1" thickTop="1" x14ac:dyDescent="0.2">
      <c r="A14" s="2288" t="s">
        <v>146</v>
      </c>
      <c r="B14" s="2289"/>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3264362</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30159178</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4707781</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7819069</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24987907</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-236038</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18056690</v>
      </c>
    </row>
    <row r="23" spans="1:14" ht="13.5" customHeight="1" thickBot="1" x14ac:dyDescent="0.25">
      <c r="A23" s="1419" t="s">
        <v>638</v>
      </c>
      <c r="B23" s="1422"/>
      <c r="C23" s="1567"/>
      <c r="D23" s="1567"/>
      <c r="E23" s="1567"/>
      <c r="F23" s="1567"/>
      <c r="G23" s="1567"/>
      <c r="H23" s="1567"/>
      <c r="I23" s="1567"/>
      <c r="J23" s="1567"/>
      <c r="K23" s="1567"/>
      <c r="L23" s="1567"/>
      <c r="M23" s="1585">
        <f>SUM(M15:M22)</f>
        <v>70938297</v>
      </c>
      <c r="N23" s="1585">
        <f>SUM(N21:N22)</f>
        <v>17820652</v>
      </c>
    </row>
    <row r="24" spans="1:14" ht="18" customHeight="1" thickTop="1" x14ac:dyDescent="0.2">
      <c r="A24" s="2290" t="s">
        <v>594</v>
      </c>
      <c r="B24" s="2291"/>
      <c r="C24" s="1586"/>
      <c r="D24" s="1581"/>
      <c r="E24" s="1581"/>
      <c r="F24" s="1581"/>
      <c r="G24" s="1581"/>
      <c r="H24" s="1581"/>
      <c r="I24" s="1581"/>
      <c r="J24" s="1581"/>
      <c r="K24" s="1581"/>
      <c r="L24" s="1581"/>
      <c r="M24" s="1580"/>
      <c r="N24" s="1587"/>
    </row>
    <row r="25" spans="1:14" x14ac:dyDescent="0.2">
      <c r="A25" s="430" t="s">
        <v>640</v>
      </c>
      <c r="B25" s="429">
        <v>410</v>
      </c>
      <c r="C25" s="1915">
        <v>0</v>
      </c>
      <c r="D25" s="1915">
        <v>0</v>
      </c>
      <c r="E25" s="1915">
        <v>0</v>
      </c>
      <c r="F25" s="1915">
        <v>0</v>
      </c>
      <c r="G25" s="1915">
        <v>0</v>
      </c>
      <c r="H25" s="1916">
        <v>0</v>
      </c>
      <c r="I25" s="1567"/>
      <c r="J25" s="1574">
        <v>0</v>
      </c>
      <c r="K25" s="1574">
        <v>0</v>
      </c>
      <c r="L25" s="1567"/>
      <c r="M25" s="1567"/>
      <c r="N25" s="1567"/>
    </row>
    <row r="26" spans="1:14" x14ac:dyDescent="0.2">
      <c r="A26" s="430" t="s">
        <v>641</v>
      </c>
      <c r="B26" s="429">
        <v>420</v>
      </c>
      <c r="C26" s="1918">
        <v>0</v>
      </c>
      <c r="D26" s="1918">
        <v>0</v>
      </c>
      <c r="E26" s="1918">
        <v>0</v>
      </c>
      <c r="F26" s="1918">
        <v>0</v>
      </c>
      <c r="G26" s="1918">
        <v>0</v>
      </c>
      <c r="H26" s="1918">
        <v>0</v>
      </c>
      <c r="I26" s="1918">
        <v>0</v>
      </c>
      <c r="J26" s="1917">
        <v>0</v>
      </c>
      <c r="K26" s="1918">
        <v>0</v>
      </c>
      <c r="L26" s="1567"/>
      <c r="M26" s="1567"/>
      <c r="N26" s="1567"/>
    </row>
    <row r="27" spans="1:14" ht="13.5" customHeight="1" x14ac:dyDescent="0.2">
      <c r="A27" s="430" t="s">
        <v>642</v>
      </c>
      <c r="B27" s="429">
        <v>430</v>
      </c>
      <c r="C27" s="1918">
        <v>0</v>
      </c>
      <c r="D27" s="1918">
        <v>9849</v>
      </c>
      <c r="E27" s="1918">
        <v>236038</v>
      </c>
      <c r="F27" s="1918">
        <v>0</v>
      </c>
      <c r="G27" s="1918">
        <v>0</v>
      </c>
      <c r="H27" s="1918">
        <v>0</v>
      </c>
      <c r="I27" s="1918">
        <v>0</v>
      </c>
      <c r="J27" s="1918">
        <v>0</v>
      </c>
      <c r="K27" s="1918">
        <v>0</v>
      </c>
      <c r="L27" s="1567"/>
      <c r="M27" s="1567"/>
      <c r="N27" s="1567"/>
    </row>
    <row r="28" spans="1:14" ht="13.5" customHeight="1" x14ac:dyDescent="0.2">
      <c r="A28" s="430" t="s">
        <v>643</v>
      </c>
      <c r="B28" s="429">
        <v>440</v>
      </c>
      <c r="C28" s="1918">
        <v>0</v>
      </c>
      <c r="D28" s="1918">
        <v>0</v>
      </c>
      <c r="E28" s="1917">
        <v>0</v>
      </c>
      <c r="F28" s="1918">
        <v>0</v>
      </c>
      <c r="G28" s="1917">
        <v>0</v>
      </c>
      <c r="H28" s="1917">
        <v>0</v>
      </c>
      <c r="I28" s="1918">
        <v>0</v>
      </c>
      <c r="J28" s="1918">
        <v>0</v>
      </c>
      <c r="K28" s="1916">
        <v>0</v>
      </c>
      <c r="L28" s="1567"/>
      <c r="M28" s="1567"/>
      <c r="N28" s="1567"/>
    </row>
    <row r="29" spans="1:14" ht="13.5" customHeight="1" x14ac:dyDescent="0.2">
      <c r="A29" s="430" t="s">
        <v>644</v>
      </c>
      <c r="B29" s="429">
        <v>460</v>
      </c>
      <c r="C29" s="1912">
        <v>0</v>
      </c>
      <c r="D29" s="1913">
        <v>0</v>
      </c>
      <c r="E29" s="1917">
        <v>0</v>
      </c>
      <c r="F29" s="1918">
        <v>0</v>
      </c>
      <c r="G29" s="1917">
        <v>0</v>
      </c>
      <c r="H29" s="1917">
        <v>0</v>
      </c>
      <c r="I29" s="1917">
        <v>0</v>
      </c>
      <c r="J29" s="1917">
        <v>0</v>
      </c>
      <c r="K29" s="1918">
        <v>0</v>
      </c>
      <c r="L29" s="1567"/>
      <c r="M29" s="1567"/>
      <c r="N29" s="1567"/>
    </row>
    <row r="30" spans="1:14" ht="13.5" customHeight="1" x14ac:dyDescent="0.2">
      <c r="A30" s="430" t="s">
        <v>645</v>
      </c>
      <c r="B30" s="429">
        <v>470</v>
      </c>
      <c r="C30" s="1918">
        <v>0</v>
      </c>
      <c r="D30" s="1917">
        <v>0</v>
      </c>
      <c r="E30" s="1918">
        <v>0</v>
      </c>
      <c r="F30" s="1918">
        <v>4615</v>
      </c>
      <c r="G30" s="1918">
        <v>0</v>
      </c>
      <c r="H30" s="1918">
        <v>0</v>
      </c>
      <c r="I30" s="1918">
        <v>0</v>
      </c>
      <c r="J30" s="1918">
        <v>0</v>
      </c>
      <c r="K30" s="1915">
        <v>0</v>
      </c>
      <c r="L30" s="1567"/>
      <c r="M30" s="1567"/>
      <c r="N30" s="1567"/>
    </row>
    <row r="31" spans="1:14" ht="13.5" customHeight="1" x14ac:dyDescent="0.2">
      <c r="A31" s="430" t="s">
        <v>646</v>
      </c>
      <c r="B31" s="429">
        <v>480</v>
      </c>
      <c r="C31" s="1907">
        <v>172402</v>
      </c>
      <c r="D31" s="1918">
        <v>183</v>
      </c>
      <c r="E31" s="1918">
        <v>0</v>
      </c>
      <c r="F31" s="1907">
        <v>0</v>
      </c>
      <c r="G31" s="1918">
        <v>0</v>
      </c>
      <c r="H31" s="1918">
        <v>0</v>
      </c>
      <c r="I31" s="1918">
        <v>0</v>
      </c>
      <c r="J31" s="1918">
        <v>0</v>
      </c>
      <c r="K31" s="1918">
        <v>0</v>
      </c>
      <c r="L31" s="1567"/>
      <c r="M31" s="1567"/>
      <c r="N31" s="1567"/>
    </row>
    <row r="32" spans="1:14" ht="13.5" customHeight="1" x14ac:dyDescent="0.2">
      <c r="A32" s="434" t="s">
        <v>647</v>
      </c>
      <c r="B32" s="435">
        <v>490</v>
      </c>
      <c r="C32" s="1914">
        <v>0</v>
      </c>
      <c r="D32" s="1914">
        <v>0</v>
      </c>
      <c r="E32" s="1917">
        <v>0</v>
      </c>
      <c r="F32" s="1917">
        <v>0</v>
      </c>
      <c r="G32" s="1917">
        <v>0</v>
      </c>
      <c r="H32" s="1917">
        <v>0</v>
      </c>
      <c r="I32" s="1917">
        <v>0</v>
      </c>
      <c r="J32" s="1917">
        <v>0</v>
      </c>
      <c r="K32" s="1916">
        <v>0</v>
      </c>
      <c r="L32" s="1567"/>
      <c r="M32" s="1567"/>
      <c r="N32" s="1567"/>
    </row>
    <row r="33" spans="1:14" ht="13.5" customHeight="1" x14ac:dyDescent="0.2">
      <c r="A33" s="436" t="s">
        <v>300</v>
      </c>
      <c r="B33" s="435">
        <v>493</v>
      </c>
      <c r="C33" s="1918">
        <v>0</v>
      </c>
      <c r="D33" s="1918">
        <v>0</v>
      </c>
      <c r="E33" s="1918">
        <v>0</v>
      </c>
      <c r="F33" s="1918">
        <v>0</v>
      </c>
      <c r="G33" s="1918">
        <v>0</v>
      </c>
      <c r="H33" s="1918">
        <v>0</v>
      </c>
      <c r="I33" s="1918">
        <v>0</v>
      </c>
      <c r="J33" s="1918">
        <v>0</v>
      </c>
      <c r="K33" s="1918">
        <v>0</v>
      </c>
      <c r="L33" s="1918">
        <v>57750</v>
      </c>
      <c r="M33" s="1567"/>
      <c r="N33" s="1568"/>
    </row>
    <row r="34" spans="1:14" ht="13.5" customHeight="1" thickBot="1" x14ac:dyDescent="0.25">
      <c r="A34" s="1420" t="s">
        <v>649</v>
      </c>
      <c r="B34" s="1421"/>
      <c r="C34" s="1590">
        <f>SUM(C25:C33)</f>
        <v>172402</v>
      </c>
      <c r="D34" s="1590">
        <f t="shared" ref="D34:K34" si="1">SUM(D25:D33)</f>
        <v>10032</v>
      </c>
      <c r="E34" s="1590">
        <f t="shared" si="1"/>
        <v>236038</v>
      </c>
      <c r="F34" s="1590">
        <f t="shared" si="1"/>
        <v>4615</v>
      </c>
      <c r="G34" s="1590">
        <f t="shared" si="1"/>
        <v>0</v>
      </c>
      <c r="H34" s="1590">
        <f t="shared" si="1"/>
        <v>0</v>
      </c>
      <c r="I34" s="1590">
        <f t="shared" si="1"/>
        <v>0</v>
      </c>
      <c r="J34" s="1590">
        <f t="shared" si="1"/>
        <v>0</v>
      </c>
      <c r="K34" s="1590">
        <f t="shared" si="1"/>
        <v>0</v>
      </c>
      <c r="L34" s="1591">
        <f>SUM(L33)</f>
        <v>57750</v>
      </c>
      <c r="M34" s="1567"/>
      <c r="N34" s="1576"/>
    </row>
    <row r="35" spans="1:14" ht="18" customHeight="1" thickTop="1" x14ac:dyDescent="0.2">
      <c r="A35" s="2292" t="s">
        <v>526</v>
      </c>
      <c r="B35" s="2293"/>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17820652</v>
      </c>
    </row>
    <row r="37" spans="1:14" ht="13.5" thickBot="1" x14ac:dyDescent="0.25">
      <c r="A37" s="1419" t="s">
        <v>648</v>
      </c>
      <c r="B37" s="1422"/>
      <c r="C37" s="1573"/>
      <c r="D37" s="1573"/>
      <c r="E37" s="1573"/>
      <c r="F37" s="1573"/>
      <c r="G37" s="1573"/>
      <c r="H37" s="1573"/>
      <c r="I37" s="1573"/>
      <c r="J37" s="1573"/>
      <c r="K37" s="1573"/>
      <c r="L37" s="1576"/>
      <c r="M37" s="1567"/>
      <c r="N37" s="1585">
        <f>SUM(N36:N36)</f>
        <v>17820652</v>
      </c>
    </row>
    <row r="38" spans="1:14" s="307" customFormat="1" ht="13.5" customHeight="1" thickTop="1" x14ac:dyDescent="0.2">
      <c r="A38" s="438" t="s">
        <v>417</v>
      </c>
      <c r="B38" s="432">
        <v>714</v>
      </c>
      <c r="C38" s="1565">
        <v>2161</v>
      </c>
      <c r="D38" s="1565"/>
      <c r="E38" s="1565"/>
      <c r="F38" s="1565"/>
      <c r="G38" s="1565">
        <v>206623</v>
      </c>
      <c r="H38" s="1565"/>
      <c r="I38" s="1565"/>
      <c r="J38" s="1566"/>
      <c r="K38" s="1565"/>
      <c r="L38" s="1577"/>
      <c r="M38" s="1594"/>
      <c r="N38" s="1594"/>
    </row>
    <row r="39" spans="1:14" s="307" customFormat="1" ht="13.5" customHeight="1" x14ac:dyDescent="0.2">
      <c r="A39" s="438" t="s">
        <v>339</v>
      </c>
      <c r="B39" s="432">
        <v>730</v>
      </c>
      <c r="C39" s="1565">
        <v>18258716</v>
      </c>
      <c r="D39" s="1565">
        <v>3487962</v>
      </c>
      <c r="E39" s="1565">
        <v>-236038</v>
      </c>
      <c r="F39" s="1565">
        <v>1325962</v>
      </c>
      <c r="G39" s="1565">
        <v>1540501</v>
      </c>
      <c r="H39" s="1565">
        <v>700735</v>
      </c>
      <c r="I39" s="1565">
        <v>283121</v>
      </c>
      <c r="J39" s="1566">
        <v>320945</v>
      </c>
      <c r="K39" s="1565">
        <v>104229</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70938297</v>
      </c>
      <c r="N40" s="1594"/>
    </row>
    <row r="41" spans="1:14" ht="13.5" customHeight="1" thickBot="1" x14ac:dyDescent="0.25">
      <c r="A41" s="1419" t="s">
        <v>650</v>
      </c>
      <c r="B41" s="1398"/>
      <c r="C41" s="1585">
        <f>(SUM(C34,C37,C38,C39))</f>
        <v>18433279</v>
      </c>
      <c r="D41" s="1585">
        <f t="shared" ref="D41:L41" si="2">SUM(D34,D37,D38:D39)</f>
        <v>3497994</v>
      </c>
      <c r="E41" s="1585">
        <f t="shared" si="2"/>
        <v>0</v>
      </c>
      <c r="F41" s="1585">
        <f t="shared" si="2"/>
        <v>1330577</v>
      </c>
      <c r="G41" s="1585">
        <f t="shared" si="2"/>
        <v>1747124</v>
      </c>
      <c r="H41" s="1585">
        <f t="shared" si="2"/>
        <v>700735</v>
      </c>
      <c r="I41" s="1585">
        <f t="shared" si="2"/>
        <v>283121</v>
      </c>
      <c r="J41" s="1585">
        <f t="shared" si="2"/>
        <v>320945</v>
      </c>
      <c r="K41" s="1585">
        <f t="shared" si="2"/>
        <v>104229</v>
      </c>
      <c r="L41" s="1585">
        <f t="shared" si="2"/>
        <v>57750</v>
      </c>
      <c r="M41" s="1585">
        <f>SUM(M40)</f>
        <v>70938297</v>
      </c>
      <c r="N41" s="1585">
        <f>SUM(N37)</f>
        <v>17820652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21"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33"/>
  </sheetPr>
  <dimension ref="A1:M87"/>
  <sheetViews>
    <sheetView showGridLines="0" defaultGridColor="0" colorId="8" zoomScale="110" zoomScaleNormal="110" zoomScaleSheetLayoutView="100" workbookViewId="0">
      <pane ySplit="2" topLeftCell="A63" activePane="bottomLeft" state="frozen"/>
      <selection activeCell="P30" sqref="P30"/>
      <selection pane="bottomLeft" activeCell="P30" sqref="P3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2"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303"/>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314" t="s">
        <v>1164</v>
      </c>
      <c r="B3" s="2315"/>
      <c r="C3" s="1304"/>
      <c r="D3" s="1305"/>
      <c r="E3" s="1305"/>
      <c r="F3" s="1305"/>
      <c r="G3" s="1305"/>
      <c r="H3" s="1305"/>
      <c r="I3" s="1305"/>
      <c r="J3" s="1305"/>
      <c r="K3" s="1306"/>
      <c r="L3" s="446"/>
    </row>
    <row r="4" spans="1:13" ht="15.75" customHeight="1" x14ac:dyDescent="0.2">
      <c r="A4" s="1530" t="s">
        <v>1479</v>
      </c>
      <c r="B4" s="1531">
        <v>1000</v>
      </c>
      <c r="C4" s="1596">
        <f>'Revenues 9-14'!C109</f>
        <v>21647252</v>
      </c>
      <c r="D4" s="1596">
        <f>'Revenues 9-14'!D109</f>
        <v>3135993</v>
      </c>
      <c r="E4" s="1596">
        <f>'Revenues 9-14'!E109</f>
        <v>1343542</v>
      </c>
      <c r="F4" s="1596">
        <f>'Revenues 9-14'!F109</f>
        <v>1120505</v>
      </c>
      <c r="G4" s="1596">
        <f>'Revenues 9-14'!G109</f>
        <v>1343413</v>
      </c>
      <c r="H4" s="1596">
        <f>'Revenues 9-14'!H109</f>
        <v>2</v>
      </c>
      <c r="I4" s="1596">
        <f>'Revenues 9-14'!I109</f>
        <v>155235</v>
      </c>
      <c r="J4" s="1596">
        <f>'Revenues 9-14'!J109</f>
        <v>172974</v>
      </c>
      <c r="K4" s="1596">
        <f>'Revenues 9-14'!K109</f>
        <v>32737</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7006853</v>
      </c>
      <c r="D6" s="1597">
        <f>'Revenues 9-14'!D170</f>
        <v>50000</v>
      </c>
      <c r="E6" s="1597">
        <f>'Revenues 9-14'!E170</f>
        <v>0</v>
      </c>
      <c r="F6" s="1597">
        <f>'Revenues 9-14'!F170</f>
        <v>1524516</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1260465</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29914570</v>
      </c>
      <c r="D8" s="1585">
        <f t="shared" ref="D8:K8" si="0">SUM(D4:D7)</f>
        <v>3185993</v>
      </c>
      <c r="E8" s="1585">
        <f t="shared" si="0"/>
        <v>1343542</v>
      </c>
      <c r="F8" s="1585">
        <f t="shared" si="0"/>
        <v>2645021</v>
      </c>
      <c r="G8" s="1585">
        <f t="shared" si="0"/>
        <v>1343413</v>
      </c>
      <c r="H8" s="1585">
        <f t="shared" si="0"/>
        <v>2</v>
      </c>
      <c r="I8" s="1585">
        <f t="shared" si="0"/>
        <v>155235</v>
      </c>
      <c r="J8" s="1585">
        <f t="shared" si="0"/>
        <v>172974</v>
      </c>
      <c r="K8" s="1585">
        <f t="shared" si="0"/>
        <v>32737</v>
      </c>
      <c r="L8" s="325"/>
    </row>
    <row r="9" spans="1:13" ht="15.75" thickTop="1" x14ac:dyDescent="0.2">
      <c r="A9" s="449" t="s">
        <v>1631</v>
      </c>
      <c r="B9" s="450">
        <v>3998</v>
      </c>
      <c r="C9" s="1577">
        <v>13243926</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43158496</v>
      </c>
      <c r="D10" s="1585">
        <f t="shared" ref="D10:K10" si="1">SUM(D8:D9)</f>
        <v>3185993</v>
      </c>
      <c r="E10" s="1585">
        <f t="shared" si="1"/>
        <v>1343542</v>
      </c>
      <c r="F10" s="1585">
        <f t="shared" si="1"/>
        <v>2645021</v>
      </c>
      <c r="G10" s="1585">
        <f t="shared" si="1"/>
        <v>1343413</v>
      </c>
      <c r="H10" s="1585">
        <f t="shared" si="1"/>
        <v>2</v>
      </c>
      <c r="I10" s="1585">
        <f t="shared" si="1"/>
        <v>155235</v>
      </c>
      <c r="J10" s="1585">
        <f t="shared" si="1"/>
        <v>172974</v>
      </c>
      <c r="K10" s="1585">
        <f t="shared" si="1"/>
        <v>32737</v>
      </c>
      <c r="L10" s="451"/>
    </row>
    <row r="11" spans="1:13" s="452" customFormat="1" ht="16.7" customHeight="1" thickTop="1" x14ac:dyDescent="0.2">
      <c r="A11" s="2288" t="s">
        <v>1165</v>
      </c>
      <c r="B11" s="2289"/>
      <c r="C11" s="1592"/>
      <c r="D11" s="1593"/>
      <c r="E11" s="1593"/>
      <c r="F11" s="1593"/>
      <c r="G11" s="1593"/>
      <c r="H11" s="1593"/>
      <c r="I11" s="1593"/>
      <c r="J11" s="1593"/>
      <c r="K11" s="1605"/>
      <c r="L11" s="451"/>
    </row>
    <row r="12" spans="1:13" ht="15.75" customHeight="1" x14ac:dyDescent="0.2">
      <c r="A12" s="1307" t="s">
        <v>453</v>
      </c>
      <c r="B12" s="1309">
        <v>1000</v>
      </c>
      <c r="C12" s="1596">
        <f>'Expenditures 15-22'!K33</f>
        <v>18574470</v>
      </c>
      <c r="D12" s="1606" t="s">
        <v>1158</v>
      </c>
      <c r="E12" s="1567" t="s">
        <v>1158</v>
      </c>
      <c r="F12" s="1567" t="s">
        <v>1158</v>
      </c>
      <c r="G12" s="1596">
        <f>'Expenditures 15-22'!K229</f>
        <v>421787</v>
      </c>
      <c r="H12" s="1607"/>
      <c r="I12" s="1567" t="s">
        <v>1158</v>
      </c>
      <c r="J12" s="1567" t="s">
        <v>1158</v>
      </c>
      <c r="K12" s="1607" t="s">
        <v>1158</v>
      </c>
      <c r="L12" s="325"/>
    </row>
    <row r="13" spans="1:13" ht="15.75" customHeight="1" x14ac:dyDescent="0.2">
      <c r="A13" s="1307" t="s">
        <v>454</v>
      </c>
      <c r="B13" s="1309">
        <v>2000</v>
      </c>
      <c r="C13" s="1597">
        <f>'Expenditures 15-22'!K74</f>
        <v>8577684</v>
      </c>
      <c r="D13" s="1597">
        <f>'Expenditures 15-22'!K129</f>
        <v>3008421</v>
      </c>
      <c r="E13" s="1568" t="s">
        <v>1158</v>
      </c>
      <c r="F13" s="1597">
        <f>'Expenditures 15-22'!K184</f>
        <v>2222414</v>
      </c>
      <c r="G13" s="1597">
        <f>'Expenditures 15-22'!K279</f>
        <v>762297</v>
      </c>
      <c r="H13" s="1597">
        <f>'Expenditures 15-22'!K303</f>
        <v>3437963</v>
      </c>
      <c r="I13" s="1567" t="s">
        <v>1158</v>
      </c>
      <c r="J13" s="1597">
        <f>'Expenditures 15-22'!K330</f>
        <v>107495</v>
      </c>
      <c r="K13" s="1608">
        <f>'Expenditures 15-22'!K352</f>
        <v>10210</v>
      </c>
      <c r="L13" s="325"/>
    </row>
    <row r="14" spans="1:13" ht="15.75" customHeight="1" x14ac:dyDescent="0.2">
      <c r="A14" s="1307" t="s">
        <v>446</v>
      </c>
      <c r="B14" s="1309">
        <v>3000</v>
      </c>
      <c r="C14" s="1597">
        <f>'Expenditures 15-22'!K75</f>
        <v>90964</v>
      </c>
      <c r="D14" s="1597">
        <f>'Expenditures 15-22'!K130</f>
        <v>0</v>
      </c>
      <c r="E14" s="1606" t="s">
        <v>1158</v>
      </c>
      <c r="F14" s="1597">
        <f>'Expenditures 15-22'!K185</f>
        <v>0</v>
      </c>
      <c r="G14" s="1597">
        <f>'Expenditures 15-22'!K280</f>
        <v>13271</v>
      </c>
      <c r="H14" s="1602"/>
      <c r="I14" s="1567" t="s">
        <v>1158</v>
      </c>
      <c r="J14" s="1567" t="s">
        <v>1158</v>
      </c>
      <c r="K14" s="1602" t="s">
        <v>1158</v>
      </c>
      <c r="L14" s="325"/>
    </row>
    <row r="15" spans="1:13" ht="15.75" customHeight="1" x14ac:dyDescent="0.2">
      <c r="A15" s="1307" t="s">
        <v>107</v>
      </c>
      <c r="B15" s="1309">
        <v>4000</v>
      </c>
      <c r="C15" s="1597">
        <f>'Expenditures 15-22'!K102</f>
        <v>970122</v>
      </c>
      <c r="D15" s="1597">
        <f>'Expenditures 15-22'!K139</f>
        <v>52334</v>
      </c>
      <c r="E15" s="1597">
        <f>'Expenditures 15-22'!K160</f>
        <v>0</v>
      </c>
      <c r="F15" s="1597">
        <f>'Expenditures 15-22'!K196</f>
        <v>0</v>
      </c>
      <c r="G15" s="1597">
        <f>'Expenditures 15-22'!K285</f>
        <v>35458</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2094991</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28213240</v>
      </c>
      <c r="D17" s="1585">
        <f t="shared" si="2"/>
        <v>3060755</v>
      </c>
      <c r="E17" s="1585">
        <f t="shared" si="2"/>
        <v>2094991</v>
      </c>
      <c r="F17" s="1585">
        <f t="shared" si="2"/>
        <v>2222414</v>
      </c>
      <c r="G17" s="1585">
        <f t="shared" si="2"/>
        <v>1232813</v>
      </c>
      <c r="H17" s="1585">
        <f t="shared" si="2"/>
        <v>3437963</v>
      </c>
      <c r="I17" s="1567"/>
      <c r="J17" s="1585">
        <f>SUM(J12:J16)</f>
        <v>107495</v>
      </c>
      <c r="K17" s="1585">
        <f>SUM(K12:K16)</f>
        <v>10210</v>
      </c>
      <c r="L17" s="325"/>
    </row>
    <row r="18" spans="1:12" ht="15" customHeight="1" thickTop="1" x14ac:dyDescent="0.2">
      <c r="A18" s="1423" t="s">
        <v>1632</v>
      </c>
      <c r="B18" s="1424">
        <v>4180</v>
      </c>
      <c r="C18" s="1596">
        <f t="shared" ref="C18:H18" si="3">C9</f>
        <v>13243926</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41457166</v>
      </c>
      <c r="D19" s="1585">
        <f t="shared" si="4"/>
        <v>3060755</v>
      </c>
      <c r="E19" s="1585">
        <f t="shared" si="4"/>
        <v>2094991</v>
      </c>
      <c r="F19" s="1585">
        <f t="shared" si="4"/>
        <v>2222414</v>
      </c>
      <c r="G19" s="1585">
        <f t="shared" si="4"/>
        <v>1232813</v>
      </c>
      <c r="H19" s="1585">
        <f t="shared" si="4"/>
        <v>3437963</v>
      </c>
      <c r="I19" s="1567"/>
      <c r="J19" s="1585">
        <f>SUM(J17:J18)</f>
        <v>107495</v>
      </c>
      <c r="K19" s="1585">
        <f>SUM(K17:K18)</f>
        <v>10210</v>
      </c>
      <c r="L19" s="325"/>
    </row>
    <row r="20" spans="1:12" ht="16.5" thickTop="1" thickBot="1" x14ac:dyDescent="0.25">
      <c r="A20" s="2304" t="s">
        <v>1633</v>
      </c>
      <c r="B20" s="2305"/>
      <c r="C20" s="1612">
        <f>C8-C17</f>
        <v>1701330</v>
      </c>
      <c r="D20" s="1612">
        <f t="shared" ref="D20:K20" si="5">D8-D17</f>
        <v>125238</v>
      </c>
      <c r="E20" s="1612">
        <f t="shared" si="5"/>
        <v>-751449</v>
      </c>
      <c r="F20" s="1612">
        <f t="shared" si="5"/>
        <v>422607</v>
      </c>
      <c r="G20" s="1612">
        <f t="shared" si="5"/>
        <v>110600</v>
      </c>
      <c r="H20" s="1612">
        <f t="shared" si="5"/>
        <v>-3437961</v>
      </c>
      <c r="I20" s="1612">
        <f t="shared" si="5"/>
        <v>155235</v>
      </c>
      <c r="J20" s="1612">
        <f t="shared" si="5"/>
        <v>65479</v>
      </c>
      <c r="K20" s="1612">
        <f t="shared" si="5"/>
        <v>22527</v>
      </c>
      <c r="L20" s="325"/>
    </row>
    <row r="21" spans="1:12" ht="16.7" customHeight="1" thickTop="1" x14ac:dyDescent="0.2">
      <c r="A21" s="2316" t="s">
        <v>591</v>
      </c>
      <c r="B21" s="2317"/>
      <c r="C21" s="1592"/>
      <c r="D21" s="1593"/>
      <c r="E21" s="1593"/>
      <c r="F21" s="1593"/>
      <c r="G21" s="1593"/>
      <c r="H21" s="1593"/>
      <c r="I21" s="1593"/>
      <c r="J21" s="1593"/>
      <c r="K21" s="1605"/>
      <c r="L21" s="453"/>
    </row>
    <row r="22" spans="1:12" ht="15.75" customHeight="1" collapsed="1" x14ac:dyDescent="0.2">
      <c r="A22" s="2312" t="s">
        <v>592</v>
      </c>
      <c r="B22" s="2313"/>
      <c r="C22" s="1573"/>
      <c r="D22" s="1573"/>
      <c r="E22" s="1573"/>
      <c r="F22" s="1573"/>
      <c r="G22" s="1573"/>
      <c r="H22" s="1573"/>
      <c r="I22" s="1573"/>
      <c r="J22" s="1573"/>
      <c r="K22" s="1573"/>
      <c r="L22" s="325"/>
    </row>
    <row r="23" spans="1:12" s="433" customFormat="1" ht="15.75" customHeight="1" x14ac:dyDescent="0.2">
      <c r="A23" s="2308" t="s">
        <v>290</v>
      </c>
      <c r="B23" s="2309"/>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27000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1765</v>
      </c>
      <c r="B30" s="455">
        <v>7160</v>
      </c>
      <c r="C30" s="1573"/>
      <c r="D30" s="1566">
        <v>0</v>
      </c>
      <c r="E30" s="1573"/>
      <c r="F30" s="1573"/>
      <c r="G30" s="1573"/>
      <c r="H30" s="1573"/>
      <c r="I30" s="1573"/>
      <c r="J30" s="1573"/>
      <c r="K30" s="1573"/>
      <c r="L30" s="453"/>
    </row>
    <row r="31" spans="1:12" s="433" customFormat="1" ht="26.25" x14ac:dyDescent="0.2">
      <c r="A31" s="1253" t="s">
        <v>1769</v>
      </c>
      <c r="B31" s="455">
        <v>7170</v>
      </c>
      <c r="C31" s="1573"/>
      <c r="D31" s="1573"/>
      <c r="E31" s="1571">
        <v>0</v>
      </c>
      <c r="F31" s="1573"/>
      <c r="G31" s="1573"/>
      <c r="H31" s="1573"/>
      <c r="I31" s="1573"/>
      <c r="J31" s="1573"/>
      <c r="K31" s="1573"/>
      <c r="L31" s="453"/>
    </row>
    <row r="32" spans="1:12" s="433" customFormat="1" ht="15.75" customHeight="1" x14ac:dyDescent="0.2">
      <c r="A32" s="2310" t="s">
        <v>973</v>
      </c>
      <c r="B32" s="2311"/>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350628</v>
      </c>
      <c r="F37" s="1572"/>
      <c r="G37" s="1572"/>
      <c r="H37" s="1572"/>
      <c r="I37" s="1573"/>
      <c r="J37" s="1572"/>
      <c r="K37" s="1572"/>
      <c r="L37" s="453"/>
    </row>
    <row r="38" spans="1:12" s="433" customFormat="1" x14ac:dyDescent="0.2">
      <c r="A38" s="1253" t="s">
        <v>439</v>
      </c>
      <c r="B38" s="454">
        <v>7500</v>
      </c>
      <c r="C38" s="1573"/>
      <c r="D38" s="1573"/>
      <c r="E38" s="1597">
        <f>SUM(C58:D61,H58:H61)</f>
        <v>13620</v>
      </c>
      <c r="F38" s="1573"/>
      <c r="G38" s="1573"/>
      <c r="H38" s="1573"/>
      <c r="I38" s="1573"/>
      <c r="J38" s="1573"/>
      <c r="K38" s="1573"/>
      <c r="L38" s="453"/>
    </row>
    <row r="39" spans="1:12" s="433" customFormat="1" x14ac:dyDescent="0.2">
      <c r="A39" s="1253" t="s">
        <v>440</v>
      </c>
      <c r="B39" s="454">
        <v>7600</v>
      </c>
      <c r="C39" s="1573"/>
      <c r="D39" s="1573"/>
      <c r="E39" s="1597">
        <f>SUM(C62:D65)</f>
        <v>353319</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318" t="s">
        <v>371</v>
      </c>
      <c r="B44" s="2319"/>
      <c r="C44" s="1614">
        <f>SUM(C24:C43)</f>
        <v>0</v>
      </c>
      <c r="D44" s="1614">
        <f t="shared" ref="D44:K44" si="6">SUM(D24:D43)</f>
        <v>0</v>
      </c>
      <c r="E44" s="1614">
        <f t="shared" si="6"/>
        <v>744567</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312" t="s">
        <v>108</v>
      </c>
      <c r="B45" s="2313"/>
      <c r="C45" s="1615"/>
      <c r="D45" s="1615"/>
      <c r="E45" s="1615"/>
      <c r="F45" s="1615"/>
      <c r="G45" s="1615"/>
      <c r="H45" s="1615"/>
      <c r="I45" s="1615"/>
      <c r="J45" s="1615"/>
      <c r="K45" s="1615"/>
      <c r="L45" s="325"/>
    </row>
    <row r="46" spans="1:12" s="433" customFormat="1" ht="15.75" customHeight="1" x14ac:dyDescent="0.2">
      <c r="A46" s="2320" t="s">
        <v>109</v>
      </c>
      <c r="B46" s="2321"/>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27000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1768</v>
      </c>
      <c r="B52" s="432">
        <v>8160</v>
      </c>
      <c r="C52" s="1573"/>
      <c r="D52" s="1573"/>
      <c r="E52" s="1573"/>
      <c r="F52" s="1573"/>
      <c r="G52" s="1573"/>
      <c r="H52" s="1573"/>
      <c r="I52" s="1573"/>
      <c r="J52" s="1573"/>
      <c r="K52" s="1597">
        <f>D30</f>
        <v>0</v>
      </c>
      <c r="L52" s="453"/>
    </row>
    <row r="53" spans="1:12" s="433" customFormat="1" ht="26.25" x14ac:dyDescent="0.2">
      <c r="A53" s="1254" t="s">
        <v>1767</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350628</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13620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353319</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94" t="s">
        <v>437</v>
      </c>
      <c r="B76" s="2295"/>
      <c r="C76" s="1614">
        <f t="shared" ref="C76:K76" si="7">SUM(C47:C75)</f>
        <v>364248</v>
      </c>
      <c r="D76" s="1614">
        <f t="shared" si="7"/>
        <v>353319</v>
      </c>
      <c r="E76" s="1614">
        <f t="shared" si="7"/>
        <v>0</v>
      </c>
      <c r="F76" s="1614">
        <f t="shared" si="7"/>
        <v>0</v>
      </c>
      <c r="G76" s="1614">
        <f t="shared" si="7"/>
        <v>0</v>
      </c>
      <c r="H76" s="1614">
        <f t="shared" si="7"/>
        <v>0</v>
      </c>
      <c r="I76" s="1614">
        <f t="shared" si="7"/>
        <v>27000</v>
      </c>
      <c r="J76" s="1614">
        <f t="shared" si="7"/>
        <v>0</v>
      </c>
      <c r="K76" s="1614">
        <f t="shared" si="7"/>
        <v>0</v>
      </c>
      <c r="L76" s="453"/>
    </row>
    <row r="77" spans="1:12" ht="14.25" thickTop="1" thickBot="1" x14ac:dyDescent="0.25">
      <c r="A77" s="2296" t="s">
        <v>1166</v>
      </c>
      <c r="B77" s="2297"/>
      <c r="C77" s="1614">
        <f t="shared" ref="C77:K77" si="8">C44-C76</f>
        <v>-364248</v>
      </c>
      <c r="D77" s="1614">
        <f t="shared" si="8"/>
        <v>-353319</v>
      </c>
      <c r="E77" s="1614">
        <f t="shared" si="8"/>
        <v>744567</v>
      </c>
      <c r="F77" s="1614">
        <f t="shared" si="8"/>
        <v>0</v>
      </c>
      <c r="G77" s="1614">
        <f t="shared" si="8"/>
        <v>0</v>
      </c>
      <c r="H77" s="1614">
        <f t="shared" si="8"/>
        <v>0</v>
      </c>
      <c r="I77" s="1614">
        <f t="shared" si="8"/>
        <v>-27000</v>
      </c>
      <c r="J77" s="1614">
        <f t="shared" si="8"/>
        <v>0</v>
      </c>
      <c r="K77" s="1614">
        <f t="shared" si="8"/>
        <v>0</v>
      </c>
      <c r="L77" s="325"/>
    </row>
    <row r="78" spans="1:12" ht="21.75" customHeight="1" thickTop="1" thickBot="1" x14ac:dyDescent="0.25">
      <c r="A78" s="2300" t="s">
        <v>593</v>
      </c>
      <c r="B78" s="2301"/>
      <c r="C78" s="1619">
        <f t="shared" ref="C78:K78" si="9">C20+C77</f>
        <v>1337082</v>
      </c>
      <c r="D78" s="1619">
        <f t="shared" si="9"/>
        <v>-228081</v>
      </c>
      <c r="E78" s="1619">
        <f t="shared" si="9"/>
        <v>-6882</v>
      </c>
      <c r="F78" s="1619">
        <f t="shared" si="9"/>
        <v>422607</v>
      </c>
      <c r="G78" s="1619">
        <f t="shared" si="9"/>
        <v>110600</v>
      </c>
      <c r="H78" s="1619">
        <f t="shared" si="9"/>
        <v>-3437961</v>
      </c>
      <c r="I78" s="1619">
        <f t="shared" si="9"/>
        <v>128235</v>
      </c>
      <c r="J78" s="1619">
        <f t="shared" si="9"/>
        <v>65479</v>
      </c>
      <c r="K78" s="1619">
        <f t="shared" si="9"/>
        <v>22527</v>
      </c>
      <c r="L78" s="457"/>
    </row>
    <row r="79" spans="1:12" ht="13.5" thickTop="1" x14ac:dyDescent="0.2">
      <c r="A79" s="1833" t="str">
        <f>"Fund Balances - July 1, "&amp;'AFR20'!E2-1</f>
        <v>Fund Balances - July 1, 2019</v>
      </c>
      <c r="B79" s="458"/>
      <c r="C79" s="1574">
        <v>16923795</v>
      </c>
      <c r="D79" s="1620">
        <v>3716043</v>
      </c>
      <c r="E79" s="1620">
        <v>-229156</v>
      </c>
      <c r="F79" s="1620">
        <v>903355</v>
      </c>
      <c r="G79" s="1620">
        <v>1636524</v>
      </c>
      <c r="H79" s="1620">
        <v>4138696</v>
      </c>
      <c r="I79" s="1620">
        <v>154886</v>
      </c>
      <c r="J79" s="1620">
        <v>255466</v>
      </c>
      <c r="K79" s="1620">
        <v>81702</v>
      </c>
      <c r="L79" s="325"/>
    </row>
    <row r="80" spans="1:12" x14ac:dyDescent="0.2">
      <c r="A80" s="2306" t="s">
        <v>1766</v>
      </c>
      <c r="B80" s="2307"/>
      <c r="C80" s="1566"/>
      <c r="D80" s="1566"/>
      <c r="E80" s="1566"/>
      <c r="F80" s="1566"/>
      <c r="G80" s="1566"/>
      <c r="H80" s="1566"/>
      <c r="I80" s="1566"/>
      <c r="J80" s="1566"/>
      <c r="K80" s="1566"/>
      <c r="L80" s="325"/>
    </row>
    <row r="81" spans="1:12" ht="13.5" thickBot="1" x14ac:dyDescent="0.25">
      <c r="A81" s="2298" t="str">
        <f>"Fund Balances - June 30, "&amp;'AFR20'!E2</f>
        <v>Fund Balances - June 30, 2020</v>
      </c>
      <c r="B81" s="2299"/>
      <c r="C81" s="1585">
        <f>(SUM(C78:C80))</f>
        <v>18260877</v>
      </c>
      <c r="D81" s="1585">
        <f>SUM(D78:D80)</f>
        <v>3487962</v>
      </c>
      <c r="E81" s="1585">
        <f t="shared" ref="E81:K81" si="10">SUM(E78:E80)</f>
        <v>-236038</v>
      </c>
      <c r="F81" s="1585">
        <f t="shared" si="10"/>
        <v>1325962</v>
      </c>
      <c r="G81" s="1585">
        <f t="shared" si="10"/>
        <v>1747124</v>
      </c>
      <c r="H81" s="1585">
        <f t="shared" si="10"/>
        <v>700735</v>
      </c>
      <c r="I81" s="1585">
        <f t="shared" si="10"/>
        <v>283121</v>
      </c>
      <c r="J81" s="1585">
        <f t="shared" si="10"/>
        <v>320945</v>
      </c>
      <c r="K81" s="1585">
        <f t="shared" si="10"/>
        <v>104229</v>
      </c>
      <c r="L81" s="325"/>
    </row>
    <row r="82" spans="1:12" ht="0.75" customHeight="1" thickTop="1" thickBot="1" x14ac:dyDescent="0.25">
      <c r="A82" s="459" t="s">
        <v>340</v>
      </c>
      <c r="B82" s="460"/>
      <c r="C82" s="461">
        <f>(C81-C79)</f>
        <v>1337082</v>
      </c>
      <c r="D82" s="461">
        <f t="shared" ref="D82:K82" si="11">(D81-D79)</f>
        <v>-228081</v>
      </c>
      <c r="E82" s="461">
        <f t="shared" si="11"/>
        <v>-6882</v>
      </c>
      <c r="F82" s="461">
        <f t="shared" si="11"/>
        <v>422607</v>
      </c>
      <c r="G82" s="461">
        <f t="shared" si="11"/>
        <v>110600</v>
      </c>
      <c r="H82" s="461">
        <f t="shared" si="11"/>
        <v>-3437961</v>
      </c>
      <c r="I82" s="461">
        <f t="shared" si="11"/>
        <v>128235</v>
      </c>
      <c r="J82" s="461">
        <f t="shared" si="11"/>
        <v>65479</v>
      </c>
      <c r="K82" s="461">
        <f t="shared" si="11"/>
        <v>22527</v>
      </c>
    </row>
    <row r="83" spans="1:12" ht="14.25" hidden="1" thickTop="1" thickBot="1" x14ac:dyDescent="0.25">
      <c r="A83" s="462" t="s">
        <v>341</v>
      </c>
      <c r="B83" s="428"/>
      <c r="C83" s="463">
        <f>C82/C81</f>
        <v>7.3221127331398156E-2</v>
      </c>
      <c r="D83" s="463">
        <f t="shared" ref="D83:K83" si="12">D82/D81</f>
        <v>-6.5390907355068667E-2</v>
      </c>
      <c r="E83" s="463">
        <f t="shared" si="12"/>
        <v>2.9156322287089368E-2</v>
      </c>
      <c r="F83" s="463">
        <f t="shared" si="12"/>
        <v>0.31871727847404374</v>
      </c>
      <c r="G83" s="463">
        <f t="shared" si="12"/>
        <v>6.330403566089185E-2</v>
      </c>
      <c r="H83" s="463">
        <f t="shared" si="12"/>
        <v>-4.9062213247518676</v>
      </c>
      <c r="I83" s="463">
        <f t="shared" si="12"/>
        <v>0.45293355137909236</v>
      </c>
      <c r="J83" s="463">
        <f t="shared" si="12"/>
        <v>0.2040193802676471</v>
      </c>
      <c r="K83" s="463">
        <f t="shared" si="12"/>
        <v>0.21612986788705638</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1"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33"/>
  </sheetPr>
  <dimension ref="A1:L279"/>
  <sheetViews>
    <sheetView showGridLines="0" defaultGridColor="0" colorId="8" zoomScale="110" zoomScaleNormal="110" zoomScaleSheetLayoutView="75" workbookViewId="0">
      <pane ySplit="2" topLeftCell="A3" activePane="bottomLeft" state="frozen"/>
      <selection activeCell="C44" sqref="C44"/>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2" t="s">
        <v>1773</v>
      </c>
      <c r="B1" s="416"/>
      <c r="C1" s="417" t="s">
        <v>422</v>
      </c>
      <c r="D1" s="417" t="s">
        <v>423</v>
      </c>
      <c r="E1" s="417" t="s">
        <v>424</v>
      </c>
      <c r="F1" s="417" t="s">
        <v>425</v>
      </c>
      <c r="G1" s="417" t="s">
        <v>426</v>
      </c>
      <c r="H1" s="417" t="s">
        <v>427</v>
      </c>
      <c r="I1" s="417" t="s">
        <v>428</v>
      </c>
      <c r="J1" s="417" t="s">
        <v>429</v>
      </c>
      <c r="K1" s="417" t="s">
        <v>750</v>
      </c>
    </row>
    <row r="2" spans="1:12" ht="36" x14ac:dyDescent="0.2">
      <c r="A2" s="2303"/>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19167617</v>
      </c>
      <c r="D5" s="1577">
        <v>2761162</v>
      </c>
      <c r="E5" s="1565">
        <v>1322475</v>
      </c>
      <c r="F5" s="1621">
        <v>1102939</v>
      </c>
      <c r="G5" s="1565">
        <v>656254</v>
      </c>
      <c r="H5" s="1565">
        <v>0</v>
      </c>
      <c r="I5" s="1565">
        <v>152822</v>
      </c>
      <c r="J5" s="1566">
        <v>170260</v>
      </c>
      <c r="K5" s="1565">
        <v>32221</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1394740</v>
      </c>
      <c r="D7" s="1565">
        <v>0</v>
      </c>
      <c r="E7" s="1567"/>
      <c r="F7" s="1566">
        <v>0</v>
      </c>
      <c r="G7" s="1566">
        <v>0</v>
      </c>
      <c r="H7" s="1566">
        <v>0</v>
      </c>
      <c r="I7" s="1567"/>
      <c r="J7" s="1567"/>
      <c r="K7" s="1567"/>
    </row>
    <row r="8" spans="1:12" x14ac:dyDescent="0.2">
      <c r="A8" s="427" t="s">
        <v>410</v>
      </c>
      <c r="B8" s="429">
        <v>1150</v>
      </c>
      <c r="C8" s="1572"/>
      <c r="D8" s="1572"/>
      <c r="E8" s="1573"/>
      <c r="F8" s="1573"/>
      <c r="G8" s="1577">
        <v>571187</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32289</v>
      </c>
      <c r="H11" s="1565">
        <v>0</v>
      </c>
      <c r="I11" s="1565">
        <v>0</v>
      </c>
      <c r="J11" s="1566">
        <v>0</v>
      </c>
      <c r="K11" s="1565">
        <v>0</v>
      </c>
      <c r="L11" s="473"/>
    </row>
    <row r="12" spans="1:12" ht="12.75" customHeight="1" thickBot="1" x14ac:dyDescent="0.25">
      <c r="A12" s="1397" t="s">
        <v>29</v>
      </c>
      <c r="B12" s="1398"/>
      <c r="C12" s="1623">
        <f t="shared" ref="C12:K12" si="0">SUM(C5:C11)</f>
        <v>20562357</v>
      </c>
      <c r="D12" s="1623">
        <f t="shared" si="0"/>
        <v>2761162</v>
      </c>
      <c r="E12" s="1623">
        <f t="shared" si="0"/>
        <v>1322475</v>
      </c>
      <c r="F12" s="1623">
        <f t="shared" si="0"/>
        <v>1102939</v>
      </c>
      <c r="G12" s="1623">
        <f t="shared" si="0"/>
        <v>1259730</v>
      </c>
      <c r="H12" s="1623">
        <f t="shared" si="0"/>
        <v>0</v>
      </c>
      <c r="I12" s="1623">
        <f t="shared" si="0"/>
        <v>152822</v>
      </c>
      <c r="J12" s="1623">
        <f t="shared" si="0"/>
        <v>170260</v>
      </c>
      <c r="K12" s="1585">
        <f t="shared" si="0"/>
        <v>32221</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0</v>
      </c>
      <c r="D16" s="1565">
        <v>172993</v>
      </c>
      <c r="E16" s="1565">
        <v>0</v>
      </c>
      <c r="F16" s="1565">
        <v>0</v>
      </c>
      <c r="G16" s="1565">
        <v>61796</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0</v>
      </c>
      <c r="D18" s="1625">
        <f t="shared" ref="D18:K18" si="1">SUM(D14:D17)</f>
        <v>172993</v>
      </c>
      <c r="E18" s="1625">
        <f t="shared" si="1"/>
        <v>0</v>
      </c>
      <c r="F18" s="1625">
        <f t="shared" si="1"/>
        <v>0</v>
      </c>
      <c r="G18" s="1625">
        <f t="shared" si="1"/>
        <v>61796</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10740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10740</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320853</v>
      </c>
      <c r="D65" s="1565">
        <v>43855</v>
      </c>
      <c r="E65" s="1565">
        <v>21067</v>
      </c>
      <c r="F65" s="1566">
        <v>17492</v>
      </c>
      <c r="G65" s="1565">
        <v>21887</v>
      </c>
      <c r="H65" s="1565">
        <v>2</v>
      </c>
      <c r="I65" s="1565">
        <v>2413</v>
      </c>
      <c r="J65" s="1566">
        <v>2714</v>
      </c>
      <c r="K65" s="1565">
        <v>516</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320853</v>
      </c>
      <c r="D67" s="1585">
        <f t="shared" ref="D67:K67" si="2">SUM(D65:D66)</f>
        <v>43855</v>
      </c>
      <c r="E67" s="1585">
        <f t="shared" si="2"/>
        <v>21067</v>
      </c>
      <c r="F67" s="1585">
        <f t="shared" si="2"/>
        <v>17492</v>
      </c>
      <c r="G67" s="1585">
        <f t="shared" si="2"/>
        <v>21887</v>
      </c>
      <c r="H67" s="1585">
        <f t="shared" si="2"/>
        <v>2</v>
      </c>
      <c r="I67" s="1585">
        <f t="shared" si="2"/>
        <v>2413</v>
      </c>
      <c r="J67" s="1585">
        <f t="shared" si="2"/>
        <v>2714</v>
      </c>
      <c r="K67" s="1585">
        <f t="shared" si="2"/>
        <v>516</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281994</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12</v>
      </c>
      <c r="D72" s="1567"/>
      <c r="E72" s="1567"/>
      <c r="F72" s="1567"/>
      <c r="G72" s="1567"/>
      <c r="H72" s="1567"/>
      <c r="I72" s="1567"/>
      <c r="J72" s="1567"/>
      <c r="K72" s="1567"/>
    </row>
    <row r="73" spans="1:11" ht="12.75" customHeight="1" x14ac:dyDescent="0.2">
      <c r="A73" s="427" t="s">
        <v>990</v>
      </c>
      <c r="B73" s="429">
        <v>1620</v>
      </c>
      <c r="C73" s="1622">
        <v>2993</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284999</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244299</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2498</v>
      </c>
      <c r="D81" s="1565">
        <v>0</v>
      </c>
      <c r="E81" s="1567"/>
      <c r="F81" s="1567"/>
      <c r="G81" s="1567"/>
      <c r="H81" s="1567"/>
      <c r="I81" s="1567"/>
      <c r="J81" s="1567"/>
      <c r="K81" s="1567"/>
    </row>
    <row r="82" spans="1:11" ht="12.75" customHeight="1" thickBot="1" x14ac:dyDescent="0.25">
      <c r="A82" s="1399" t="s">
        <v>239</v>
      </c>
      <c r="B82" s="1400"/>
      <c r="C82" s="1623">
        <f>SUM(C77:C81)</f>
        <v>246797</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149036</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149036</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1910</v>
      </c>
      <c r="D95" s="1622">
        <v>8701</v>
      </c>
      <c r="E95" s="1607"/>
      <c r="F95" s="1607"/>
      <c r="G95" s="1607"/>
      <c r="H95" s="1607"/>
      <c r="I95" s="1607"/>
      <c r="J95" s="1607"/>
      <c r="K95" s="1607"/>
    </row>
    <row r="96" spans="1:11" ht="12.75" customHeight="1" x14ac:dyDescent="0.2">
      <c r="A96" s="427" t="s">
        <v>388</v>
      </c>
      <c r="B96" s="429">
        <v>1920</v>
      </c>
      <c r="C96" s="1622">
        <v>250</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149282</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50400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19910</v>
      </c>
      <c r="D107" s="1565">
        <v>0</v>
      </c>
      <c r="E107" s="1565">
        <v>0</v>
      </c>
      <c r="F107" s="1565">
        <v>74</v>
      </c>
      <c r="G107" s="1565">
        <v>0</v>
      </c>
      <c r="H107" s="1565">
        <v>0</v>
      </c>
      <c r="I107" s="1565">
        <v>0</v>
      </c>
      <c r="J107" s="1566">
        <v>0</v>
      </c>
      <c r="K107" s="1565">
        <v>0</v>
      </c>
    </row>
    <row r="108" spans="1:12" ht="12.75" customHeight="1" thickBot="1" x14ac:dyDescent="0.25">
      <c r="A108" s="1399" t="s">
        <v>484</v>
      </c>
      <c r="B108" s="1401"/>
      <c r="C108" s="1623">
        <f>SUM(C95:C107)</f>
        <v>72470</v>
      </c>
      <c r="D108" s="1623">
        <f t="shared" ref="D108:K108" si="3">SUM(D95:D107)</f>
        <v>157983</v>
      </c>
      <c r="E108" s="1623">
        <f t="shared" si="3"/>
        <v>0</v>
      </c>
      <c r="F108" s="1623">
        <f t="shared" si="3"/>
        <v>74</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21647252</v>
      </c>
      <c r="D109" s="1631">
        <f t="shared" si="4"/>
        <v>3135993</v>
      </c>
      <c r="E109" s="1631">
        <f t="shared" si="4"/>
        <v>1343542</v>
      </c>
      <c r="F109" s="1631">
        <f t="shared" si="4"/>
        <v>1120505</v>
      </c>
      <c r="G109" s="1631">
        <f t="shared" si="4"/>
        <v>1343413</v>
      </c>
      <c r="H109" s="1631">
        <f t="shared" si="4"/>
        <v>2</v>
      </c>
      <c r="I109" s="1631">
        <f t="shared" si="4"/>
        <v>155235</v>
      </c>
      <c r="J109" s="1631">
        <f t="shared" si="4"/>
        <v>172974</v>
      </c>
      <c r="K109" s="1619">
        <f t="shared" si="4"/>
        <v>32737</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6197537</v>
      </c>
      <c r="D117" s="1577">
        <v>0</v>
      </c>
      <c r="E117" s="1565">
        <v>0</v>
      </c>
      <c r="F117" s="1577">
        <v>0</v>
      </c>
      <c r="G117" s="1577">
        <v>0</v>
      </c>
      <c r="H117" s="1565">
        <v>0</v>
      </c>
      <c r="I117" s="1567"/>
      <c r="J117" s="1566">
        <v>0</v>
      </c>
      <c r="K117" s="1565">
        <v>0</v>
      </c>
    </row>
    <row r="118" spans="1:11" ht="12.75" customHeight="1" x14ac:dyDescent="0.2">
      <c r="A118" s="427" t="s">
        <v>1770</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1771</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1889</v>
      </c>
      <c r="B120" s="478">
        <v>3030</v>
      </c>
      <c r="C120" s="1622">
        <v>0</v>
      </c>
      <c r="D120" s="1565">
        <v>0</v>
      </c>
      <c r="E120" s="1565">
        <v>0</v>
      </c>
      <c r="F120" s="1565">
        <v>0</v>
      </c>
      <c r="G120" s="1565">
        <v>0</v>
      </c>
      <c r="H120" s="1565">
        <v>0</v>
      </c>
      <c r="I120" s="1567"/>
      <c r="J120" s="1566">
        <v>0</v>
      </c>
      <c r="K120" s="1565">
        <v>0</v>
      </c>
    </row>
    <row r="121" spans="1:11" x14ac:dyDescent="0.2">
      <c r="A121" s="1259" t="s">
        <v>1772</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6197537</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324348</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28457</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352805</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2855</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668918</v>
      </c>
      <c r="G152" s="1566">
        <v>0</v>
      </c>
      <c r="H152" s="1567"/>
      <c r="I152" s="1567"/>
      <c r="J152" s="1567"/>
      <c r="K152" s="1567"/>
    </row>
    <row r="153" spans="1:11" ht="12.75" customHeight="1" x14ac:dyDescent="0.2">
      <c r="A153" s="427" t="s">
        <v>1047</v>
      </c>
      <c r="B153" s="478">
        <v>3510</v>
      </c>
      <c r="C153" s="1622">
        <v>0</v>
      </c>
      <c r="D153" s="1565">
        <v>0</v>
      </c>
      <c r="E153" s="1630"/>
      <c r="F153" s="1565">
        <v>855598</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1524516</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451655</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2001</v>
      </c>
      <c r="D168" s="1645">
        <v>50000</v>
      </c>
      <c r="E168" s="1645">
        <v>0</v>
      </c>
      <c r="F168" s="1645">
        <v>0</v>
      </c>
      <c r="G168" s="1646">
        <v>0</v>
      </c>
      <c r="H168" s="1647">
        <v>0</v>
      </c>
      <c r="I168" s="1646">
        <v>0</v>
      </c>
      <c r="J168" s="1646">
        <v>0</v>
      </c>
      <c r="K168" s="1647">
        <v>0</v>
      </c>
    </row>
    <row r="169" spans="1:11" ht="12.75" customHeight="1" thickTop="1" thickBot="1" x14ac:dyDescent="0.25">
      <c r="A169" s="2322" t="s">
        <v>395</v>
      </c>
      <c r="B169" s="2323"/>
      <c r="C169" s="1648">
        <f t="shared" ref="C169:K169" si="6">SUM(C132,C141,C145,C146:C150,C155,C156:C167,C168)</f>
        <v>809316</v>
      </c>
      <c r="D169" s="1648">
        <f t="shared" si="6"/>
        <v>50000</v>
      </c>
      <c r="E169" s="1648">
        <f t="shared" si="6"/>
        <v>0</v>
      </c>
      <c r="F169" s="1648">
        <f t="shared" si="6"/>
        <v>1524516</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7006853</v>
      </c>
      <c r="D170" s="1631">
        <f t="shared" si="7"/>
        <v>50000</v>
      </c>
      <c r="E170" s="1631">
        <f t="shared" si="7"/>
        <v>0</v>
      </c>
      <c r="F170" s="1631">
        <f t="shared" si="7"/>
        <v>1524516</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324" t="s">
        <v>1472</v>
      </c>
      <c r="B172" s="2325"/>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328" t="s">
        <v>1643</v>
      </c>
      <c r="B175" s="2329"/>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332" t="s">
        <v>1642</v>
      </c>
      <c r="B176" s="2333"/>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330" t="s">
        <v>779</v>
      </c>
      <c r="B181" s="2331"/>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326" t="s">
        <v>1774</v>
      </c>
      <c r="B182" s="2327"/>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245485</v>
      </c>
      <c r="D191" s="1567"/>
      <c r="E191" s="1630"/>
      <c r="F191" s="1567"/>
      <c r="G191" s="1654">
        <v>0</v>
      </c>
      <c r="H191" s="1567"/>
      <c r="I191" s="1567"/>
      <c r="J191" s="1567"/>
      <c r="K191" s="1567"/>
    </row>
    <row r="192" spans="1:11" ht="12.75" customHeight="1" x14ac:dyDescent="0.2">
      <c r="A192" s="427" t="s">
        <v>1037</v>
      </c>
      <c r="B192" s="429">
        <v>4215</v>
      </c>
      <c r="C192" s="1622">
        <v>2003</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25293</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272781</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170275</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170275</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25737</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25737</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28285</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459595</v>
      </c>
      <c r="D213" s="1565">
        <v>0</v>
      </c>
      <c r="E213" s="1567"/>
      <c r="F213" s="1565">
        <v>0</v>
      </c>
      <c r="G213" s="1565">
        <v>0</v>
      </c>
      <c r="H213" s="1567"/>
      <c r="I213" s="1567"/>
      <c r="J213" s="1567"/>
      <c r="K213" s="1567"/>
    </row>
    <row r="214" spans="1:11" ht="12.75" customHeight="1" x14ac:dyDescent="0.2">
      <c r="A214" s="427" t="s">
        <v>1044</v>
      </c>
      <c r="B214" s="429">
        <v>4625</v>
      </c>
      <c r="C214" s="1622">
        <v>11083</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498963</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71656</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1890</v>
      </c>
      <c r="B261" s="429">
        <v>4981</v>
      </c>
      <c r="C261" s="1640">
        <v>0</v>
      </c>
      <c r="D261" s="1641">
        <v>0</v>
      </c>
      <c r="E261" s="1567"/>
      <c r="F261" s="1641">
        <v>0</v>
      </c>
      <c r="G261" s="1641">
        <v>0</v>
      </c>
      <c r="H261" s="1567"/>
      <c r="I261" s="1567"/>
      <c r="J261" s="1567"/>
      <c r="K261" s="1567"/>
    </row>
    <row r="262" spans="1:11" ht="12.75" customHeight="1" thickTop="1" thickBot="1" x14ac:dyDescent="0.25">
      <c r="A262" s="1533" t="s">
        <v>1891</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60006</v>
      </c>
      <c r="D263" s="1641">
        <v>0</v>
      </c>
      <c r="E263" s="1567"/>
      <c r="F263" s="1641">
        <v>0</v>
      </c>
      <c r="G263" s="1641">
        <v>0</v>
      </c>
      <c r="H263" s="1567"/>
      <c r="I263" s="1567"/>
      <c r="J263" s="1567"/>
      <c r="K263" s="1567"/>
    </row>
    <row r="264" spans="1:11" ht="12.75" customHeight="1" thickTop="1" thickBot="1" x14ac:dyDescent="0.25">
      <c r="A264" s="427" t="s">
        <v>374</v>
      </c>
      <c r="B264" s="429">
        <v>4992</v>
      </c>
      <c r="C264" s="1640">
        <v>161047</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1260465</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1260465</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29914570</v>
      </c>
      <c r="D268" s="1631">
        <f t="shared" si="12"/>
        <v>3185993</v>
      </c>
      <c r="E268" s="1631">
        <f t="shared" si="12"/>
        <v>1343542</v>
      </c>
      <c r="F268" s="1631">
        <f t="shared" si="12"/>
        <v>2645021</v>
      </c>
      <c r="G268" s="1631">
        <f t="shared" si="12"/>
        <v>1343413</v>
      </c>
      <c r="H268" s="1631">
        <f t="shared" si="12"/>
        <v>2</v>
      </c>
      <c r="I268" s="1631">
        <f t="shared" si="12"/>
        <v>155235</v>
      </c>
      <c r="J268" s="1631">
        <f t="shared" si="12"/>
        <v>172974</v>
      </c>
      <c r="K268" s="1619">
        <f t="shared" si="12"/>
        <v>32737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21"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33"/>
  </sheetPr>
  <dimension ref="A1:N368"/>
  <sheetViews>
    <sheetView showGridLines="0" defaultGridColor="0" colorId="8" zoomScaleNormal="100" workbookViewId="0">
      <pane ySplit="2" topLeftCell="A270" activePane="bottomLeft" state="frozen"/>
      <selection activeCell="C44" sqref="C44"/>
      <selection pane="bottomLeft" activeCell="F141" sqref="F1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2"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36"/>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342" t="s">
        <v>294</v>
      </c>
      <c r="B3" s="2343"/>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11342994</v>
      </c>
      <c r="D5" s="1565">
        <v>1313279</v>
      </c>
      <c r="E5" s="1565">
        <v>247567</v>
      </c>
      <c r="F5" s="1565">
        <v>519514</v>
      </c>
      <c r="G5" s="1565">
        <v>49849</v>
      </c>
      <c r="H5" s="1565">
        <v>4192</v>
      </c>
      <c r="I5" s="1566">
        <v>154627</v>
      </c>
      <c r="J5" s="1566">
        <v>0</v>
      </c>
      <c r="K5" s="1662">
        <f>SUM(C5:J5)</f>
        <v>13632022</v>
      </c>
      <c r="L5" s="2106">
        <v>15353796</v>
      </c>
    </row>
    <row r="6" spans="1:14" x14ac:dyDescent="0.2">
      <c r="A6" s="1267" t="s">
        <v>1413</v>
      </c>
      <c r="B6" s="503" t="s">
        <v>1411</v>
      </c>
      <c r="C6" s="1573"/>
      <c r="D6" s="1573"/>
      <c r="E6" s="1565">
        <v>0</v>
      </c>
      <c r="F6" s="1573"/>
      <c r="G6" s="1573"/>
      <c r="H6" s="1573"/>
      <c r="I6" s="1573"/>
      <c r="J6" s="1573"/>
      <c r="K6" s="1662">
        <f>SUM(C6,E6)</f>
        <v>0</v>
      </c>
      <c r="L6" s="2106">
        <v>10500</v>
      </c>
    </row>
    <row r="7" spans="1:14" x14ac:dyDescent="0.2">
      <c r="A7" s="1267" t="s">
        <v>162</v>
      </c>
      <c r="B7" s="503" t="s">
        <v>960</v>
      </c>
      <c r="C7" s="1566">
        <v>198664</v>
      </c>
      <c r="D7" s="1566">
        <v>28969</v>
      </c>
      <c r="E7" s="1566">
        <v>1561</v>
      </c>
      <c r="F7" s="1566">
        <v>13911</v>
      </c>
      <c r="G7" s="1566">
        <v>0</v>
      </c>
      <c r="H7" s="1566">
        <v>0</v>
      </c>
      <c r="I7" s="1566">
        <v>0</v>
      </c>
      <c r="J7" s="1566">
        <v>0</v>
      </c>
      <c r="K7" s="1662">
        <f t="shared" ref="K7:K32" si="0">SUM(C7:J7)</f>
        <v>243105</v>
      </c>
      <c r="L7" s="2106">
        <v>258117</v>
      </c>
    </row>
    <row r="8" spans="1:14" x14ac:dyDescent="0.2">
      <c r="A8" s="1267" t="s">
        <v>163</v>
      </c>
      <c r="B8" s="503">
        <v>1200</v>
      </c>
      <c r="C8" s="1565">
        <v>2477578</v>
      </c>
      <c r="D8" s="1565">
        <v>396527</v>
      </c>
      <c r="E8" s="1565">
        <v>178495</v>
      </c>
      <c r="F8" s="1565">
        <v>95424</v>
      </c>
      <c r="G8" s="1565">
        <v>7000</v>
      </c>
      <c r="H8" s="1565">
        <v>0</v>
      </c>
      <c r="I8" s="1566">
        <v>8058</v>
      </c>
      <c r="J8" s="1566">
        <v>0</v>
      </c>
      <c r="K8" s="1662">
        <f t="shared" si="0"/>
        <v>3163082</v>
      </c>
      <c r="L8" s="2106">
        <v>3383865</v>
      </c>
    </row>
    <row r="9" spans="1:14" x14ac:dyDescent="0.2">
      <c r="A9" s="1267" t="s">
        <v>715</v>
      </c>
      <c r="B9" s="503" t="s">
        <v>961</v>
      </c>
      <c r="C9" s="1566">
        <v>327059</v>
      </c>
      <c r="D9" s="1566">
        <v>65661</v>
      </c>
      <c r="E9" s="1566">
        <v>0</v>
      </c>
      <c r="F9" s="1566">
        <v>367</v>
      </c>
      <c r="G9" s="1566">
        <v>0</v>
      </c>
      <c r="H9" s="1566">
        <v>0</v>
      </c>
      <c r="I9" s="1566">
        <v>5230</v>
      </c>
      <c r="J9" s="1566">
        <v>0</v>
      </c>
      <c r="K9" s="1662">
        <f t="shared" si="0"/>
        <v>398317</v>
      </c>
      <c r="L9" s="2106">
        <v>203534</v>
      </c>
    </row>
    <row r="10" spans="1:14" x14ac:dyDescent="0.2">
      <c r="A10" s="1267" t="s">
        <v>716</v>
      </c>
      <c r="B10" s="503">
        <v>1250</v>
      </c>
      <c r="C10" s="1565">
        <v>101133</v>
      </c>
      <c r="D10" s="1565">
        <v>19759</v>
      </c>
      <c r="E10" s="1565">
        <v>0</v>
      </c>
      <c r="F10" s="1565">
        <v>2350</v>
      </c>
      <c r="G10" s="1565">
        <v>0</v>
      </c>
      <c r="H10" s="1565">
        <v>0</v>
      </c>
      <c r="I10" s="1566">
        <v>3949</v>
      </c>
      <c r="J10" s="1566">
        <v>0</v>
      </c>
      <c r="K10" s="1662">
        <f t="shared" si="0"/>
        <v>127191</v>
      </c>
      <c r="L10" s="2106">
        <v>218111</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2106">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2106">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2106">
        <v>0</v>
      </c>
    </row>
    <row r="14" spans="1:14" x14ac:dyDescent="0.2">
      <c r="A14" s="1267" t="s">
        <v>956</v>
      </c>
      <c r="B14" s="503">
        <v>1500</v>
      </c>
      <c r="C14" s="1565">
        <v>12167</v>
      </c>
      <c r="D14" s="1565">
        <v>1163</v>
      </c>
      <c r="E14" s="1565">
        <v>9326</v>
      </c>
      <c r="F14" s="1565">
        <v>273</v>
      </c>
      <c r="G14" s="1565">
        <v>0</v>
      </c>
      <c r="H14" s="1565">
        <v>0</v>
      </c>
      <c r="I14" s="1566">
        <v>0</v>
      </c>
      <c r="J14" s="1566">
        <v>0</v>
      </c>
      <c r="K14" s="1662">
        <f t="shared" si="0"/>
        <v>22929</v>
      </c>
      <c r="L14" s="2106">
        <v>52242</v>
      </c>
    </row>
    <row r="15" spans="1:14" x14ac:dyDescent="0.2">
      <c r="A15" s="1267" t="s">
        <v>957</v>
      </c>
      <c r="B15" s="503">
        <v>1600</v>
      </c>
      <c r="C15" s="1565">
        <v>26868</v>
      </c>
      <c r="D15" s="1565">
        <v>2620</v>
      </c>
      <c r="E15" s="1565">
        <v>0</v>
      </c>
      <c r="F15" s="1565">
        <v>0</v>
      </c>
      <c r="G15" s="1565">
        <v>0</v>
      </c>
      <c r="H15" s="1565">
        <v>0</v>
      </c>
      <c r="I15" s="1566">
        <v>0</v>
      </c>
      <c r="J15" s="1566">
        <v>0</v>
      </c>
      <c r="K15" s="1662">
        <f t="shared" si="0"/>
        <v>29488</v>
      </c>
      <c r="L15" s="2106">
        <v>57050</v>
      </c>
    </row>
    <row r="16" spans="1:14" x14ac:dyDescent="0.2">
      <c r="A16" s="1267" t="s">
        <v>979</v>
      </c>
      <c r="B16" s="503" t="s">
        <v>421</v>
      </c>
      <c r="C16" s="1565">
        <v>203851</v>
      </c>
      <c r="D16" s="1565">
        <v>17045</v>
      </c>
      <c r="E16" s="1565">
        <v>0</v>
      </c>
      <c r="F16" s="1565">
        <v>1540</v>
      </c>
      <c r="G16" s="1565">
        <v>0</v>
      </c>
      <c r="H16" s="1565">
        <v>0</v>
      </c>
      <c r="I16" s="1566">
        <v>0</v>
      </c>
      <c r="J16" s="1566">
        <v>0</v>
      </c>
      <c r="K16" s="1662">
        <f t="shared" si="0"/>
        <v>222436</v>
      </c>
      <c r="L16" s="2106">
        <v>196826</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2106">
        <v>0</v>
      </c>
    </row>
    <row r="18" spans="1:12" x14ac:dyDescent="0.2">
      <c r="A18" s="1267" t="s">
        <v>1077</v>
      </c>
      <c r="B18" s="503">
        <v>1800</v>
      </c>
      <c r="C18" s="1565">
        <v>0</v>
      </c>
      <c r="D18" s="1565">
        <v>0</v>
      </c>
      <c r="E18" s="1565">
        <v>20</v>
      </c>
      <c r="F18" s="1565">
        <v>803</v>
      </c>
      <c r="G18" s="1565">
        <v>0</v>
      </c>
      <c r="H18" s="1565">
        <v>0</v>
      </c>
      <c r="I18" s="1566">
        <v>0</v>
      </c>
      <c r="J18" s="1566">
        <v>0</v>
      </c>
      <c r="K18" s="1662">
        <f t="shared" si="0"/>
        <v>823</v>
      </c>
      <c r="L18" s="2106">
        <v>11000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2106">
        <v>0</v>
      </c>
    </row>
    <row r="20" spans="1:12" x14ac:dyDescent="0.2">
      <c r="A20" s="1268" t="s">
        <v>732</v>
      </c>
      <c r="B20" s="494" t="s">
        <v>719</v>
      </c>
      <c r="C20" s="1573"/>
      <c r="D20" s="1573"/>
      <c r="E20" s="1573"/>
      <c r="F20" s="1573"/>
      <c r="G20" s="1573"/>
      <c r="H20" s="1571">
        <v>0</v>
      </c>
      <c r="I20" s="1663"/>
      <c r="J20" s="1572"/>
      <c r="K20" s="1662">
        <f t="shared" si="0"/>
        <v>0</v>
      </c>
      <c r="L20" s="2107">
        <v>0</v>
      </c>
    </row>
    <row r="21" spans="1:12" x14ac:dyDescent="0.2">
      <c r="A21" s="1268" t="s">
        <v>733</v>
      </c>
      <c r="B21" s="494" t="s">
        <v>720</v>
      </c>
      <c r="C21" s="1573"/>
      <c r="D21" s="1573"/>
      <c r="E21" s="1573"/>
      <c r="F21" s="1573"/>
      <c r="G21" s="1573"/>
      <c r="H21" s="1571">
        <v>690</v>
      </c>
      <c r="I21" s="1663"/>
      <c r="J21" s="1573"/>
      <c r="K21" s="1662">
        <f t="shared" si="0"/>
        <v>690</v>
      </c>
      <c r="L21" s="2107">
        <v>15000</v>
      </c>
    </row>
    <row r="22" spans="1:12" x14ac:dyDescent="0.2">
      <c r="A22" s="1268" t="s">
        <v>734</v>
      </c>
      <c r="B22" s="494" t="s">
        <v>721</v>
      </c>
      <c r="C22" s="1573"/>
      <c r="D22" s="1573"/>
      <c r="E22" s="1573"/>
      <c r="F22" s="1573"/>
      <c r="G22" s="1573"/>
      <c r="H22" s="1571">
        <v>734387</v>
      </c>
      <c r="I22" s="1663"/>
      <c r="J22" s="1573"/>
      <c r="K22" s="1662">
        <f t="shared" si="0"/>
        <v>734387</v>
      </c>
      <c r="L22" s="2107">
        <v>600000</v>
      </c>
    </row>
    <row r="23" spans="1:12" x14ac:dyDescent="0.2">
      <c r="A23" s="1268" t="s">
        <v>735</v>
      </c>
      <c r="B23" s="494" t="s">
        <v>722</v>
      </c>
      <c r="C23" s="1573"/>
      <c r="D23" s="1573"/>
      <c r="E23" s="1573"/>
      <c r="F23" s="1573"/>
      <c r="G23" s="1573"/>
      <c r="H23" s="1571">
        <v>0</v>
      </c>
      <c r="I23" s="1663"/>
      <c r="J23" s="1573"/>
      <c r="K23" s="1662">
        <f t="shared" si="0"/>
        <v>0</v>
      </c>
      <c r="L23" s="2107">
        <v>0</v>
      </c>
    </row>
    <row r="24" spans="1:12" ht="12.75" customHeight="1" x14ac:dyDescent="0.2">
      <c r="A24" s="1268" t="s">
        <v>736</v>
      </c>
      <c r="B24" s="494" t="s">
        <v>723</v>
      </c>
      <c r="C24" s="1573"/>
      <c r="D24" s="1573"/>
      <c r="E24" s="1573"/>
      <c r="F24" s="1573"/>
      <c r="G24" s="1573"/>
      <c r="H24" s="1571">
        <v>0</v>
      </c>
      <c r="I24" s="1663"/>
      <c r="J24" s="1573"/>
      <c r="K24" s="1662">
        <f t="shared" si="0"/>
        <v>0</v>
      </c>
      <c r="L24" s="2107">
        <v>0</v>
      </c>
    </row>
    <row r="25" spans="1:12" ht="12.75" customHeight="1" x14ac:dyDescent="0.2">
      <c r="A25" s="1268" t="s">
        <v>796</v>
      </c>
      <c r="B25" s="494" t="s">
        <v>724</v>
      </c>
      <c r="C25" s="1573"/>
      <c r="D25" s="1573"/>
      <c r="E25" s="1573"/>
      <c r="F25" s="1573"/>
      <c r="G25" s="1573"/>
      <c r="H25" s="1571">
        <v>0</v>
      </c>
      <c r="I25" s="1663"/>
      <c r="J25" s="1573"/>
      <c r="K25" s="1662">
        <f t="shared" si="0"/>
        <v>0</v>
      </c>
      <c r="L25" s="2107">
        <v>0</v>
      </c>
    </row>
    <row r="26" spans="1:12" x14ac:dyDescent="0.2">
      <c r="A26" s="1268" t="s">
        <v>618</v>
      </c>
      <c r="B26" s="494" t="s">
        <v>725</v>
      </c>
      <c r="C26" s="1573"/>
      <c r="D26" s="1573"/>
      <c r="E26" s="1573"/>
      <c r="F26" s="1573"/>
      <c r="G26" s="1573"/>
      <c r="H26" s="1571">
        <v>0</v>
      </c>
      <c r="I26" s="1663"/>
      <c r="J26" s="1573"/>
      <c r="K26" s="1662">
        <f t="shared" si="0"/>
        <v>0</v>
      </c>
      <c r="L26" s="2107">
        <v>0</v>
      </c>
    </row>
    <row r="27" spans="1:12" x14ac:dyDescent="0.2">
      <c r="A27" s="1268" t="s">
        <v>619</v>
      </c>
      <c r="B27" s="494" t="s">
        <v>726</v>
      </c>
      <c r="C27" s="1573"/>
      <c r="D27" s="1573"/>
      <c r="E27" s="1573"/>
      <c r="F27" s="1573"/>
      <c r="G27" s="1573"/>
      <c r="H27" s="1571">
        <v>0</v>
      </c>
      <c r="I27" s="1663"/>
      <c r="J27" s="1573"/>
      <c r="K27" s="1662">
        <f t="shared" si="0"/>
        <v>0</v>
      </c>
      <c r="L27" s="2107">
        <v>0</v>
      </c>
    </row>
    <row r="28" spans="1:12" x14ac:dyDescent="0.2">
      <c r="A28" s="1268" t="s">
        <v>149</v>
      </c>
      <c r="B28" s="494" t="s">
        <v>727</v>
      </c>
      <c r="C28" s="1573"/>
      <c r="D28" s="1573"/>
      <c r="E28" s="1573"/>
      <c r="F28" s="1573"/>
      <c r="G28" s="1573"/>
      <c r="H28" s="1571">
        <v>0</v>
      </c>
      <c r="I28" s="1663"/>
      <c r="J28" s="1573"/>
      <c r="K28" s="1662">
        <f t="shared" si="0"/>
        <v>0</v>
      </c>
      <c r="L28" s="2107">
        <v>0</v>
      </c>
    </row>
    <row r="29" spans="1:12" x14ac:dyDescent="0.2">
      <c r="A29" s="1268" t="s">
        <v>150</v>
      </c>
      <c r="B29" s="494" t="s">
        <v>728</v>
      </c>
      <c r="C29" s="1573"/>
      <c r="D29" s="1573"/>
      <c r="E29" s="1573"/>
      <c r="F29" s="1573"/>
      <c r="G29" s="1573"/>
      <c r="H29" s="1571">
        <v>0</v>
      </c>
      <c r="I29" s="1663"/>
      <c r="J29" s="1573"/>
      <c r="K29" s="1662">
        <f t="shared" si="0"/>
        <v>0</v>
      </c>
      <c r="L29" s="2107">
        <v>0</v>
      </c>
    </row>
    <row r="30" spans="1:12" x14ac:dyDescent="0.2">
      <c r="A30" s="1268" t="s">
        <v>151</v>
      </c>
      <c r="B30" s="494" t="s">
        <v>729</v>
      </c>
      <c r="C30" s="1573"/>
      <c r="D30" s="1573"/>
      <c r="E30" s="1573"/>
      <c r="F30" s="1573"/>
      <c r="G30" s="1573"/>
      <c r="H30" s="1571">
        <v>0</v>
      </c>
      <c r="I30" s="1663"/>
      <c r="J30" s="1573"/>
      <c r="K30" s="1662">
        <f t="shared" si="0"/>
        <v>0</v>
      </c>
      <c r="L30" s="2107">
        <v>0</v>
      </c>
    </row>
    <row r="31" spans="1:12" x14ac:dyDescent="0.2">
      <c r="A31" s="1268" t="s">
        <v>152</v>
      </c>
      <c r="B31" s="494" t="s">
        <v>730</v>
      </c>
      <c r="C31" s="1573"/>
      <c r="D31" s="1573"/>
      <c r="E31" s="1573"/>
      <c r="F31" s="1573"/>
      <c r="G31" s="1573"/>
      <c r="H31" s="1571">
        <v>0</v>
      </c>
      <c r="I31" s="1663"/>
      <c r="J31" s="1573"/>
      <c r="K31" s="1662">
        <f t="shared" si="0"/>
        <v>0</v>
      </c>
      <c r="L31" s="2107">
        <v>0</v>
      </c>
    </row>
    <row r="32" spans="1:12" x14ac:dyDescent="0.2">
      <c r="A32" s="1269" t="s">
        <v>1118</v>
      </c>
      <c r="B32" s="503" t="s">
        <v>731</v>
      </c>
      <c r="C32" s="1573"/>
      <c r="D32" s="1573"/>
      <c r="E32" s="1573"/>
      <c r="F32" s="1573"/>
      <c r="G32" s="1573"/>
      <c r="H32" s="1571">
        <v>0</v>
      </c>
      <c r="I32" s="1663"/>
      <c r="J32" s="1576"/>
      <c r="K32" s="1662">
        <f t="shared" si="0"/>
        <v>0</v>
      </c>
      <c r="L32" s="2107">
        <v>0</v>
      </c>
    </row>
    <row r="33" spans="1:14" ht="12.75" customHeight="1" thickBot="1" x14ac:dyDescent="0.25">
      <c r="A33" s="1373" t="s">
        <v>1646</v>
      </c>
      <c r="B33" s="1374" t="s">
        <v>566</v>
      </c>
      <c r="C33" s="1664">
        <f>SUM(C5:C32)</f>
        <v>14690314</v>
      </c>
      <c r="D33" s="1664">
        <f t="shared" ref="D33:L33" si="1">SUM(D5:D32)</f>
        <v>1845023</v>
      </c>
      <c r="E33" s="1664">
        <f t="shared" si="1"/>
        <v>436969</v>
      </c>
      <c r="F33" s="1664">
        <f t="shared" si="1"/>
        <v>634182</v>
      </c>
      <c r="G33" s="1664">
        <f t="shared" si="1"/>
        <v>56849</v>
      </c>
      <c r="H33" s="1664">
        <f t="shared" si="1"/>
        <v>739269</v>
      </c>
      <c r="I33" s="1664">
        <f t="shared" si="1"/>
        <v>171864</v>
      </c>
      <c r="J33" s="1664">
        <f t="shared" si="1"/>
        <v>0</v>
      </c>
      <c r="K33" s="1664">
        <f t="shared" si="1"/>
        <v>18574470</v>
      </c>
      <c r="L33" s="1664">
        <f t="shared" si="1"/>
        <v>20360041</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471998</v>
      </c>
      <c r="D36" s="1577">
        <v>60840</v>
      </c>
      <c r="E36" s="1577">
        <v>33184</v>
      </c>
      <c r="F36" s="1577">
        <v>1795</v>
      </c>
      <c r="G36" s="1577">
        <v>0</v>
      </c>
      <c r="H36" s="1577">
        <v>0</v>
      </c>
      <c r="I36" s="1566">
        <v>0</v>
      </c>
      <c r="J36" s="1566">
        <v>0</v>
      </c>
      <c r="K36" s="1662">
        <f t="shared" ref="K36:K41" si="2">SUM(C36:J36)</f>
        <v>567817</v>
      </c>
      <c r="L36" s="2106">
        <v>561847</v>
      </c>
    </row>
    <row r="37" spans="1:14" x14ac:dyDescent="0.2">
      <c r="A37" s="1267" t="s">
        <v>1080</v>
      </c>
      <c r="B37" s="503">
        <v>2120</v>
      </c>
      <c r="C37" s="1565">
        <v>0</v>
      </c>
      <c r="D37" s="1565">
        <v>0</v>
      </c>
      <c r="E37" s="1565">
        <v>2975</v>
      </c>
      <c r="F37" s="1565">
        <v>2889</v>
      </c>
      <c r="G37" s="1565">
        <v>0</v>
      </c>
      <c r="H37" s="1565">
        <v>0</v>
      </c>
      <c r="I37" s="1566">
        <v>0</v>
      </c>
      <c r="J37" s="1566">
        <v>0</v>
      </c>
      <c r="K37" s="1662">
        <f t="shared" si="2"/>
        <v>5864</v>
      </c>
      <c r="L37" s="2106">
        <v>4000</v>
      </c>
    </row>
    <row r="38" spans="1:14" x14ac:dyDescent="0.2">
      <c r="A38" s="1267" t="s">
        <v>196</v>
      </c>
      <c r="B38" s="503">
        <v>2130</v>
      </c>
      <c r="C38" s="1565">
        <v>493449</v>
      </c>
      <c r="D38" s="1565">
        <v>52005</v>
      </c>
      <c r="E38" s="1565">
        <v>1301</v>
      </c>
      <c r="F38" s="1565">
        <v>8814</v>
      </c>
      <c r="G38" s="1565">
        <v>0</v>
      </c>
      <c r="H38" s="1565">
        <v>0</v>
      </c>
      <c r="I38" s="1566">
        <v>0</v>
      </c>
      <c r="J38" s="1566">
        <v>0</v>
      </c>
      <c r="K38" s="1662">
        <f t="shared" si="2"/>
        <v>555569</v>
      </c>
      <c r="L38" s="2106">
        <v>549882</v>
      </c>
    </row>
    <row r="39" spans="1:14" x14ac:dyDescent="0.2">
      <c r="A39" s="1267" t="s">
        <v>197</v>
      </c>
      <c r="B39" s="503">
        <v>2140</v>
      </c>
      <c r="C39" s="1565">
        <v>355333</v>
      </c>
      <c r="D39" s="1565">
        <v>40032</v>
      </c>
      <c r="E39" s="1565">
        <v>105010</v>
      </c>
      <c r="F39" s="1565">
        <v>215</v>
      </c>
      <c r="G39" s="1565">
        <v>0</v>
      </c>
      <c r="H39" s="1565">
        <v>0</v>
      </c>
      <c r="I39" s="1566">
        <v>0</v>
      </c>
      <c r="J39" s="1566">
        <v>0</v>
      </c>
      <c r="K39" s="1662">
        <f t="shared" si="2"/>
        <v>500590</v>
      </c>
      <c r="L39" s="2106">
        <v>482026</v>
      </c>
    </row>
    <row r="40" spans="1:14" x14ac:dyDescent="0.2">
      <c r="A40" s="1267" t="s">
        <v>198</v>
      </c>
      <c r="B40" s="503">
        <v>2150</v>
      </c>
      <c r="C40" s="1565">
        <v>492182</v>
      </c>
      <c r="D40" s="1565">
        <v>39117</v>
      </c>
      <c r="E40" s="1565">
        <v>107802</v>
      </c>
      <c r="F40" s="1565">
        <v>1118</v>
      </c>
      <c r="G40" s="1565">
        <v>0</v>
      </c>
      <c r="H40" s="1565">
        <v>0</v>
      </c>
      <c r="I40" s="1566">
        <v>0</v>
      </c>
      <c r="J40" s="1566">
        <v>0</v>
      </c>
      <c r="K40" s="1662">
        <f t="shared" si="2"/>
        <v>640219</v>
      </c>
      <c r="L40" s="2106">
        <v>711207</v>
      </c>
    </row>
    <row r="41" spans="1:14" x14ac:dyDescent="0.2">
      <c r="A41" s="1267" t="s">
        <v>1647</v>
      </c>
      <c r="B41" s="503">
        <v>2190</v>
      </c>
      <c r="C41" s="1565">
        <v>159</v>
      </c>
      <c r="D41" s="1565">
        <v>1</v>
      </c>
      <c r="E41" s="1565">
        <v>400</v>
      </c>
      <c r="F41" s="1565">
        <v>0</v>
      </c>
      <c r="G41" s="1565">
        <v>0</v>
      </c>
      <c r="H41" s="1565">
        <v>0</v>
      </c>
      <c r="I41" s="1566">
        <v>0</v>
      </c>
      <c r="J41" s="1566">
        <v>0</v>
      </c>
      <c r="K41" s="1662">
        <f t="shared" si="2"/>
        <v>560</v>
      </c>
      <c r="L41" s="2106">
        <v>12600</v>
      </c>
    </row>
    <row r="42" spans="1:14" ht="12.75" customHeight="1" thickBot="1" x14ac:dyDescent="0.25">
      <c r="A42" s="1373" t="s">
        <v>556</v>
      </c>
      <c r="B42" s="1374" t="s">
        <v>710</v>
      </c>
      <c r="C42" s="1664">
        <f>SUM(C36:C41)</f>
        <v>1813121</v>
      </c>
      <c r="D42" s="1664">
        <f t="shared" ref="D42:L42" si="3">SUM(D36:D41)</f>
        <v>191995</v>
      </c>
      <c r="E42" s="1664">
        <f t="shared" si="3"/>
        <v>250672</v>
      </c>
      <c r="F42" s="1664">
        <f t="shared" si="3"/>
        <v>14831</v>
      </c>
      <c r="G42" s="1664">
        <f t="shared" si="3"/>
        <v>0</v>
      </c>
      <c r="H42" s="1664">
        <f t="shared" si="3"/>
        <v>0</v>
      </c>
      <c r="I42" s="1664">
        <f t="shared" si="3"/>
        <v>0</v>
      </c>
      <c r="J42" s="1664">
        <f t="shared" si="3"/>
        <v>0</v>
      </c>
      <c r="K42" s="1664">
        <f t="shared" si="3"/>
        <v>2270619</v>
      </c>
      <c r="L42" s="1664">
        <f t="shared" si="3"/>
        <v>2321562</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111054</v>
      </c>
      <c r="D44" s="1577">
        <v>23320</v>
      </c>
      <c r="E44" s="1577">
        <v>283493</v>
      </c>
      <c r="F44" s="1577">
        <v>8923</v>
      </c>
      <c r="G44" s="1577">
        <v>0</v>
      </c>
      <c r="H44" s="1577">
        <v>0</v>
      </c>
      <c r="I44" s="1566">
        <v>0</v>
      </c>
      <c r="J44" s="1566">
        <v>0</v>
      </c>
      <c r="K44" s="1668">
        <f>SUM(C44:J44)</f>
        <v>426790</v>
      </c>
      <c r="L44" s="1577">
        <v>538586</v>
      </c>
    </row>
    <row r="45" spans="1:14" x14ac:dyDescent="0.2">
      <c r="A45" s="1267" t="s">
        <v>809</v>
      </c>
      <c r="B45" s="503">
        <v>2220</v>
      </c>
      <c r="C45" s="1565">
        <v>196073</v>
      </c>
      <c r="D45" s="1565">
        <v>17343</v>
      </c>
      <c r="E45" s="1565">
        <v>0</v>
      </c>
      <c r="F45" s="1565">
        <v>9805</v>
      </c>
      <c r="G45" s="1565">
        <v>0</v>
      </c>
      <c r="H45" s="1565">
        <v>0</v>
      </c>
      <c r="I45" s="1566">
        <v>0</v>
      </c>
      <c r="J45" s="1566">
        <v>0</v>
      </c>
      <c r="K45" s="1668">
        <f>SUM(C45:J45)</f>
        <v>223221</v>
      </c>
      <c r="L45" s="1565">
        <v>237087</v>
      </c>
    </row>
    <row r="46" spans="1:14" x14ac:dyDescent="0.2">
      <c r="A46" s="1267" t="s">
        <v>810</v>
      </c>
      <c r="B46" s="503">
        <v>2230</v>
      </c>
      <c r="C46" s="1565">
        <v>0</v>
      </c>
      <c r="D46" s="1565">
        <v>0</v>
      </c>
      <c r="E46" s="1565">
        <v>0</v>
      </c>
      <c r="F46" s="1565">
        <v>0</v>
      </c>
      <c r="G46" s="1565">
        <v>0</v>
      </c>
      <c r="H46" s="1565">
        <v>0</v>
      </c>
      <c r="I46" s="1566">
        <v>0</v>
      </c>
      <c r="J46" s="1566">
        <v>0</v>
      </c>
      <c r="K46" s="1668">
        <f>SUM(C46:J46)</f>
        <v>0</v>
      </c>
      <c r="L46" s="1565">
        <v>0</v>
      </c>
    </row>
    <row r="47" spans="1:14" ht="12.75" customHeight="1" thickBot="1" x14ac:dyDescent="0.25">
      <c r="A47" s="1373" t="s">
        <v>557</v>
      </c>
      <c r="B47" s="1374" t="s">
        <v>32</v>
      </c>
      <c r="C47" s="1664">
        <f>SUM(C44:C46)</f>
        <v>307127</v>
      </c>
      <c r="D47" s="1664">
        <f t="shared" ref="D47:K47" si="4">SUM(D44:D46)</f>
        <v>40663</v>
      </c>
      <c r="E47" s="1664">
        <f t="shared" si="4"/>
        <v>283493</v>
      </c>
      <c r="F47" s="1664">
        <f t="shared" si="4"/>
        <v>18728</v>
      </c>
      <c r="G47" s="1664">
        <f t="shared" si="4"/>
        <v>0</v>
      </c>
      <c r="H47" s="1664">
        <f t="shared" si="4"/>
        <v>0</v>
      </c>
      <c r="I47" s="1664">
        <f t="shared" si="4"/>
        <v>0</v>
      </c>
      <c r="J47" s="1664">
        <f t="shared" si="4"/>
        <v>0</v>
      </c>
      <c r="K47" s="1664">
        <f t="shared" si="4"/>
        <v>650011</v>
      </c>
      <c r="L47" s="1664">
        <f>SUM(L44:L46)</f>
        <v>775673</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1056</v>
      </c>
      <c r="E49" s="1577">
        <v>408646</v>
      </c>
      <c r="F49" s="1577">
        <v>5126</v>
      </c>
      <c r="G49" s="1577">
        <v>0</v>
      </c>
      <c r="H49" s="1577">
        <v>8086</v>
      </c>
      <c r="I49" s="1566">
        <v>0</v>
      </c>
      <c r="J49" s="1566">
        <v>0</v>
      </c>
      <c r="K49" s="1668">
        <f>SUM(C49:J49)</f>
        <v>422914</v>
      </c>
      <c r="L49" s="1577">
        <v>431909</v>
      </c>
    </row>
    <row r="50" spans="1:14" x14ac:dyDescent="0.2">
      <c r="A50" s="1267" t="s">
        <v>812</v>
      </c>
      <c r="B50" s="503">
        <v>2320</v>
      </c>
      <c r="C50" s="1565">
        <v>367364</v>
      </c>
      <c r="D50" s="1565">
        <v>36247</v>
      </c>
      <c r="E50" s="1565">
        <v>58592</v>
      </c>
      <c r="F50" s="1565">
        <v>9078</v>
      </c>
      <c r="G50" s="1565">
        <v>0</v>
      </c>
      <c r="H50" s="1565">
        <v>11964</v>
      </c>
      <c r="I50" s="1566">
        <v>0</v>
      </c>
      <c r="J50" s="1566">
        <v>0</v>
      </c>
      <c r="K50" s="1668">
        <f>SUM(C50:J50)</f>
        <v>483245</v>
      </c>
      <c r="L50" s="1565">
        <v>470342</v>
      </c>
    </row>
    <row r="51" spans="1:14" x14ac:dyDescent="0.2">
      <c r="A51" s="1267" t="s">
        <v>42</v>
      </c>
      <c r="B51" s="503">
        <v>2330</v>
      </c>
      <c r="C51" s="1565">
        <v>421118</v>
      </c>
      <c r="D51" s="1565">
        <v>90178</v>
      </c>
      <c r="E51" s="1565">
        <v>0</v>
      </c>
      <c r="F51" s="1565">
        <v>4195</v>
      </c>
      <c r="G51" s="1565">
        <v>0</v>
      </c>
      <c r="H51" s="1565">
        <v>0</v>
      </c>
      <c r="I51" s="1566">
        <v>0</v>
      </c>
      <c r="J51" s="1566">
        <v>0</v>
      </c>
      <c r="K51" s="1668">
        <f>SUM(C51:J51)</f>
        <v>515491</v>
      </c>
      <c r="L51" s="1565">
        <v>488278</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6025</v>
      </c>
    </row>
    <row r="53" spans="1:14" ht="12.75" customHeight="1" thickBot="1" x14ac:dyDescent="0.25">
      <c r="A53" s="1373" t="s">
        <v>711</v>
      </c>
      <c r="B53" s="1374" t="s">
        <v>33</v>
      </c>
      <c r="C53" s="1664">
        <f>SUM(C49:C52)</f>
        <v>788482</v>
      </c>
      <c r="D53" s="1664">
        <f t="shared" ref="D53:L53" si="5">SUM(D49:D52)</f>
        <v>127481</v>
      </c>
      <c r="E53" s="1664">
        <f t="shared" si="5"/>
        <v>467238</v>
      </c>
      <c r="F53" s="1664">
        <f t="shared" si="5"/>
        <v>18399</v>
      </c>
      <c r="G53" s="1664">
        <f t="shared" si="5"/>
        <v>0</v>
      </c>
      <c r="H53" s="1664">
        <f t="shared" si="5"/>
        <v>20050</v>
      </c>
      <c r="I53" s="1664">
        <f t="shared" si="5"/>
        <v>0</v>
      </c>
      <c r="J53" s="1664">
        <f t="shared" si="5"/>
        <v>0</v>
      </c>
      <c r="K53" s="1664">
        <f t="shared" si="5"/>
        <v>1421650</v>
      </c>
      <c r="L53" s="1664">
        <f t="shared" si="5"/>
        <v>1396554</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1351604</v>
      </c>
      <c r="D55" s="1577">
        <v>273869</v>
      </c>
      <c r="E55" s="1577">
        <v>0</v>
      </c>
      <c r="F55" s="1577">
        <v>0</v>
      </c>
      <c r="G55" s="1577">
        <v>0</v>
      </c>
      <c r="H55" s="1577">
        <v>0</v>
      </c>
      <c r="I55" s="1566">
        <v>0</v>
      </c>
      <c r="J55" s="1566">
        <v>0</v>
      </c>
      <c r="K55" s="1668">
        <f>SUM(C55:J55)</f>
        <v>1625473</v>
      </c>
      <c r="L55" s="1577">
        <v>1617998</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1351604</v>
      </c>
      <c r="D57" s="1669">
        <f t="shared" ref="D57:K57" si="6">SUM(D55:D56)</f>
        <v>273869</v>
      </c>
      <c r="E57" s="1669">
        <f t="shared" si="6"/>
        <v>0</v>
      </c>
      <c r="F57" s="1669">
        <f t="shared" si="6"/>
        <v>0</v>
      </c>
      <c r="G57" s="1669">
        <f t="shared" si="6"/>
        <v>0</v>
      </c>
      <c r="H57" s="1669">
        <f t="shared" si="6"/>
        <v>0</v>
      </c>
      <c r="I57" s="1669">
        <f t="shared" si="6"/>
        <v>0</v>
      </c>
      <c r="J57" s="1669">
        <f t="shared" si="6"/>
        <v>0</v>
      </c>
      <c r="K57" s="1669">
        <f t="shared" si="6"/>
        <v>1625473</v>
      </c>
      <c r="L57" s="1664">
        <f>SUM(L55:L56)</f>
        <v>1617998</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71022</v>
      </c>
      <c r="D59" s="1577">
        <v>16525</v>
      </c>
      <c r="E59" s="1577">
        <v>0</v>
      </c>
      <c r="F59" s="1577">
        <v>0</v>
      </c>
      <c r="G59" s="1577">
        <v>0</v>
      </c>
      <c r="H59" s="1577">
        <v>0</v>
      </c>
      <c r="I59" s="1566">
        <v>0</v>
      </c>
      <c r="J59" s="1566">
        <v>0</v>
      </c>
      <c r="K59" s="1668">
        <f t="shared" ref="K59:K64" si="7">SUM(C59:J59)</f>
        <v>87547</v>
      </c>
      <c r="L59" s="1577">
        <v>141444</v>
      </c>
      <c r="M59" s="501"/>
      <c r="N59" s="501"/>
    </row>
    <row r="60" spans="1:14" s="321" customFormat="1" x14ac:dyDescent="0.2">
      <c r="A60" s="1267" t="s">
        <v>460</v>
      </c>
      <c r="B60" s="503">
        <v>2520</v>
      </c>
      <c r="C60" s="1565">
        <v>196613</v>
      </c>
      <c r="D60" s="1565">
        <v>24748</v>
      </c>
      <c r="E60" s="1565">
        <v>34062</v>
      </c>
      <c r="F60" s="1565">
        <v>1611</v>
      </c>
      <c r="G60" s="1565">
        <v>0</v>
      </c>
      <c r="H60" s="1565">
        <v>0</v>
      </c>
      <c r="I60" s="1566">
        <v>0</v>
      </c>
      <c r="J60" s="1566">
        <v>0</v>
      </c>
      <c r="K60" s="1668">
        <f t="shared" si="7"/>
        <v>257034</v>
      </c>
      <c r="L60" s="1565">
        <v>261400</v>
      </c>
      <c r="M60" s="501"/>
      <c r="N60" s="501"/>
    </row>
    <row r="61" spans="1:14" s="321" customFormat="1" x14ac:dyDescent="0.2">
      <c r="A61" s="1267" t="s">
        <v>195</v>
      </c>
      <c r="B61" s="503">
        <v>2540</v>
      </c>
      <c r="C61" s="1565">
        <v>0</v>
      </c>
      <c r="D61" s="1565">
        <v>0</v>
      </c>
      <c r="E61" s="1565">
        <v>107391</v>
      </c>
      <c r="F61" s="1565">
        <v>0</v>
      </c>
      <c r="G61" s="1565">
        <v>0</v>
      </c>
      <c r="H61" s="1565">
        <v>0</v>
      </c>
      <c r="I61" s="1566">
        <v>0</v>
      </c>
      <c r="J61" s="1566">
        <v>0</v>
      </c>
      <c r="K61" s="1668">
        <f t="shared" si="7"/>
        <v>107391</v>
      </c>
      <c r="L61" s="1565">
        <v>130000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345610</v>
      </c>
      <c r="D63" s="1565">
        <v>10462</v>
      </c>
      <c r="E63" s="1565">
        <v>310</v>
      </c>
      <c r="F63" s="1565">
        <v>242284</v>
      </c>
      <c r="G63" s="1565">
        <v>0</v>
      </c>
      <c r="H63" s="1565">
        <v>0</v>
      </c>
      <c r="I63" s="1566">
        <v>13324</v>
      </c>
      <c r="J63" s="1566">
        <v>0</v>
      </c>
      <c r="K63" s="1668">
        <f t="shared" si="7"/>
        <v>611990</v>
      </c>
      <c r="L63" s="1565">
        <v>764753</v>
      </c>
    </row>
    <row r="64" spans="1:14" s="501" customFormat="1" x14ac:dyDescent="0.2">
      <c r="A64" s="1272" t="s">
        <v>101</v>
      </c>
      <c r="B64" s="513">
        <v>2570</v>
      </c>
      <c r="C64" s="1577">
        <v>18828</v>
      </c>
      <c r="D64" s="1577">
        <v>0</v>
      </c>
      <c r="E64" s="1577">
        <v>0</v>
      </c>
      <c r="F64" s="1577">
        <v>0</v>
      </c>
      <c r="G64" s="1577">
        <v>0</v>
      </c>
      <c r="H64" s="1577">
        <v>0</v>
      </c>
      <c r="I64" s="1566">
        <v>0</v>
      </c>
      <c r="J64" s="1566">
        <v>0</v>
      </c>
      <c r="K64" s="1668">
        <f t="shared" si="7"/>
        <v>18828</v>
      </c>
      <c r="L64" s="1577">
        <v>23340</v>
      </c>
    </row>
    <row r="65" spans="1:14" s="321" customFormat="1" ht="12.75" customHeight="1" thickBot="1" x14ac:dyDescent="0.25">
      <c r="A65" s="1373" t="s">
        <v>713</v>
      </c>
      <c r="B65" s="1374" t="s">
        <v>35</v>
      </c>
      <c r="C65" s="1664">
        <f>SUM(C59:C64)</f>
        <v>632073</v>
      </c>
      <c r="D65" s="1664">
        <f t="shared" ref="D65:L65" si="8">SUM(D59:D64)</f>
        <v>51735</v>
      </c>
      <c r="E65" s="1664">
        <f t="shared" si="8"/>
        <v>141763</v>
      </c>
      <c r="F65" s="1664">
        <f t="shared" si="8"/>
        <v>243895</v>
      </c>
      <c r="G65" s="1664">
        <f t="shared" si="8"/>
        <v>0</v>
      </c>
      <c r="H65" s="1664">
        <f t="shared" si="8"/>
        <v>0</v>
      </c>
      <c r="I65" s="1664">
        <f t="shared" si="8"/>
        <v>13324</v>
      </c>
      <c r="J65" s="1664">
        <f t="shared" si="8"/>
        <v>0</v>
      </c>
      <c r="K65" s="1664">
        <f t="shared" si="8"/>
        <v>1082790</v>
      </c>
      <c r="L65" s="1664">
        <f t="shared" si="8"/>
        <v>1320937</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134590</v>
      </c>
      <c r="D67" s="1565">
        <v>34699</v>
      </c>
      <c r="E67" s="1565">
        <v>0</v>
      </c>
      <c r="F67" s="1565">
        <v>0</v>
      </c>
      <c r="G67" s="1565">
        <v>0</v>
      </c>
      <c r="H67" s="1565">
        <v>0</v>
      </c>
      <c r="I67" s="1566">
        <v>0</v>
      </c>
      <c r="J67" s="1566">
        <v>0</v>
      </c>
      <c r="K67" s="1668">
        <f>SUM(C67:J67)</f>
        <v>169289</v>
      </c>
      <c r="L67" s="1577">
        <v>169765</v>
      </c>
      <c r="M67" s="501"/>
      <c r="N67" s="501"/>
    </row>
    <row r="68" spans="1:14" s="321" customFormat="1" x14ac:dyDescent="0.2">
      <c r="A68" s="1267" t="s">
        <v>603</v>
      </c>
      <c r="B68" s="503">
        <v>2620</v>
      </c>
      <c r="C68" s="1565">
        <v>46561</v>
      </c>
      <c r="D68" s="1565">
        <v>285</v>
      </c>
      <c r="E68" s="1565">
        <v>0</v>
      </c>
      <c r="F68" s="1565">
        <v>0</v>
      </c>
      <c r="G68" s="1565">
        <v>0</v>
      </c>
      <c r="H68" s="1565">
        <v>0</v>
      </c>
      <c r="I68" s="1566">
        <v>0</v>
      </c>
      <c r="J68" s="1566">
        <v>0</v>
      </c>
      <c r="K68" s="1668">
        <f>SUM(C68:J68)</f>
        <v>46846</v>
      </c>
      <c r="L68" s="1565">
        <v>47271</v>
      </c>
      <c r="M68" s="501"/>
      <c r="N68" s="501"/>
    </row>
    <row r="69" spans="1:14" s="321" customFormat="1" x14ac:dyDescent="0.2">
      <c r="A69" s="1267" t="s">
        <v>1051</v>
      </c>
      <c r="B69" s="503">
        <v>2630</v>
      </c>
      <c r="C69" s="1565">
        <v>0</v>
      </c>
      <c r="D69" s="1565">
        <v>0</v>
      </c>
      <c r="E69" s="1565">
        <v>629213</v>
      </c>
      <c r="F69" s="1565">
        <v>760</v>
      </c>
      <c r="G69" s="1565">
        <v>0</v>
      </c>
      <c r="H69" s="1565">
        <v>0</v>
      </c>
      <c r="I69" s="1566">
        <v>0</v>
      </c>
      <c r="J69" s="1566">
        <v>0</v>
      </c>
      <c r="K69" s="1668">
        <f>SUM(C69:J69)</f>
        <v>629973</v>
      </c>
      <c r="L69" s="1565">
        <v>420800</v>
      </c>
      <c r="M69" s="501"/>
      <c r="N69" s="501"/>
    </row>
    <row r="70" spans="1:14" s="321" customFormat="1" x14ac:dyDescent="0.2">
      <c r="A70" s="1267" t="s">
        <v>400</v>
      </c>
      <c r="B70" s="503">
        <v>2640</v>
      </c>
      <c r="C70" s="1565">
        <v>165659</v>
      </c>
      <c r="D70" s="1565">
        <v>23318</v>
      </c>
      <c r="E70" s="1565">
        <v>7430</v>
      </c>
      <c r="F70" s="1565">
        <v>433</v>
      </c>
      <c r="G70" s="1565">
        <v>0</v>
      </c>
      <c r="H70" s="1565">
        <v>0</v>
      </c>
      <c r="I70" s="1566">
        <v>0</v>
      </c>
      <c r="J70" s="1566">
        <v>0</v>
      </c>
      <c r="K70" s="1668">
        <f>SUM(C70:J70)</f>
        <v>196840</v>
      </c>
      <c r="L70" s="1565">
        <v>193720</v>
      </c>
      <c r="M70" s="501"/>
      <c r="N70" s="501"/>
    </row>
    <row r="71" spans="1:14" s="321" customFormat="1" x14ac:dyDescent="0.2">
      <c r="A71" s="1267" t="s">
        <v>401</v>
      </c>
      <c r="B71" s="503">
        <v>2660</v>
      </c>
      <c r="C71" s="1565">
        <v>340554</v>
      </c>
      <c r="D71" s="1565">
        <v>43179</v>
      </c>
      <c r="E71" s="1565">
        <v>63324</v>
      </c>
      <c r="F71" s="1565">
        <v>37136</v>
      </c>
      <c r="G71" s="1565">
        <v>0</v>
      </c>
      <c r="H71" s="1565">
        <v>0</v>
      </c>
      <c r="I71" s="1566">
        <v>0</v>
      </c>
      <c r="J71" s="1566">
        <v>0</v>
      </c>
      <c r="K71" s="1668">
        <f>SUM(C71:J71)</f>
        <v>484193</v>
      </c>
      <c r="L71" s="1565">
        <v>619908</v>
      </c>
      <c r="M71" s="501"/>
      <c r="N71" s="501"/>
    </row>
    <row r="72" spans="1:14" s="321" customFormat="1" ht="12.75" customHeight="1" thickBot="1" x14ac:dyDescent="0.25">
      <c r="A72" s="1373" t="s">
        <v>37</v>
      </c>
      <c r="B72" s="1376" t="s">
        <v>36</v>
      </c>
      <c r="C72" s="1664">
        <f>SUM(C67:C71)</f>
        <v>687364</v>
      </c>
      <c r="D72" s="1664">
        <f t="shared" ref="D72:K72" si="9">SUM(D67:D71)</f>
        <v>101481</v>
      </c>
      <c r="E72" s="1664">
        <f t="shared" si="9"/>
        <v>699967</v>
      </c>
      <c r="F72" s="1664">
        <f t="shared" si="9"/>
        <v>38329</v>
      </c>
      <c r="G72" s="1664">
        <f t="shared" si="9"/>
        <v>0</v>
      </c>
      <c r="H72" s="1664">
        <f t="shared" si="9"/>
        <v>0</v>
      </c>
      <c r="I72" s="1664">
        <f t="shared" si="9"/>
        <v>0</v>
      </c>
      <c r="J72" s="1664">
        <f t="shared" si="9"/>
        <v>0</v>
      </c>
      <c r="K72" s="1664">
        <f t="shared" si="9"/>
        <v>1527141</v>
      </c>
      <c r="L72" s="1664">
        <f>SUM(L67:L71)</f>
        <v>1451464</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5579771</v>
      </c>
      <c r="D74" s="1671">
        <f t="shared" ref="D74:K74" si="10">SUM(D42,D47,D53,D57,D65,D72,D73)</f>
        <v>787224</v>
      </c>
      <c r="E74" s="1671">
        <f t="shared" si="10"/>
        <v>1843133</v>
      </c>
      <c r="F74" s="1671">
        <f t="shared" si="10"/>
        <v>334182</v>
      </c>
      <c r="G74" s="1671">
        <f t="shared" si="10"/>
        <v>0</v>
      </c>
      <c r="H74" s="1671">
        <f t="shared" si="10"/>
        <v>20050</v>
      </c>
      <c r="I74" s="1671">
        <f t="shared" si="10"/>
        <v>13324</v>
      </c>
      <c r="J74" s="1671">
        <f t="shared" si="10"/>
        <v>0</v>
      </c>
      <c r="K74" s="1671">
        <f t="shared" si="10"/>
        <v>8577684</v>
      </c>
      <c r="L74" s="1671">
        <f>SUM(L42,L47,L53,L57,L65,L72,L73)</f>
        <v>8884188</v>
      </c>
    </row>
    <row r="75" spans="1:14" s="254" customFormat="1" ht="15.75" customHeight="1" thickTop="1" thickBot="1" x14ac:dyDescent="0.25">
      <c r="A75" s="1341" t="s">
        <v>47</v>
      </c>
      <c r="B75" s="1342" t="s">
        <v>571</v>
      </c>
      <c r="C75" s="1639">
        <v>74347</v>
      </c>
      <c r="D75" s="1639">
        <v>128</v>
      </c>
      <c r="E75" s="1639">
        <v>13094</v>
      </c>
      <c r="F75" s="1639">
        <v>3395</v>
      </c>
      <c r="G75" s="1639">
        <v>0</v>
      </c>
      <c r="H75" s="1639">
        <v>0</v>
      </c>
      <c r="I75" s="1617">
        <v>0</v>
      </c>
      <c r="J75" s="1617">
        <v>0</v>
      </c>
      <c r="K75" s="1664">
        <f>SUM(C75:J75)</f>
        <v>90964</v>
      </c>
      <c r="L75" s="1641">
        <v>113899</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35799</v>
      </c>
      <c r="F79" s="1663"/>
      <c r="G79" s="1663"/>
      <c r="H79" s="1565">
        <v>0</v>
      </c>
      <c r="I79" s="1573"/>
      <c r="J79" s="1573"/>
      <c r="K79" s="1662">
        <f t="shared" si="11"/>
        <v>35799</v>
      </c>
      <c r="L79" s="1565">
        <v>75000</v>
      </c>
    </row>
    <row r="80" spans="1:14" x14ac:dyDescent="0.2">
      <c r="A80" s="1267" t="s">
        <v>302</v>
      </c>
      <c r="B80" s="503">
        <v>4130</v>
      </c>
      <c r="C80" s="1663"/>
      <c r="D80" s="1663"/>
      <c r="E80" s="1565">
        <v>5557</v>
      </c>
      <c r="F80" s="1663"/>
      <c r="G80" s="1663"/>
      <c r="H80" s="1565">
        <v>0</v>
      </c>
      <c r="I80" s="1573"/>
      <c r="J80" s="1573"/>
      <c r="K80" s="1662">
        <f t="shared" si="11"/>
        <v>5557</v>
      </c>
      <c r="L80" s="1565">
        <v>4558</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1851</v>
      </c>
      <c r="F83" s="1663"/>
      <c r="G83" s="1663"/>
      <c r="H83" s="1565">
        <v>0</v>
      </c>
      <c r="I83" s="1573"/>
      <c r="J83" s="1573"/>
      <c r="K83" s="1662">
        <f t="shared" si="11"/>
        <v>1851</v>
      </c>
      <c r="L83" s="1565">
        <v>3000</v>
      </c>
    </row>
    <row r="84" spans="1:12" ht="13.5" thickBot="1" x14ac:dyDescent="0.25">
      <c r="A84" s="1373" t="s">
        <v>1465</v>
      </c>
      <c r="B84" s="1378">
        <v>4100</v>
      </c>
      <c r="C84" s="1663"/>
      <c r="D84" s="1663"/>
      <c r="E84" s="1664">
        <f>SUM(E78:E83)</f>
        <v>43207</v>
      </c>
      <c r="F84" s="1663"/>
      <c r="G84" s="1663"/>
      <c r="H84" s="1664">
        <f>SUM(H78:H83)</f>
        <v>0</v>
      </c>
      <c r="I84" s="1573"/>
      <c r="J84" s="1573"/>
      <c r="K84" s="1664">
        <f>SUM(K78:K83)</f>
        <v>43207</v>
      </c>
      <c r="L84" s="1664">
        <f>SUM(L78:L83)</f>
        <v>82558</v>
      </c>
    </row>
    <row r="85" spans="1:12" ht="12.75" customHeight="1" thickTop="1" thickBot="1" x14ac:dyDescent="0.25">
      <c r="A85" s="1274" t="s">
        <v>253</v>
      </c>
      <c r="B85" s="517">
        <v>4210</v>
      </c>
      <c r="C85" s="1663"/>
      <c r="D85" s="1663"/>
      <c r="E85" s="1673"/>
      <c r="F85" s="1663"/>
      <c r="G85" s="1663"/>
      <c r="H85" s="1620">
        <v>0</v>
      </c>
      <c r="I85" s="1573"/>
      <c r="J85" s="1573"/>
      <c r="K85" s="1671">
        <f>H85</f>
        <v>0</v>
      </c>
      <c r="L85" s="1616">
        <v>5000</v>
      </c>
    </row>
    <row r="86" spans="1:12" ht="12.75" customHeight="1" thickTop="1" thickBot="1" x14ac:dyDescent="0.25">
      <c r="A86" s="1275" t="s">
        <v>693</v>
      </c>
      <c r="B86" s="518">
        <v>4220</v>
      </c>
      <c r="C86" s="1663"/>
      <c r="D86" s="1663"/>
      <c r="E86" s="1674"/>
      <c r="F86" s="1663"/>
      <c r="G86" s="1663"/>
      <c r="H86" s="1566">
        <v>926915</v>
      </c>
      <c r="I86" s="1573"/>
      <c r="J86" s="1573"/>
      <c r="K86" s="1671">
        <f t="shared" ref="K86:K98" si="12">H86</f>
        <v>926915</v>
      </c>
      <c r="L86" s="1616">
        <v>1200000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926915</v>
      </c>
      <c r="I92" s="1573"/>
      <c r="J92" s="1573"/>
      <c r="K92" s="1671">
        <f t="shared" si="12"/>
        <v>926915</v>
      </c>
      <c r="L92" s="1664">
        <f>SUM(L85:L91)</f>
        <v>1205000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43207</v>
      </c>
      <c r="F102" s="1663"/>
      <c r="G102" s="1663"/>
      <c r="H102" s="1671">
        <f>SUM(H84,H92,H100,H101)</f>
        <v>926915</v>
      </c>
      <c r="I102" s="1573"/>
      <c r="J102" s="1573"/>
      <c r="K102" s="1671">
        <f>SUM(K84,K92,K100,K101)</f>
        <v>970122</v>
      </c>
      <c r="L102" s="1671">
        <f>SUM(L84,L92,L100,L101)</f>
        <v>1287558</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20344432</v>
      </c>
      <c r="D114" s="1664">
        <f t="shared" ref="D114:K114" si="13">SUM(D33,D74,D75,D102,D112,D113)</f>
        <v>2632375</v>
      </c>
      <c r="E114" s="1664">
        <f t="shared" si="13"/>
        <v>2336403</v>
      </c>
      <c r="F114" s="1664">
        <f t="shared" si="13"/>
        <v>971759</v>
      </c>
      <c r="G114" s="1664">
        <f t="shared" si="13"/>
        <v>56849</v>
      </c>
      <c r="H114" s="1664">
        <f>SUM(H33,H74,H75,H102,H112,H113)</f>
        <v>1686234</v>
      </c>
      <c r="I114" s="1664">
        <f t="shared" si="13"/>
        <v>185188</v>
      </c>
      <c r="J114" s="1664">
        <f t="shared" si="13"/>
        <v>0</v>
      </c>
      <c r="K114" s="1664">
        <f t="shared" si="13"/>
        <v>28213240</v>
      </c>
      <c r="L114" s="1664">
        <f>SUM(L33,L74,L75,L102,L112,L113)</f>
        <v>30645686</v>
      </c>
    </row>
    <row r="115" spans="1:14" ht="13.5" thickTop="1" x14ac:dyDescent="0.2">
      <c r="A115" s="2334" t="s">
        <v>988</v>
      </c>
      <c r="B115" s="2335"/>
      <c r="C115" s="1665"/>
      <c r="D115" s="1665"/>
      <c r="E115" s="1665"/>
      <c r="F115" s="1665"/>
      <c r="G115" s="1665"/>
      <c r="H115" s="1665"/>
      <c r="I115" s="1665"/>
      <c r="J115" s="1665"/>
      <c r="K115" s="1679">
        <f>'Revenues 9-14'!C268-'Expenditures 15-22'!K114</f>
        <v>1701330</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339" t="s">
        <v>293</v>
      </c>
      <c r="B117" s="2340"/>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1957</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163581</v>
      </c>
      <c r="F123" s="1565">
        <v>0</v>
      </c>
      <c r="G123" s="1565">
        <v>571203</v>
      </c>
      <c r="H123" s="1565">
        <v>0</v>
      </c>
      <c r="I123" s="1566">
        <v>8800</v>
      </c>
      <c r="J123" s="1566">
        <v>0</v>
      </c>
      <c r="K123" s="1664">
        <f>SUM(C123:J123)</f>
        <v>743584</v>
      </c>
      <c r="L123" s="1565">
        <v>830000</v>
      </c>
    </row>
    <row r="124" spans="1:14" ht="14.25" thickTop="1" thickBot="1" x14ac:dyDescent="0.25">
      <c r="A124" s="1267" t="s">
        <v>195</v>
      </c>
      <c r="B124" s="503">
        <v>2540</v>
      </c>
      <c r="C124" s="1565">
        <v>1001935</v>
      </c>
      <c r="D124" s="1565">
        <v>137285</v>
      </c>
      <c r="E124" s="1565">
        <v>406852</v>
      </c>
      <c r="F124" s="1565">
        <v>636303</v>
      </c>
      <c r="G124" s="1565">
        <v>50393</v>
      </c>
      <c r="H124" s="1565">
        <v>976</v>
      </c>
      <c r="I124" s="1566">
        <v>31093</v>
      </c>
      <c r="J124" s="1566">
        <v>0</v>
      </c>
      <c r="K124" s="1664">
        <f>SUM(C124:J124)</f>
        <v>2264837</v>
      </c>
      <c r="L124" s="1565">
        <v>2529696</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1001935</v>
      </c>
      <c r="D127" s="1664">
        <f t="shared" ref="D127:L127" si="14">SUM(D122:D126)</f>
        <v>137285</v>
      </c>
      <c r="E127" s="1664">
        <f t="shared" si="14"/>
        <v>570433</v>
      </c>
      <c r="F127" s="1664">
        <f t="shared" si="14"/>
        <v>636303</v>
      </c>
      <c r="G127" s="1664">
        <f t="shared" si="14"/>
        <v>621596</v>
      </c>
      <c r="H127" s="1664">
        <f t="shared" si="14"/>
        <v>976</v>
      </c>
      <c r="I127" s="1664">
        <f t="shared" si="14"/>
        <v>39893</v>
      </c>
      <c r="J127" s="1664">
        <f t="shared" si="14"/>
        <v>0</v>
      </c>
      <c r="K127" s="1664">
        <f t="shared" si="14"/>
        <v>3008421</v>
      </c>
      <c r="L127" s="1664">
        <f t="shared" si="14"/>
        <v>3359696</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1001935</v>
      </c>
      <c r="D129" s="1671">
        <f t="shared" ref="D129:L129" si="15">SUM(D120,D127,D128)</f>
        <v>137285</v>
      </c>
      <c r="E129" s="1671">
        <f t="shared" si="15"/>
        <v>570433</v>
      </c>
      <c r="F129" s="1671">
        <f t="shared" si="15"/>
        <v>636303</v>
      </c>
      <c r="G129" s="1671">
        <f t="shared" si="15"/>
        <v>621596</v>
      </c>
      <c r="H129" s="1671">
        <f t="shared" si="15"/>
        <v>976</v>
      </c>
      <c r="I129" s="1671">
        <f t="shared" si="15"/>
        <v>39893</v>
      </c>
      <c r="J129" s="1671">
        <f t="shared" si="15"/>
        <v>0</v>
      </c>
      <c r="K129" s="1671">
        <f t="shared" si="15"/>
        <v>3008421</v>
      </c>
      <c r="L129" s="1671">
        <f t="shared" si="15"/>
        <v>3359696</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1810</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52334</v>
      </c>
      <c r="F134" s="1663"/>
      <c r="G134" s="1663"/>
      <c r="H134" s="1577">
        <v>0</v>
      </c>
      <c r="I134" s="1573"/>
      <c r="J134" s="1663"/>
      <c r="K134" s="1668">
        <f>SUM(E134,H134)</f>
        <v>52334</v>
      </c>
      <c r="L134" s="1577">
        <v>102000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52334</v>
      </c>
      <c r="F137" s="1663"/>
      <c r="G137" s="1663"/>
      <c r="H137" s="1664">
        <f>SUM(H133:H136)</f>
        <v>0</v>
      </c>
      <c r="I137" s="1573"/>
      <c r="J137" s="1663"/>
      <c r="K137" s="1664">
        <f>SUM(K133:K136)</f>
        <v>52334</v>
      </c>
      <c r="L137" s="1664">
        <f>SUM(L133:L136)</f>
        <v>102000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52334</v>
      </c>
      <c r="F139" s="1663"/>
      <c r="G139" s="1663"/>
      <c r="H139" s="1677">
        <f>SUM(H137:H138)</f>
        <v>0</v>
      </c>
      <c r="I139" s="1573"/>
      <c r="J139" s="1663"/>
      <c r="K139" s="1668">
        <f>SUM(K137,K138)</f>
        <v>52334</v>
      </c>
      <c r="L139" s="1677">
        <f>SUM(L137,L138)</f>
        <v>102000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351" t="s">
        <v>616</v>
      </c>
      <c r="B151" s="2331"/>
      <c r="C151" s="1664">
        <f>SUM(C129,C130,C139,C149,C150)</f>
        <v>1001935</v>
      </c>
      <c r="D151" s="1664">
        <f t="shared" ref="D151:K151" si="16">SUM(D129,D130,D139,D149,D150)</f>
        <v>137285</v>
      </c>
      <c r="E151" s="1664">
        <f t="shared" si="16"/>
        <v>622767</v>
      </c>
      <c r="F151" s="1664">
        <f t="shared" si="16"/>
        <v>636303</v>
      </c>
      <c r="G151" s="1664">
        <f t="shared" si="16"/>
        <v>621596</v>
      </c>
      <c r="H151" s="1664">
        <f t="shared" si="16"/>
        <v>976</v>
      </c>
      <c r="I151" s="1664">
        <f t="shared" si="16"/>
        <v>39893</v>
      </c>
      <c r="J151" s="1664">
        <f t="shared" si="16"/>
        <v>0</v>
      </c>
      <c r="K151" s="1664">
        <f t="shared" si="16"/>
        <v>3060755</v>
      </c>
      <c r="L151" s="1664">
        <f>SUM(L129,L130,L139,L149,L150)</f>
        <v>3461696</v>
      </c>
    </row>
    <row r="152" spans="1:14" ht="12.75" customHeight="1" thickTop="1" x14ac:dyDescent="0.2">
      <c r="A152" s="2354" t="s">
        <v>1167</v>
      </c>
      <c r="B152" s="2355"/>
      <c r="C152" s="1665"/>
      <c r="D152" s="1665"/>
      <c r="E152" s="1665"/>
      <c r="F152" s="1665"/>
      <c r="G152" s="1665"/>
      <c r="H152" s="1665"/>
      <c r="I152" s="1665"/>
      <c r="J152" s="1663"/>
      <c r="K152" s="1679">
        <f>'Revenues 9-14'!D268-'Expenditures 15-22'!K151</f>
        <v>125238</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339" t="s">
        <v>617</v>
      </c>
      <c r="B154" s="2341"/>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1811</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1810</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1812</v>
      </c>
      <c r="C158" s="1663"/>
      <c r="D158" s="1663"/>
      <c r="E158" s="1663"/>
      <c r="F158" s="1663"/>
      <c r="G158" s="1663"/>
      <c r="H158" s="1566">
        <v>0</v>
      </c>
      <c r="I158" s="1663"/>
      <c r="J158" s="1663"/>
      <c r="K158" s="1662">
        <f>H158</f>
        <v>0</v>
      </c>
      <c r="L158" s="1566">
        <v>0</v>
      </c>
      <c r="M158" s="505"/>
      <c r="N158" s="505"/>
    </row>
    <row r="159" spans="1:14" s="506" customFormat="1" ht="12" x14ac:dyDescent="0.2">
      <c r="A159" s="1455" t="s">
        <v>1813</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1814</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908113</v>
      </c>
      <c r="I169" s="1663"/>
      <c r="J169" s="1663"/>
      <c r="K169" s="1662">
        <f>SUM(C169:H169)</f>
        <v>908113</v>
      </c>
      <c r="L169" s="1685">
        <v>734619</v>
      </c>
    </row>
    <row r="170" spans="1:14" ht="33.75" customHeight="1" x14ac:dyDescent="0.2">
      <c r="A170" s="543" t="s">
        <v>1648</v>
      </c>
      <c r="B170" s="545" t="s">
        <v>31</v>
      </c>
      <c r="C170" s="1663"/>
      <c r="D170" s="1663"/>
      <c r="E170" s="1663"/>
      <c r="F170" s="1663"/>
      <c r="G170" s="1663"/>
      <c r="H170" s="1636">
        <v>1185628</v>
      </c>
      <c r="I170" s="1663"/>
      <c r="J170" s="1663"/>
      <c r="K170" s="1662">
        <f>SUM(C170:J170)</f>
        <v>1185628</v>
      </c>
      <c r="L170" s="1636">
        <v>835000</v>
      </c>
    </row>
    <row r="171" spans="1:14" ht="15.75" customHeight="1" thickBot="1" x14ac:dyDescent="0.25">
      <c r="A171" s="507" t="s">
        <v>760</v>
      </c>
      <c r="B171" s="546" t="s">
        <v>84</v>
      </c>
      <c r="C171" s="1663"/>
      <c r="D171" s="1663"/>
      <c r="E171" s="1565">
        <v>1250</v>
      </c>
      <c r="F171" s="1663"/>
      <c r="G171" s="1663"/>
      <c r="H171" s="1636">
        <v>0</v>
      </c>
      <c r="I171" s="1573"/>
      <c r="J171" s="1663"/>
      <c r="K171" s="1662">
        <f>SUM(C171:J171)</f>
        <v>1250</v>
      </c>
      <c r="L171" s="1616">
        <v>1500</v>
      </c>
    </row>
    <row r="172" spans="1:14" ht="12.75" customHeight="1" thickTop="1" thickBot="1" x14ac:dyDescent="0.25">
      <c r="A172" s="1373" t="s">
        <v>633</v>
      </c>
      <c r="B172" s="1374" t="s">
        <v>489</v>
      </c>
      <c r="C172" s="1663"/>
      <c r="D172" s="1663"/>
      <c r="E172" s="1671">
        <f>SUM(E168,E169,E170,E171)</f>
        <v>1250</v>
      </c>
      <c r="F172" s="1663"/>
      <c r="G172" s="1663"/>
      <c r="H172" s="1671">
        <f>SUM(H168,H169,H170,H171)</f>
        <v>2093741</v>
      </c>
      <c r="I172" s="1674"/>
      <c r="J172" s="1663"/>
      <c r="K172" s="1671">
        <f>SUM(K168,K169,K170,K171)</f>
        <v>2094991</v>
      </c>
      <c r="L172" s="1671">
        <f>SUM(L168,L169,L170,L171)</f>
        <v>1571119</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1250</v>
      </c>
      <c r="F174" s="1663"/>
      <c r="G174" s="1663"/>
      <c r="H174" s="1671">
        <f>SUM(H160,H172,H173)</f>
        <v>2093741</v>
      </c>
      <c r="I174" s="1674"/>
      <c r="J174" s="1663"/>
      <c r="K174" s="1671">
        <f>SUM(K160,K172,K173)</f>
        <v>2094991</v>
      </c>
      <c r="L174" s="1671">
        <f>SUM(L160,L172,L173)</f>
        <v>1571119</v>
      </c>
    </row>
    <row r="175" spans="1:14" ht="13.5" thickTop="1" x14ac:dyDescent="0.2">
      <c r="A175" s="2334" t="s">
        <v>988</v>
      </c>
      <c r="B175" s="2335"/>
      <c r="C175" s="1663"/>
      <c r="D175" s="1663"/>
      <c r="E175" s="1663"/>
      <c r="F175" s="1663"/>
      <c r="G175" s="1663"/>
      <c r="H175" s="1665"/>
      <c r="I175" s="1663"/>
      <c r="J175" s="1663"/>
      <c r="K175" s="1679">
        <f>'Revenues 9-14'!E268-'Expenditures 15-22'!K174</f>
        <v>-751449</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1957</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980687</v>
      </c>
      <c r="D182" s="1565">
        <v>49367</v>
      </c>
      <c r="E182" s="1565">
        <v>761514</v>
      </c>
      <c r="F182" s="1565">
        <v>138121</v>
      </c>
      <c r="G182" s="1565">
        <v>292725</v>
      </c>
      <c r="H182" s="1565">
        <v>0</v>
      </c>
      <c r="I182" s="1566">
        <v>0</v>
      </c>
      <c r="J182" s="1566">
        <v>0</v>
      </c>
      <c r="K182" s="1662">
        <f>SUM(C182:J182)</f>
        <v>2222414</v>
      </c>
      <c r="L182" s="1565">
        <v>2723793</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980687</v>
      </c>
      <c r="D184" s="1671">
        <f t="shared" ref="D184:J184" si="17">SUM(D180,D182,D183)</f>
        <v>49367</v>
      </c>
      <c r="E184" s="1671">
        <f t="shared" si="17"/>
        <v>761514</v>
      </c>
      <c r="F184" s="1671">
        <f t="shared" si="17"/>
        <v>138121</v>
      </c>
      <c r="G184" s="1671">
        <f t="shared" si="17"/>
        <v>292725</v>
      </c>
      <c r="H184" s="1671">
        <f t="shared" si="17"/>
        <v>0</v>
      </c>
      <c r="I184" s="1671">
        <f t="shared" si="17"/>
        <v>0</v>
      </c>
      <c r="J184" s="1671">
        <f t="shared" si="17"/>
        <v>0</v>
      </c>
      <c r="K184" s="1671">
        <f>SUM(K180,K182,K183)</f>
        <v>2222414</v>
      </c>
      <c r="L184" s="1671">
        <f>SUM(L180, L182:L183)</f>
        <v>2723793</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2106">
        <v>0</v>
      </c>
    </row>
    <row r="200" spans="1:14" x14ac:dyDescent="0.2">
      <c r="A200" s="1267" t="s">
        <v>88</v>
      </c>
      <c r="B200" s="503">
        <v>5120</v>
      </c>
      <c r="C200" s="1663"/>
      <c r="D200" s="1663"/>
      <c r="E200" s="1663"/>
      <c r="F200" s="1663"/>
      <c r="G200" s="1663"/>
      <c r="H200" s="1565">
        <v>0</v>
      </c>
      <c r="I200" s="1663"/>
      <c r="J200" s="1663"/>
      <c r="K200" s="1662">
        <f>SUM(H200)</f>
        <v>0</v>
      </c>
      <c r="L200" s="2106">
        <v>0</v>
      </c>
    </row>
    <row r="201" spans="1:14" ht="12.75" customHeight="1" x14ac:dyDescent="0.2">
      <c r="A201" s="1267" t="s">
        <v>1159</v>
      </c>
      <c r="B201" s="512" t="s">
        <v>613</v>
      </c>
      <c r="C201" s="1663"/>
      <c r="D201" s="1663"/>
      <c r="E201" s="1663"/>
      <c r="F201" s="1663"/>
      <c r="G201" s="1663"/>
      <c r="H201" s="1565">
        <v>0</v>
      </c>
      <c r="I201" s="1663"/>
      <c r="J201" s="1663"/>
      <c r="K201" s="1662">
        <f>SUM(H201)</f>
        <v>0</v>
      </c>
      <c r="L201" s="2106">
        <v>0</v>
      </c>
    </row>
    <row r="202" spans="1:14" x14ac:dyDescent="0.2">
      <c r="A202" s="1267" t="s">
        <v>89</v>
      </c>
      <c r="B202" s="503" t="s">
        <v>585</v>
      </c>
      <c r="C202" s="1663"/>
      <c r="D202" s="1663"/>
      <c r="E202" s="1663"/>
      <c r="F202" s="1663"/>
      <c r="G202" s="1663"/>
      <c r="H202" s="1565">
        <v>0</v>
      </c>
      <c r="I202" s="1663"/>
      <c r="J202" s="1663"/>
      <c r="K202" s="1662">
        <f>SUM(H202)</f>
        <v>0</v>
      </c>
      <c r="L202" s="2106">
        <v>0</v>
      </c>
    </row>
    <row r="203" spans="1:14" x14ac:dyDescent="0.2">
      <c r="A203" s="1279" t="s">
        <v>615</v>
      </c>
      <c r="B203" s="503" t="s">
        <v>614</v>
      </c>
      <c r="C203" s="1663"/>
      <c r="D203" s="1663"/>
      <c r="E203" s="1663"/>
      <c r="F203" s="1663"/>
      <c r="G203" s="1663"/>
      <c r="H203" s="1569">
        <v>0</v>
      </c>
      <c r="I203" s="1663"/>
      <c r="J203" s="1663"/>
      <c r="K203" s="1662">
        <f>SUM(H203)</f>
        <v>0</v>
      </c>
      <c r="L203" s="2107">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980687</v>
      </c>
      <c r="D210" s="1664">
        <f>SUM(D184,D185)</f>
        <v>49367</v>
      </c>
      <c r="E210" s="1664">
        <f>SUM(E184,E185,E196)</f>
        <v>761514</v>
      </c>
      <c r="F210" s="1664">
        <f>SUM(F184,F185)</f>
        <v>138121</v>
      </c>
      <c r="G210" s="1664">
        <f>SUM(G184,G185)</f>
        <v>292725</v>
      </c>
      <c r="H210" s="1664">
        <f>SUM(H184,H185,H196,H208,H209)</f>
        <v>0</v>
      </c>
      <c r="I210" s="1664">
        <f>SUM(I184,I185)</f>
        <v>0</v>
      </c>
      <c r="J210" s="1664">
        <f>SUM(J184,J185)</f>
        <v>0</v>
      </c>
      <c r="K210" s="1662">
        <f>SUM(K184,K185,K196,K208,K209)</f>
        <v>2222414</v>
      </c>
      <c r="L210" s="1664">
        <f>SUM(L184,L185,L196,L208,L209)</f>
        <v>2723793</v>
      </c>
    </row>
    <row r="211" spans="1:14" ht="13.5" thickTop="1" x14ac:dyDescent="0.2">
      <c r="A211" s="2334" t="s">
        <v>988</v>
      </c>
      <c r="B211" s="2335"/>
      <c r="C211" s="1665"/>
      <c r="D211" s="1665"/>
      <c r="E211" s="1665"/>
      <c r="F211" s="1665"/>
      <c r="G211" s="1665"/>
      <c r="H211" s="1665"/>
      <c r="I211" s="1663"/>
      <c r="J211" s="1663"/>
      <c r="K211" s="1679">
        <f>'Revenues 9-14'!F268-'Expenditures 15-22'!K210</f>
        <v>422607</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356" t="s">
        <v>958</v>
      </c>
      <c r="B213" s="2357"/>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199076</v>
      </c>
      <c r="E215" s="1663"/>
      <c r="F215" s="1663"/>
      <c r="G215" s="1663"/>
      <c r="H215" s="1663"/>
      <c r="I215" s="1663"/>
      <c r="J215" s="1663"/>
      <c r="K215" s="1662">
        <f>D215</f>
        <v>199076</v>
      </c>
      <c r="L215" s="1565">
        <v>183858</v>
      </c>
    </row>
    <row r="216" spans="1:14" x14ac:dyDescent="0.2">
      <c r="A216" s="1267" t="s">
        <v>162</v>
      </c>
      <c r="B216" s="503" t="s">
        <v>960</v>
      </c>
      <c r="C216" s="1663"/>
      <c r="D216" s="1566">
        <v>8891</v>
      </c>
      <c r="E216" s="1663"/>
      <c r="F216" s="1663"/>
      <c r="G216" s="1663"/>
      <c r="H216" s="1663"/>
      <c r="I216" s="1663"/>
      <c r="J216" s="1663"/>
      <c r="K216" s="1662">
        <f t="shared" ref="K216:K228" si="19">D216</f>
        <v>8891</v>
      </c>
      <c r="L216" s="1565">
        <v>12585</v>
      </c>
    </row>
    <row r="217" spans="1:14" x14ac:dyDescent="0.2">
      <c r="A217" s="1267" t="s">
        <v>163</v>
      </c>
      <c r="B217" s="503">
        <v>1200</v>
      </c>
      <c r="C217" s="1663"/>
      <c r="D217" s="1565">
        <v>181616</v>
      </c>
      <c r="E217" s="1663"/>
      <c r="F217" s="1663"/>
      <c r="G217" s="1663"/>
      <c r="H217" s="1663"/>
      <c r="I217" s="1663"/>
      <c r="J217" s="1663"/>
      <c r="K217" s="1662">
        <f t="shared" si="19"/>
        <v>181616</v>
      </c>
      <c r="L217" s="1565">
        <v>173839</v>
      </c>
    </row>
    <row r="218" spans="1:14" x14ac:dyDescent="0.2">
      <c r="A218" s="1267" t="s">
        <v>276</v>
      </c>
      <c r="B218" s="503" t="s">
        <v>961</v>
      </c>
      <c r="C218" s="1663"/>
      <c r="D218" s="1566">
        <v>25771</v>
      </c>
      <c r="E218" s="1663"/>
      <c r="F218" s="1663"/>
      <c r="G218" s="1663"/>
      <c r="H218" s="1663"/>
      <c r="I218" s="1663"/>
      <c r="J218" s="1663"/>
      <c r="K218" s="1662">
        <f t="shared" si="19"/>
        <v>25771</v>
      </c>
      <c r="L218" s="1565">
        <v>12919</v>
      </c>
    </row>
    <row r="219" spans="1:14" x14ac:dyDescent="0.2">
      <c r="A219" s="1267" t="s">
        <v>277</v>
      </c>
      <c r="B219" s="503">
        <v>1250</v>
      </c>
      <c r="C219" s="1663"/>
      <c r="D219" s="1565">
        <v>1238</v>
      </c>
      <c r="E219" s="1663"/>
      <c r="F219" s="1663"/>
      <c r="G219" s="1663"/>
      <c r="H219" s="1663"/>
      <c r="I219" s="1663"/>
      <c r="J219" s="1663"/>
      <c r="K219" s="1662">
        <f t="shared" si="19"/>
        <v>1238</v>
      </c>
      <c r="L219" s="1565">
        <v>24140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946</v>
      </c>
      <c r="E223" s="1663"/>
      <c r="F223" s="1663"/>
      <c r="G223" s="1663"/>
      <c r="H223" s="1663"/>
      <c r="I223" s="1663"/>
      <c r="J223" s="1663"/>
      <c r="K223" s="1662">
        <f t="shared" si="19"/>
        <v>946</v>
      </c>
      <c r="L223" s="1565">
        <v>1646</v>
      </c>
    </row>
    <row r="224" spans="1:14" x14ac:dyDescent="0.2">
      <c r="A224" s="1267" t="s">
        <v>957</v>
      </c>
      <c r="B224" s="503">
        <v>1600</v>
      </c>
      <c r="C224" s="1663"/>
      <c r="D224" s="1565">
        <v>1303</v>
      </c>
      <c r="E224" s="1663"/>
      <c r="F224" s="1663"/>
      <c r="G224" s="1663"/>
      <c r="H224" s="1663"/>
      <c r="I224" s="1663"/>
      <c r="J224" s="1663"/>
      <c r="K224" s="1662">
        <f t="shared" si="19"/>
        <v>1303</v>
      </c>
      <c r="L224" s="1565">
        <v>2499</v>
      </c>
    </row>
    <row r="225" spans="1:12" x14ac:dyDescent="0.2">
      <c r="A225" s="1267" t="s">
        <v>979</v>
      </c>
      <c r="B225" s="503">
        <v>1650</v>
      </c>
      <c r="C225" s="1663"/>
      <c r="D225" s="1565">
        <v>2946</v>
      </c>
      <c r="E225" s="1663"/>
      <c r="F225" s="1663"/>
      <c r="G225" s="1663"/>
      <c r="H225" s="1663"/>
      <c r="I225" s="1663"/>
      <c r="J225" s="1663"/>
      <c r="K225" s="1662">
        <f t="shared" si="19"/>
        <v>2946</v>
      </c>
      <c r="L225" s="1565">
        <v>2983</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421787</v>
      </c>
      <c r="E229" s="1663"/>
      <c r="F229" s="1663"/>
      <c r="G229" s="1663"/>
      <c r="H229" s="1663"/>
      <c r="I229" s="1663"/>
      <c r="J229" s="1663"/>
      <c r="K229" s="1664">
        <f>SUM(K215:K228)</f>
        <v>421787</v>
      </c>
      <c r="L229" s="1664">
        <f>SUM(L215:L228)</f>
        <v>414469</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6561</v>
      </c>
      <c r="E232" s="1663"/>
      <c r="F232" s="1663"/>
      <c r="G232" s="1663"/>
      <c r="H232" s="1663"/>
      <c r="I232" s="1663"/>
      <c r="J232" s="1663"/>
      <c r="K232" s="1662">
        <f t="shared" ref="K232:K237" si="20">D232</f>
        <v>6561</v>
      </c>
      <c r="L232" s="1565">
        <v>5648</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76748</v>
      </c>
      <c r="E234" s="1663"/>
      <c r="F234" s="1663"/>
      <c r="G234" s="1663"/>
      <c r="H234" s="1663"/>
      <c r="I234" s="1663"/>
      <c r="J234" s="1663"/>
      <c r="K234" s="1662">
        <f t="shared" si="20"/>
        <v>76748</v>
      </c>
      <c r="L234" s="1565">
        <v>73208</v>
      </c>
    </row>
    <row r="235" spans="1:12" x14ac:dyDescent="0.2">
      <c r="A235" s="1267" t="s">
        <v>197</v>
      </c>
      <c r="B235" s="503">
        <v>2140</v>
      </c>
      <c r="C235" s="1663"/>
      <c r="D235" s="1565">
        <v>5010</v>
      </c>
      <c r="E235" s="1663"/>
      <c r="F235" s="1663"/>
      <c r="G235" s="1663"/>
      <c r="H235" s="1663"/>
      <c r="I235" s="1663"/>
      <c r="J235" s="1663"/>
      <c r="K235" s="1662">
        <f t="shared" si="20"/>
        <v>5010</v>
      </c>
      <c r="L235" s="1565">
        <v>4953</v>
      </c>
    </row>
    <row r="236" spans="1:12" x14ac:dyDescent="0.2">
      <c r="A236" s="1267" t="s">
        <v>198</v>
      </c>
      <c r="B236" s="503">
        <v>2150</v>
      </c>
      <c r="C236" s="1663"/>
      <c r="D236" s="1565">
        <v>6947</v>
      </c>
      <c r="E236" s="1663"/>
      <c r="F236" s="1663"/>
      <c r="G236" s="1663"/>
      <c r="H236" s="1663"/>
      <c r="I236" s="1663"/>
      <c r="J236" s="1663"/>
      <c r="K236" s="1662">
        <f t="shared" si="20"/>
        <v>6947</v>
      </c>
      <c r="L236" s="1565">
        <v>7890</v>
      </c>
    </row>
    <row r="237" spans="1:12" x14ac:dyDescent="0.2">
      <c r="A237" s="1267" t="s">
        <v>164</v>
      </c>
      <c r="B237" s="503">
        <v>2190</v>
      </c>
      <c r="C237" s="1663"/>
      <c r="D237" s="1565">
        <v>27</v>
      </c>
      <c r="E237" s="1663"/>
      <c r="F237" s="1663"/>
      <c r="G237" s="1663"/>
      <c r="H237" s="1663"/>
      <c r="I237" s="1663"/>
      <c r="J237" s="1663"/>
      <c r="K237" s="1662">
        <f t="shared" si="20"/>
        <v>27</v>
      </c>
      <c r="L237" s="1565">
        <v>102</v>
      </c>
    </row>
    <row r="238" spans="1:12" ht="12.75" customHeight="1" thickBot="1" x14ac:dyDescent="0.25">
      <c r="A238" s="1373" t="s">
        <v>556</v>
      </c>
      <c r="B238" s="1376" t="s">
        <v>710</v>
      </c>
      <c r="C238" s="1663"/>
      <c r="D238" s="1664">
        <f>SUM(D232:D237)</f>
        <v>95293</v>
      </c>
      <c r="E238" s="1663"/>
      <c r="F238" s="1663"/>
      <c r="G238" s="1663"/>
      <c r="H238" s="1663"/>
      <c r="I238" s="1663"/>
      <c r="J238" s="1663"/>
      <c r="K238" s="1664">
        <f>SUM(K232:K237)</f>
        <v>95293</v>
      </c>
      <c r="L238" s="1664">
        <f>SUM(L232:L237)</f>
        <v>91801</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1680</v>
      </c>
      <c r="E240" s="1663"/>
      <c r="F240" s="1663"/>
      <c r="G240" s="1663"/>
      <c r="H240" s="1663"/>
      <c r="I240" s="1663"/>
      <c r="J240" s="1663"/>
      <c r="K240" s="1668">
        <f>D240</f>
        <v>1680</v>
      </c>
      <c r="L240" s="1577">
        <v>2435</v>
      </c>
    </row>
    <row r="241" spans="1:12" x14ac:dyDescent="0.2">
      <c r="A241" s="1267" t="s">
        <v>809</v>
      </c>
      <c r="B241" s="503">
        <v>2220</v>
      </c>
      <c r="C241" s="1663"/>
      <c r="D241" s="1565">
        <v>20295</v>
      </c>
      <c r="E241" s="1663"/>
      <c r="F241" s="1663"/>
      <c r="G241" s="1663"/>
      <c r="H241" s="1663"/>
      <c r="I241" s="1663"/>
      <c r="J241" s="1663"/>
      <c r="K241" s="1668">
        <f>D241</f>
        <v>20295</v>
      </c>
      <c r="L241" s="1565">
        <v>21079</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21975</v>
      </c>
      <c r="E243" s="1663"/>
      <c r="F243" s="1663"/>
      <c r="G243" s="1663"/>
      <c r="H243" s="1663"/>
      <c r="I243" s="1663"/>
      <c r="J243" s="1663"/>
      <c r="K243" s="1664">
        <f>SUM(K240:K242)</f>
        <v>21975</v>
      </c>
      <c r="L243" s="1664">
        <f>SUM(L240:L242)</f>
        <v>23514</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18670</v>
      </c>
      <c r="E246" s="1663"/>
      <c r="F246" s="1663"/>
      <c r="G246" s="1663"/>
      <c r="H246" s="1663"/>
      <c r="I246" s="1663"/>
      <c r="J246" s="1663"/>
      <c r="K246" s="1668">
        <f t="shared" ref="K246:K256" si="21">D246</f>
        <v>18670</v>
      </c>
      <c r="L246" s="1565">
        <v>22206</v>
      </c>
    </row>
    <row r="247" spans="1:12" x14ac:dyDescent="0.2">
      <c r="A247" s="1267" t="s">
        <v>813</v>
      </c>
      <c r="B247" s="503">
        <v>2330</v>
      </c>
      <c r="C247" s="1663"/>
      <c r="D247" s="1565">
        <v>14211</v>
      </c>
      <c r="E247" s="1663"/>
      <c r="F247" s="1663"/>
      <c r="G247" s="1663"/>
      <c r="H247" s="1663"/>
      <c r="I247" s="1663"/>
      <c r="J247" s="1663"/>
      <c r="K247" s="1668">
        <f t="shared" si="21"/>
        <v>14211</v>
      </c>
      <c r="L247" s="1565">
        <v>11502</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1776</v>
      </c>
      <c r="B249" s="557" t="s">
        <v>280</v>
      </c>
      <c r="C249" s="1663"/>
      <c r="D249" s="1571">
        <v>0</v>
      </c>
      <c r="E249" s="1663"/>
      <c r="F249" s="1663"/>
      <c r="G249" s="1663"/>
      <c r="H249" s="1663"/>
      <c r="I249" s="1663"/>
      <c r="J249" s="1663"/>
      <c r="K249" s="1668">
        <f t="shared" si="21"/>
        <v>0</v>
      </c>
      <c r="L249" s="1565">
        <v>0</v>
      </c>
    </row>
    <row r="250" spans="1:12" x14ac:dyDescent="0.2">
      <c r="A250" s="1268" t="s">
        <v>1777</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32881</v>
      </c>
      <c r="E257" s="1663"/>
      <c r="F257" s="1663"/>
      <c r="G257" s="1663"/>
      <c r="H257" s="1663"/>
      <c r="I257" s="1663"/>
      <c r="J257" s="1663"/>
      <c r="K257" s="1664">
        <f>SUM(K245:K256)</f>
        <v>32881</v>
      </c>
      <c r="L257" s="1664">
        <f>SUM(L245:L256)</f>
        <v>33708</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81920</v>
      </c>
      <c r="E259" s="1663"/>
      <c r="F259" s="1663"/>
      <c r="G259" s="1663"/>
      <c r="H259" s="1663"/>
      <c r="I259" s="1663"/>
      <c r="J259" s="1663"/>
      <c r="K259" s="1668">
        <f>D259</f>
        <v>81920</v>
      </c>
      <c r="L259" s="1577">
        <v>85060</v>
      </c>
    </row>
    <row r="260" spans="1:14" s="493" customFormat="1" x14ac:dyDescent="0.2">
      <c r="A260" s="1285" t="s">
        <v>1775</v>
      </c>
      <c r="B260" s="512">
        <v>2490</v>
      </c>
      <c r="C260" s="1663"/>
      <c r="D260" s="1565">
        <v>0</v>
      </c>
      <c r="E260" s="1663"/>
      <c r="F260" s="1663"/>
      <c r="G260" s="1663"/>
      <c r="H260" s="1663"/>
      <c r="I260" s="1663"/>
      <c r="J260" s="1663"/>
      <c r="K260" s="1668">
        <f>D260</f>
        <v>0</v>
      </c>
      <c r="L260" s="1565">
        <v>10000</v>
      </c>
      <c r="M260" s="205"/>
      <c r="N260" s="205"/>
    </row>
    <row r="261" spans="1:14" ht="12.75" customHeight="1" thickBot="1" x14ac:dyDescent="0.25">
      <c r="A261" s="1387" t="s">
        <v>261</v>
      </c>
      <c r="B261" s="1392" t="s">
        <v>34</v>
      </c>
      <c r="C261" s="1663"/>
      <c r="D261" s="1664">
        <f>SUM(D259:D260)</f>
        <v>81920</v>
      </c>
      <c r="E261" s="1663"/>
      <c r="F261" s="1663"/>
      <c r="G261" s="1663"/>
      <c r="H261" s="1663"/>
      <c r="I261" s="1663"/>
      <c r="J261" s="1663"/>
      <c r="K261" s="1664">
        <f>SUM(K259:K260)</f>
        <v>81920</v>
      </c>
      <c r="L261" s="1664">
        <f>SUM(L259:L260)</f>
        <v>95060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1010</v>
      </c>
      <c r="E263" s="1663"/>
      <c r="F263" s="1663"/>
      <c r="G263" s="1663"/>
      <c r="H263" s="1663"/>
      <c r="I263" s="1663"/>
      <c r="J263" s="1663"/>
      <c r="K263" s="1668">
        <f>D263</f>
        <v>1010</v>
      </c>
      <c r="L263" s="1577">
        <v>2256</v>
      </c>
    </row>
    <row r="264" spans="1:14" x14ac:dyDescent="0.2">
      <c r="A264" s="1267" t="s">
        <v>460</v>
      </c>
      <c r="B264" s="559">
        <v>2520</v>
      </c>
      <c r="C264" s="1663"/>
      <c r="D264" s="1565">
        <v>33602</v>
      </c>
      <c r="E264" s="1663"/>
      <c r="F264" s="1663"/>
      <c r="G264" s="1663"/>
      <c r="H264" s="1663"/>
      <c r="I264" s="1663"/>
      <c r="J264" s="1663"/>
      <c r="K264" s="1668">
        <f t="shared" ref="K264:K269" si="22">D264</f>
        <v>33602</v>
      </c>
      <c r="L264" s="1565">
        <v>39952</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166756</v>
      </c>
      <c r="E266" s="1663"/>
      <c r="F266" s="1663"/>
      <c r="G266" s="1663"/>
      <c r="H266" s="1663"/>
      <c r="I266" s="1663"/>
      <c r="J266" s="1663"/>
      <c r="K266" s="1668">
        <f t="shared" si="22"/>
        <v>166756</v>
      </c>
      <c r="L266" s="1565">
        <v>151730</v>
      </c>
    </row>
    <row r="267" spans="1:14" x14ac:dyDescent="0.2">
      <c r="A267" s="1267" t="s">
        <v>946</v>
      </c>
      <c r="B267" s="503">
        <v>2550</v>
      </c>
      <c r="C267" s="1663"/>
      <c r="D267" s="1565">
        <v>170131</v>
      </c>
      <c r="E267" s="1663"/>
      <c r="F267" s="1663"/>
      <c r="G267" s="1663"/>
      <c r="H267" s="1663"/>
      <c r="I267" s="1663"/>
      <c r="J267" s="1663"/>
      <c r="K267" s="1668">
        <f t="shared" si="22"/>
        <v>170131</v>
      </c>
      <c r="L267" s="1565">
        <v>183975</v>
      </c>
    </row>
    <row r="268" spans="1:14" x14ac:dyDescent="0.2">
      <c r="A268" s="1267" t="s">
        <v>100</v>
      </c>
      <c r="B268" s="503">
        <v>2560</v>
      </c>
      <c r="C268" s="1663"/>
      <c r="D268" s="1565">
        <v>55194</v>
      </c>
      <c r="E268" s="1663"/>
      <c r="F268" s="1663"/>
      <c r="G268" s="1663"/>
      <c r="H268" s="1663"/>
      <c r="I268" s="1663"/>
      <c r="J268" s="1663"/>
      <c r="K268" s="1668">
        <f t="shared" si="22"/>
        <v>55194</v>
      </c>
      <c r="L268" s="1565">
        <v>55541</v>
      </c>
    </row>
    <row r="269" spans="1:14" x14ac:dyDescent="0.2">
      <c r="A269" s="1267" t="s">
        <v>101</v>
      </c>
      <c r="B269" s="503">
        <v>2570</v>
      </c>
      <c r="C269" s="1663"/>
      <c r="D269" s="1565">
        <v>3342</v>
      </c>
      <c r="E269" s="1663"/>
      <c r="F269" s="1663"/>
      <c r="G269" s="1663"/>
      <c r="H269" s="1663"/>
      <c r="I269" s="1663"/>
      <c r="J269" s="1663"/>
      <c r="K269" s="1668">
        <f t="shared" si="22"/>
        <v>3342</v>
      </c>
      <c r="L269" s="1565">
        <v>10975</v>
      </c>
    </row>
    <row r="270" spans="1:14" ht="12.75" customHeight="1" thickBot="1" x14ac:dyDescent="0.25">
      <c r="A270" s="1373" t="s">
        <v>713</v>
      </c>
      <c r="B270" s="1376" t="s">
        <v>35</v>
      </c>
      <c r="C270" s="1663"/>
      <c r="D270" s="1664">
        <f>SUM(D263:D269)</f>
        <v>430035</v>
      </c>
      <c r="E270" s="1663"/>
      <c r="F270" s="1663"/>
      <c r="G270" s="1663"/>
      <c r="H270" s="1663"/>
      <c r="I270" s="1663"/>
      <c r="J270" s="1663"/>
      <c r="K270" s="1664">
        <f>SUM(K263:K269)</f>
        <v>430035</v>
      </c>
      <c r="L270" s="1664">
        <f>SUM(L263:L269)</f>
        <v>444429</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1760</v>
      </c>
      <c r="E272" s="1663"/>
      <c r="F272" s="1663"/>
      <c r="G272" s="1663"/>
      <c r="H272" s="1663"/>
      <c r="I272" s="1663"/>
      <c r="J272" s="1663"/>
      <c r="K272" s="1668">
        <f>D272</f>
        <v>1760</v>
      </c>
      <c r="L272" s="1577">
        <v>14883</v>
      </c>
    </row>
    <row r="273" spans="1:12" x14ac:dyDescent="0.2">
      <c r="A273" s="1267" t="s">
        <v>603</v>
      </c>
      <c r="B273" s="512">
        <v>2620</v>
      </c>
      <c r="C273" s="1663"/>
      <c r="D273" s="1565">
        <v>8294</v>
      </c>
      <c r="E273" s="1663"/>
      <c r="F273" s="1663"/>
      <c r="G273" s="1663"/>
      <c r="H273" s="1663"/>
      <c r="I273" s="1663"/>
      <c r="J273" s="1663"/>
      <c r="K273" s="1668">
        <f>D273</f>
        <v>8294</v>
      </c>
      <c r="L273" s="1565">
        <v>5790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28954</v>
      </c>
      <c r="E275" s="1663"/>
      <c r="F275" s="1663"/>
      <c r="G275" s="1663"/>
      <c r="H275" s="1663"/>
      <c r="I275" s="1663"/>
      <c r="J275" s="1663"/>
      <c r="K275" s="1668">
        <f>D275</f>
        <v>28954</v>
      </c>
      <c r="L275" s="1565">
        <v>10627</v>
      </c>
    </row>
    <row r="276" spans="1:12" x14ac:dyDescent="0.2">
      <c r="A276" s="1267" t="s">
        <v>401</v>
      </c>
      <c r="B276" s="503">
        <v>2660</v>
      </c>
      <c r="C276" s="1663"/>
      <c r="D276" s="1565">
        <v>61185</v>
      </c>
      <c r="E276" s="1663"/>
      <c r="F276" s="1663"/>
      <c r="G276" s="1663"/>
      <c r="H276" s="1663"/>
      <c r="I276" s="1663"/>
      <c r="J276" s="1663"/>
      <c r="K276" s="1668">
        <f>D276</f>
        <v>61185</v>
      </c>
      <c r="L276" s="1565">
        <v>41893</v>
      </c>
    </row>
    <row r="277" spans="1:12" ht="12.75" customHeight="1" thickBot="1" x14ac:dyDescent="0.25">
      <c r="A277" s="1386" t="s">
        <v>37</v>
      </c>
      <c r="B277" s="1374" t="s">
        <v>36</v>
      </c>
      <c r="C277" s="1663"/>
      <c r="D277" s="1664">
        <f>SUM(D272:D276)</f>
        <v>100193</v>
      </c>
      <c r="E277" s="1663"/>
      <c r="F277" s="1663"/>
      <c r="G277" s="1663"/>
      <c r="H277" s="1663"/>
      <c r="I277" s="1663"/>
      <c r="J277" s="1663"/>
      <c r="K277" s="1664">
        <f>SUM(K272:K276)</f>
        <v>100193</v>
      </c>
      <c r="L277" s="1664">
        <f>SUM(L272:L276)</f>
        <v>73193</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762297</v>
      </c>
      <c r="E279" s="1663"/>
      <c r="F279" s="1663"/>
      <c r="G279" s="1663"/>
      <c r="H279" s="1663"/>
      <c r="I279" s="1663"/>
      <c r="J279" s="1663"/>
      <c r="K279" s="1671">
        <f>SUM(K238,K243,K257,K261,K270,K277,K278)</f>
        <v>762297</v>
      </c>
      <c r="L279" s="1671">
        <f>SUM(L238,L243,L257,L261,L270,L277,L278)</f>
        <v>761705</v>
      </c>
    </row>
    <row r="280" spans="1:12" ht="15.75" customHeight="1" thickTop="1" thickBot="1" x14ac:dyDescent="0.25">
      <c r="A280" s="1355" t="s">
        <v>869</v>
      </c>
      <c r="B280" s="1344">
        <v>3000</v>
      </c>
      <c r="C280" s="1663"/>
      <c r="D280" s="1641">
        <v>13271</v>
      </c>
      <c r="E280" s="1663"/>
      <c r="F280" s="1663"/>
      <c r="G280" s="1663"/>
      <c r="H280" s="1663"/>
      <c r="I280" s="1663"/>
      <c r="J280" s="1663"/>
      <c r="K280" s="1677">
        <f>D280</f>
        <v>13271</v>
      </c>
      <c r="L280" s="1641">
        <v>14454</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1810</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35458</v>
      </c>
      <c r="E283" s="1663"/>
      <c r="F283" s="1663"/>
      <c r="G283" s="1663"/>
      <c r="H283" s="1663"/>
      <c r="I283" s="1663"/>
      <c r="J283" s="1663"/>
      <c r="K283" s="1662">
        <f>D283</f>
        <v>35458</v>
      </c>
      <c r="L283" s="1565">
        <v>40920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35458</v>
      </c>
      <c r="E285" s="1663"/>
      <c r="F285" s="1663"/>
      <c r="G285" s="1663"/>
      <c r="H285" s="1663"/>
      <c r="I285" s="1663"/>
      <c r="J285" s="1663"/>
      <c r="K285" s="1664">
        <f>SUM(K282:K284)</f>
        <v>35458</v>
      </c>
      <c r="L285" s="1664">
        <f>SUM(L282:L284)</f>
        <v>40920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352" t="s">
        <v>502</v>
      </c>
      <c r="B295" s="2353"/>
      <c r="C295" s="1663"/>
      <c r="D295" s="1664">
        <f>SUM(D229,D279,D280,D285)</f>
        <v>1232813</v>
      </c>
      <c r="E295" s="1663"/>
      <c r="F295" s="1663"/>
      <c r="G295" s="1663"/>
      <c r="H295" s="1664">
        <f>H293</f>
        <v>0</v>
      </c>
      <c r="I295" s="1663"/>
      <c r="J295" s="1663"/>
      <c r="K295" s="1664">
        <f>SUM(K229,K279,K280,K285,K293,K294)</f>
        <v>1232813</v>
      </c>
      <c r="L295" s="1664">
        <f>SUM(L229,L279,L280,L285,L293,L294)</f>
        <v>1231548</v>
      </c>
    </row>
    <row r="296" spans="1:14" ht="13.5" thickTop="1" x14ac:dyDescent="0.2">
      <c r="A296" s="2334" t="s">
        <v>988</v>
      </c>
      <c r="B296" s="2335"/>
      <c r="C296" s="1663"/>
      <c r="D296" s="1665"/>
      <c r="E296" s="1663"/>
      <c r="F296" s="1663"/>
      <c r="G296" s="1663"/>
      <c r="H296" s="1697"/>
      <c r="I296" s="1663"/>
      <c r="J296" s="1663"/>
      <c r="K296" s="1679">
        <f>'Revenues 9-14'!G268-'Expenditures 15-22'!K295</f>
        <v>110600</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344" t="s">
        <v>142</v>
      </c>
      <c r="B298" s="2338"/>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301232</v>
      </c>
      <c r="F301" s="1565">
        <v>252105</v>
      </c>
      <c r="G301" s="1565">
        <v>2884626</v>
      </c>
      <c r="H301" s="1565">
        <v>0</v>
      </c>
      <c r="I301" s="1566">
        <v>0</v>
      </c>
      <c r="J301" s="1566">
        <v>0</v>
      </c>
      <c r="K301" s="1662">
        <f>SUM(C301:J301)</f>
        <v>3437963</v>
      </c>
      <c r="L301" s="1565">
        <v>4115735</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301232</v>
      </c>
      <c r="F303" s="1671">
        <f t="shared" si="23"/>
        <v>252105</v>
      </c>
      <c r="G303" s="1671">
        <f t="shared" si="23"/>
        <v>2884626</v>
      </c>
      <c r="H303" s="1671">
        <f t="shared" si="23"/>
        <v>0</v>
      </c>
      <c r="I303" s="1671">
        <f t="shared" si="23"/>
        <v>0</v>
      </c>
      <c r="J303" s="1671">
        <f t="shared" si="23"/>
        <v>0</v>
      </c>
      <c r="K303" s="1671">
        <f t="shared" si="23"/>
        <v>3437963</v>
      </c>
      <c r="L303" s="1671">
        <f t="shared" si="23"/>
        <v>4115735</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1815</v>
      </c>
      <c r="B306" s="562" t="s">
        <v>1810</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349" t="s">
        <v>275</v>
      </c>
      <c r="B312" s="2350"/>
      <c r="C312" s="1664">
        <f>SUM(C303)</f>
        <v>0</v>
      </c>
      <c r="D312" s="1664">
        <f>SUM(D303)</f>
        <v>0</v>
      </c>
      <c r="E312" s="1664">
        <f>SUM(E303,E310)</f>
        <v>301232</v>
      </c>
      <c r="F312" s="1664">
        <f>SUM(F303)</f>
        <v>252105</v>
      </c>
      <c r="G312" s="1664">
        <f>SUM(G303)</f>
        <v>2884626</v>
      </c>
      <c r="H312" s="1664">
        <f>SUM(H303,H310)</f>
        <v>0</v>
      </c>
      <c r="I312" s="1664">
        <f>SUM(I303)</f>
        <v>0</v>
      </c>
      <c r="J312" s="1664">
        <f>SUM(J303)</f>
        <v>0</v>
      </c>
      <c r="K312" s="1664">
        <f>SUM(K303,K310,K311)</f>
        <v>3437963</v>
      </c>
      <c r="L312" s="1664">
        <f>SUM(L303,L310,L311)</f>
        <v>4115735</v>
      </c>
      <c r="M312" s="539"/>
      <c r="N312" s="539"/>
    </row>
    <row r="313" spans="1:14" ht="13.5" thickTop="1" x14ac:dyDescent="0.2">
      <c r="A313" s="2345" t="s">
        <v>988</v>
      </c>
      <c r="B313" s="2346"/>
      <c r="C313" s="1667"/>
      <c r="D313" s="1667"/>
      <c r="E313" s="1667"/>
      <c r="F313" s="1667"/>
      <c r="G313" s="1667"/>
      <c r="H313" s="1667"/>
      <c r="I313" s="1667"/>
      <c r="J313" s="1667"/>
      <c r="K313" s="1686">
        <f>'Revenues 9-14'!H268-'Expenditures 15-22'!K312</f>
        <v>-3437961</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358" t="s">
        <v>148</v>
      </c>
      <c r="B315" s="2359"/>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360" t="s">
        <v>891</v>
      </c>
      <c r="B317" s="2359"/>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1776</v>
      </c>
      <c r="B320" s="568" t="s">
        <v>280</v>
      </c>
      <c r="C320" s="1566">
        <v>0</v>
      </c>
      <c r="D320" s="1566">
        <v>0</v>
      </c>
      <c r="E320" s="1566">
        <v>96003</v>
      </c>
      <c r="F320" s="1566">
        <v>0</v>
      </c>
      <c r="G320" s="1566">
        <v>0</v>
      </c>
      <c r="H320" s="1566">
        <v>0</v>
      </c>
      <c r="I320" s="1566">
        <v>0</v>
      </c>
      <c r="J320" s="1566">
        <v>0</v>
      </c>
      <c r="K320" s="1662">
        <f t="shared" ref="K320:K327" si="24">SUM(C320:J320)</f>
        <v>96003</v>
      </c>
      <c r="L320" s="1566">
        <v>139650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11492</v>
      </c>
      <c r="F322" s="1566">
        <v>0</v>
      </c>
      <c r="G322" s="1566">
        <v>0</v>
      </c>
      <c r="H322" s="1566">
        <v>0</v>
      </c>
      <c r="I322" s="1566">
        <v>0</v>
      </c>
      <c r="J322" s="1566">
        <v>0</v>
      </c>
      <c r="K322" s="1662">
        <f t="shared" si="24"/>
        <v>11492</v>
      </c>
      <c r="L322" s="1566">
        <v>11000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107495</v>
      </c>
      <c r="F330" s="1664">
        <f t="shared" si="25"/>
        <v>0</v>
      </c>
      <c r="G330" s="1664">
        <f t="shared" si="25"/>
        <v>0</v>
      </c>
      <c r="H330" s="1664">
        <f t="shared" si="25"/>
        <v>0</v>
      </c>
      <c r="I330" s="1664">
        <f t="shared" si="25"/>
        <v>0</v>
      </c>
      <c r="J330" s="1664">
        <f t="shared" si="25"/>
        <v>0</v>
      </c>
      <c r="K330" s="1664">
        <f>SUM(K319:K329)</f>
        <v>107495</v>
      </c>
      <c r="L330" s="1664">
        <f>SUM(L319:L329)</f>
        <v>150650</v>
      </c>
      <c r="M330" s="539"/>
      <c r="N330" s="539"/>
    </row>
    <row r="331" spans="1:14" s="548" customFormat="1" ht="12.75" customHeight="1" thickTop="1" x14ac:dyDescent="0.2">
      <c r="A331" s="1460" t="s">
        <v>1816</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1810</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1812</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1817</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107495</v>
      </c>
      <c r="F342" s="1664">
        <f>SUM(F330)</f>
        <v>0</v>
      </c>
      <c r="G342" s="1664">
        <f>SUM(G330)</f>
        <v>0</v>
      </c>
      <c r="H342" s="1664">
        <f>SUM(H330,H334,H340)</f>
        <v>0</v>
      </c>
      <c r="I342" s="1664">
        <f>SUM(I330)</f>
        <v>0</v>
      </c>
      <c r="J342" s="1664">
        <f>SUM(J330)</f>
        <v>0</v>
      </c>
      <c r="K342" s="1664">
        <f>SUM(K330,K334,K340)</f>
        <v>107495</v>
      </c>
      <c r="L342" s="1671">
        <f>SUM(L330,L334,L340,L341)</f>
        <v>150650</v>
      </c>
    </row>
    <row r="343" spans="1:14" ht="12.75" customHeight="1" thickTop="1" x14ac:dyDescent="0.2">
      <c r="A343" s="2347" t="s">
        <v>988</v>
      </c>
      <c r="B343" s="2348"/>
      <c r="C343" s="1663"/>
      <c r="D343" s="1663"/>
      <c r="E343" s="1663"/>
      <c r="F343" s="1663"/>
      <c r="G343" s="1663"/>
      <c r="H343" s="1663"/>
      <c r="I343" s="1663"/>
      <c r="J343" s="1663"/>
      <c r="K343" s="1679">
        <f>'Revenues 9-14'!J268-'Expenditures 15-22'!K342</f>
        <v>65479</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337" t="s">
        <v>959</v>
      </c>
      <c r="B345" s="2338"/>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10210</v>
      </c>
      <c r="F349" s="1565">
        <v>0</v>
      </c>
      <c r="G349" s="1565">
        <v>0</v>
      </c>
      <c r="H349" s="1565">
        <v>0</v>
      </c>
      <c r="I349" s="1566">
        <v>0</v>
      </c>
      <c r="J349" s="1566">
        <v>0</v>
      </c>
      <c r="K349" s="1662">
        <f>SUM(C349:J349)</f>
        <v>10210</v>
      </c>
      <c r="L349" s="1565">
        <v>50000</v>
      </c>
    </row>
    <row r="350" spans="1:14" ht="12.75" customHeight="1" thickBot="1" x14ac:dyDescent="0.25">
      <c r="A350" s="1373" t="s">
        <v>713</v>
      </c>
      <c r="B350" s="1374" t="s">
        <v>35</v>
      </c>
      <c r="C350" s="1664">
        <f>SUM(C348:C349)</f>
        <v>0</v>
      </c>
      <c r="D350" s="1664">
        <f t="shared" ref="D350:L350" si="26">SUM(D348:D349)</f>
        <v>0</v>
      </c>
      <c r="E350" s="1664">
        <f t="shared" si="26"/>
        <v>10210</v>
      </c>
      <c r="F350" s="1664">
        <f t="shared" si="26"/>
        <v>0</v>
      </c>
      <c r="G350" s="1664">
        <f t="shared" si="26"/>
        <v>0</v>
      </c>
      <c r="H350" s="1664">
        <f t="shared" si="26"/>
        <v>0</v>
      </c>
      <c r="I350" s="1664">
        <f t="shared" si="26"/>
        <v>0</v>
      </c>
      <c r="J350" s="1664">
        <f t="shared" si="26"/>
        <v>0</v>
      </c>
      <c r="K350" s="1664">
        <f t="shared" si="26"/>
        <v>10210</v>
      </c>
      <c r="L350" s="1664">
        <f t="shared" si="26"/>
        <v>50000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10210</v>
      </c>
      <c r="F352" s="1664">
        <f t="shared" si="27"/>
        <v>0</v>
      </c>
      <c r="G352" s="1664">
        <f t="shared" si="27"/>
        <v>0</v>
      </c>
      <c r="H352" s="1664">
        <f t="shared" si="27"/>
        <v>0</v>
      </c>
      <c r="I352" s="1664">
        <f t="shared" si="27"/>
        <v>0</v>
      </c>
      <c r="J352" s="1664">
        <f t="shared" si="27"/>
        <v>0</v>
      </c>
      <c r="K352" s="1664">
        <f t="shared" si="27"/>
        <v>10210</v>
      </c>
      <c r="L352" s="1664">
        <f t="shared" si="27"/>
        <v>50000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1818</v>
      </c>
      <c r="B354" s="557" t="s">
        <v>1810</v>
      </c>
      <c r="C354" s="1663"/>
      <c r="D354" s="1663"/>
      <c r="E354" s="1663"/>
      <c r="F354" s="1663"/>
      <c r="G354" s="1663"/>
      <c r="H354" s="1571">
        <v>0</v>
      </c>
      <c r="I354" s="1706"/>
      <c r="J354" s="1663"/>
      <c r="K354" s="1703">
        <f>H354</f>
        <v>0</v>
      </c>
      <c r="L354" s="1569">
        <v>0</v>
      </c>
    </row>
    <row r="355" spans="1:14" ht="12.75" customHeight="1" x14ac:dyDescent="0.2">
      <c r="A355" s="1276" t="s">
        <v>1819</v>
      </c>
      <c r="B355" s="562" t="s">
        <v>1812</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10210</v>
      </c>
      <c r="F367" s="1664">
        <f t="shared" si="28"/>
        <v>0</v>
      </c>
      <c r="G367" s="1664">
        <f t="shared" si="28"/>
        <v>0</v>
      </c>
      <c r="H367" s="1664">
        <f t="shared" si="28"/>
        <v>0</v>
      </c>
      <c r="I367" s="1664">
        <f t="shared" si="28"/>
        <v>0</v>
      </c>
      <c r="J367" s="1664">
        <f t="shared" si="28"/>
        <v>0</v>
      </c>
      <c r="K367" s="1664">
        <f t="shared" si="28"/>
        <v>10210</v>
      </c>
      <c r="L367" s="1664">
        <f t="shared" si="28"/>
        <v>50000</v>
      </c>
    </row>
    <row r="368" spans="1:14" ht="13.5" thickTop="1" x14ac:dyDescent="0.2">
      <c r="A368" s="2334" t="s">
        <v>988</v>
      </c>
      <c r="B368" s="2335"/>
      <c r="C368" s="1684"/>
      <c r="D368" s="1684"/>
      <c r="E368" s="1667"/>
      <c r="F368" s="1667"/>
      <c r="G368" s="1667"/>
      <c r="H368" s="1667"/>
      <c r="I368" s="1667"/>
      <c r="J368" s="1666"/>
      <c r="K368" s="1662">
        <f>'Revenues 9-14'!K268-'Expenditures 15-22'!K367</f>
        <v>22527</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1"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purl.org/dc/dcmitype/"/>
    <ds:schemaRef ds:uri="d21dc803-237d-4c68-8692-8d731fd29118"/>
    <ds:schemaRef ds:uri="http://purl.org/dc/elements/1.1/"/>
    <ds:schemaRef ds:uri="http://schemas.microsoft.com/office/2006/documentManagement/types"/>
    <ds:schemaRef ds:uri="http://www.w3.org/XML/1998/namespace"/>
    <ds:schemaRef ds:uri="http://schemas.microsoft.com/office/infopath/2007/PartnerControls"/>
    <ds:schemaRef ds:uri="6ce3111e-7420-4802-b50a-75d4e9a0b980"/>
    <ds:schemaRef ds:uri="http://schemas.openxmlformats.org/package/2006/metadata/core-properties"/>
    <ds:schemaRef ds:uri="4d435f69-8686-490b-bd6d-b153bf22ab50"/>
    <ds:schemaRef ds:uri="http://schemas.microsoft.com/sharepoint/v3"/>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2020-10-15T13:03:19Z</cp:lastPrinted>
  <dcterms:created xsi:type="dcterms:W3CDTF">2003-10-29T19:06:34Z</dcterms:created>
  <dcterms:modified xsi:type="dcterms:W3CDTF">2020-10-18T18:22:36Z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1050.90b</vt:lpwstr>
  </property>
</Properties>
</file>