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E081211-D3C5-4D1D-BE87-5701F01CED58}"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69" i="29" l="1"/>
  <c r="H170" i="29"/>
  <c r="E61" i="29"/>
  <c r="E46" i="29"/>
  <c r="C168" i="5"/>
  <c r="C79" i="5"/>
  <c r="D234" i="29"/>
  <c r="D215" i="29"/>
  <c r="J39" i="8"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F24" i="183" s="1"/>
  <c r="E23" i="183"/>
  <c r="F23" i="183" s="1"/>
  <c r="E22" i="183"/>
  <c r="F22" i="183" s="1"/>
  <c r="E21" i="183"/>
  <c r="F21" i="183" s="1"/>
  <c r="E20" i="183"/>
  <c r="F20" i="183" s="1"/>
  <c r="E19" i="183"/>
  <c r="F19" i="183" s="1"/>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B7135" i="106"/>
  <c r="D7135" i="106" s="1"/>
  <c r="E58" i="184"/>
  <c r="N58" i="184" s="1"/>
  <c r="F42" i="34"/>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D31" i="108"/>
  <c r="E16" i="184"/>
  <c r="H16" i="184" s="1"/>
  <c r="B7153" i="106"/>
  <c r="D7153" i="106" s="1"/>
  <c r="E60" i="184"/>
  <c r="N60" i="184" s="1"/>
  <c r="G33" i="108"/>
  <c r="E17" i="184"/>
  <c r="H17" i="184" s="1"/>
  <c r="E19" i="184"/>
  <c r="H12" i="184"/>
  <c r="H19" i="184" s="1"/>
  <c r="L20"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N57" i="184"/>
  <c r="N68" i="184" s="1"/>
  <c r="E68" i="184"/>
  <c r="E367" i="29"/>
  <c r="B3635" i="106"/>
  <c r="L16" i="11"/>
  <c r="B2061" i="106" s="1"/>
  <c r="D2061" i="106" s="1"/>
  <c r="F41" i="108"/>
  <c r="G43" i="108" s="1"/>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77" i="34" l="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<sst xmlns="http://schemas.openxmlformats.org/spreadsheetml/2006/main" count="5162" uniqueCount="2097">
  <si>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</si>
  <si>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</si>
  <si>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</si>
  <si>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</si>
  <si>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</si>
  <si>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</si>
  <si>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</si>
  <si>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</si>
  <si>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</si>
  <si>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</si>
  <si>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</si>
  <si>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</si>
  <si>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</si>
  <si>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</si>
  <si>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</si>
  <si>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</si>
  <si>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</si>
  <si>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</si>
  <si>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</si>
  <si>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</si>
  <si>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</si>
  <si>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</si>
  <si>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</si>
  <si>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</si>
  <si>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</si>
  <si>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</si>
  <si>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</si>
  <si>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</si>
  <si>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</si>
  <si>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</si>
  <si>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</si>
  <si>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</si>
  <si>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</si>
  <si>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</si>
  <si>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</si>
  <si>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</si>
  <si>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</si>
  <si>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</si>
  <si>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</si>
  <si>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</si>
  <si>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</si>
  <si>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</si>
  <si>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</si>
  <si>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</si>
  <si>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</si>
  <si>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</si>
  <si>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</si>
  <si>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</si>
  <si>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</si>
  <si>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</si>
  <si>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</si>
  <si>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</si>
  <si>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</si>
  <si>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</si>
  <si>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</si>
  <si>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</si>
  <si>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</si>
  <si>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</si>
  <si>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</si>
  <si>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</si>
  <si>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</si>
  <si>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</si>
  <si>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</si>
  <si>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</si>
  <si>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</si>
  <si>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</si>
  <si>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</si>
  <si>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</si>
  <si>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</si>
  <si>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</si>
  <si>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</si>
  <si>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</si>
  <si>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</si>
  <si>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</si>
  <si>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</si>
  <si>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</si>
  <si>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</si>
  <si>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</si>
  <si>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</si>
  <si>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</si>
  <si>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</si>
  <si>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</si>
  <si>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</si>
  <si>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</si>
  <si>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</si>
  <si>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</si>
  <si>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</si>
  <si>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</si>
  <si>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</si>
  <si>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</si>
  <si>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</si>
  <si>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</si>
  <si>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</si>
  <si>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</si>
  <si>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</si>
  <si>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</si>
  <si>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</si>
  <si>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</si>
  <si>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</si>
  <si>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</si>
  <si>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</si>
  <si>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</si>
  <si>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</si>
  <si>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</si>
  <si>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</si>
  <si>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</si>
  <si>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</si>
  <si>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</si>
  <si>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</si>
  <si>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</si>
  <si>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</si>
  <si>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</si>
  <si>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</si>
  <si>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</si>
  <si>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</si>
  <si>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</si>
  <si>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</si>
  <si>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</si>
  <si>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</si>
  <si>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</si>
  <si>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</si>
  <si>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</si>
  <si>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</si>
  <si>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</si>
  <si>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</si>
  <si>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</si>
  <si>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</si>
  <si>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</si>
  <si>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</si>
  <si>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</si>
  <si>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</si>
  <si>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</si>
  <si>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</si>
  <si>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</si>
  <si>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</si>
  <si>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</si>
  <si>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</si>
  <si>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</si>
  <si>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</si>
  <si>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</si>
  <si>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</si>
  <si>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</si>
  <si>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</si>
  <si>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</si>
  <si>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</si>
  <si>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</si>
  <si>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</si>
  <si>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</si>
  <si>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</si>
  <si>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</si>
  <si>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</si>
  <si>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</si>
  <si>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</si>
  <si>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</si>
  <si>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</si>
  <si>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</si>
  <si>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</si>
  <si>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</si>
  <si>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</si>
  <si>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</si>
  <si>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</si>
  <si>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</si>
  <si>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</si>
  <si>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</si>
  <si>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</si>
  <si>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</si>
  <si>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</si>
  <si>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</si>
  <si>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</si>
  <si>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</si>
  <si>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</si>
  <si>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</si>
  <si>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</si>
  <si>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</si>
  <si>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</si>
  <si>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</si>
  <si>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</si>
  <si>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</si>
  <si>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</si>
  <si>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</si>
  <si>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</si>
  <si>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</si>
  <si>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</si>
  <si>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</si>
  <si>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</si>
  <si>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</si>
  <si>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</si>
  <si>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</si>
  <si>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</si>
  <si>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</si>
  <si>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</si>
  <si>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</si>
  <si>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</si>
  <si>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</si>
  <si>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</si>
  <si>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</si>
  <si>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</si>
  <si>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</si>
  <si>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</si>
  <si>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</si>
  <si>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</si>
  <si>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</si>
  <si>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</si>
  <si>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</si>
  <si>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</si>
  <si>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</si>
  <si>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</si>
  <si>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</si>
  <si>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</si>
  <si>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</si>
  <si>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</si>
  <si>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</si>
  <si>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</si>
  <si>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</si>
  <si>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</si>
  <si>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</si>
  <si>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</si>
  <si>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</si>
  <si>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</si>
  <si>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</si>
  <si>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</si>
  <si>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</si>
  <si>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</si>
  <si>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</si>
  <si>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</si>
  <si>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</si>
  <si>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</si>
  <si>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</si>
  <si>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</si>
  <si>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</si>
  <si>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</si>
  <si>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</si>
  <si>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</si>
  <si>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</si>
  <si>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</si>
  <si>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</si>
  <si>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</si>
  <si>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</si>
  <si>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</si>
  <si>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</si>
  <si>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</si>
  <si>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</si>
  <si>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</si>
  <si>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</si>
  <si>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</si>
  <si>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</si>
  <si>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</si>
  <si>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</si>
  <si>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</si>
  <si>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</si>
  <si>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</si>
  <si>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</si>
  <si>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</si>
  <si>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</si>
  <si>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</si>
  <si>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</si>
  <si>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</si>
  <si>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</si>
  <si>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</si>
  <si>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</si>
  <si>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</si>
  <si>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</si>
  <si>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</si>
  <si>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</si>
  <si>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</si>
  <si>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</si>
  <si>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</si>
  <si>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</si>
  <si>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</si>
  <si>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</si>
  <si>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</si>
  <si>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</si>
  <si>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</si>
  <si>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</si>
  <si>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</si>
  <si>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</si>
  <si>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</si>
  <si>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</si>
  <si>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</si>
  <si>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</si>
  <si>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</si>
  <si>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</si>
  <si>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</si>
  <si>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</si>
  <si>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</si>
  <si>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</si>
  <si>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</si>
  <si>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</si>
  <si>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</si>
  <si>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</si>
  <si>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</si>
  <si>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</si>
  <si>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</si>
  <si>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</si>
  <si>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</si>
  <si>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</si>
  <si>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</si>
  <si>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</si>
  <si>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</si>
  <si>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</si>
  <si>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</si>
  <si>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</si>
  <si>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</si>
  <si>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</si>
  <si>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</si>
  <si>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</si>
  <si>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</si>
  <si>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</si>
  <si>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</si>
  <si>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</si>
  <si>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</si>
  <si>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</si>
  <si>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</si>
  <si>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</si>
  <si>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</si>
  <si>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</si>
  <si>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</si>
  <si>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</si>
  <si>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</si>
  <si>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</si>
  <si>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</si>
  <si>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</si>
  <si>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</si>
  <si>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</si>
  <si>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</si>
  <si>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</si>
  <si>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</si>
  <si>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</si>
  <si>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</si>
  <si>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</si>
  <si>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</si>
  <si>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</si>
  <si>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</si>
  <si>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</si>
  <si>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</si>
  <si>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</si>
  <si>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</si>
  <si>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</si>
  <si>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</si>
  <si>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</si>
  <si>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</si>
  <si>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</si>
  <si>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</si>
  <si>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</si>
  <si>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</si>
  <si>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</si>
  <si>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</si>
  <si>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</si>
  <si>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</si>
  <si>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</si>
  <si>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</si>
  <si>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</si>
  <si>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</si>
  <si>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</si>
  <si>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</si>
  <si>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</si>
  <si>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</si>
  <si>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</si>
  <si>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</si>
  <si>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</si>
  <si>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</si>
  <si>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</si>
  <si>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</si>
  <si>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</si>
  <si>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</si>
  <si>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</si>
  <si>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</si>
  <si>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</si>
  <si>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</si>
  <si>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</si>
  <si>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</si>
  <si>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</si>
  <si>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</si>
  <si>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</si>
  <si>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</si>
  <si>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</si>
  <si>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</si>
  <si>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</si>
  <si>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</si>
  <si>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</si>
  <si>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</si>
  <si>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</si>
  <si>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</si>
  <si>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</si>
  <si>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</si>
  <si>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</si>
  <si>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</si>
  <si>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</si>
  <si>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</si>
  <si>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</si>
  <si>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</si>
  <si>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</si>
  <si>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</si>
  <si>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</si>
  <si>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</si>
  <si>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</si>
  <si>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</si>
  <si>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</si>
  <si>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</si>
  <si>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</si>
  <si>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</si>
  <si>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</si>
  <si>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</si>
  <si>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</si>
  <si>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</si>
  <si>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</si>
  <si>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</si>
  <si>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</si>
  <si>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</si>
  <si>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</si>
  <si>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</si>
  <si>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</si>
  <si>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</si>
  <si>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</si>
  <si>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</si>
  <si>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</si>
  <si>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</si>
  <si>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</si>
  <si>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</si>
  <si>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</si>
  <si>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</si>
  <si>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</si>
  <si>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</si>
  <si>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</si>
  <si>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</si>
  <si>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</si>
  <si>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</si>
  <si>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</si>
  <si>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</si>
  <si>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</si>
  <si>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</si>
  <si>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</si>
  <si>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</si>
  <si>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</si>
  <si>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</si>
  <si>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</si>
  <si>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</si>
  <si>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</si>
  <si>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</si>
  <si>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</si>
  <si>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</si>
  <si>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</si>
  <si>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</si>
  <si>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</si>
  <si>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</si>
  <si>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</si>
  <si>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</si>
  <si>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</si>
  <si>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</si>
  <si>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</si>
  <si>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</si>
  <si>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</si>
  <si>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</si>
  <si>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</si>
  <si>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</si>
  <si>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</si>
  <si>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</si>
  <si>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</si>
  <si>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</si>
  <si>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</si>
  <si>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</si>
  <si>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</si>
  <si>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</si>
  <si>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</si>
  <si>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</si>
  <si>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</si>
  <si>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</si>
  <si>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</si>
  <si>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</si>
  <si>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</si>
  <si>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</si>
  <si>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</si>
  <si>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</si>
  <si>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</si>
  <si>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</si>
  <si>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</si>
  <si>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</si>
  <si>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</si>
  <si>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</si>
  <si>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</si>
  <si>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</si>
  <si>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</si>
  <si>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</si>
  <si>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</si>
  <si>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</si>
  <si>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</si>
  <si>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</si>
  <si>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</si>
  <si>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</si>
  <si>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</si>
  <si>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</si>
  <si>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</si>
  <si>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</si>
  <si>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</si>
  <si>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</si>
  <si>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</si>
  <si>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</si>
  <si>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</si>
  <si>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</si>
  <si>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</si>
  <si>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</si>
  <si>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</si>
  <si>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</si>
  <si>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</si>
  <si>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</si>
  <si>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</si>
  <si>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</si>
  <si>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</si>
  <si>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</si>
  <si>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</si>
  <si>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</si>
  <si>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</si>
  <si>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</si>
  <si>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</si>
  <si>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</si>
  <si>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</si>
  <si>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</si>
  <si>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</si>
  <si>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</si>
  <si>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</si>
  <si>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</si>
  <si>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</si>
  <si>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</si>
  <si>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</si>
  <si>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</si>
  <si>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</si>
  <si>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</si>
  <si>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</si>
  <si>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</si>
  <si>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</si>
  <si>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</si>
  <si>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</si>
  <si>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</si>
  <si>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</si>
  <si>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</si>
  <si>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</si>
  <si>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</si>
  <si>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</si>
  <si>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</si>
  <si>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</si>
  <si>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</si>
  <si>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</si>
  <si>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</si>
  <si>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</si>
  <si>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</si>
  <si>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</si>
  <si>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</si>
  <si>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</si>
  <si>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</si>
  <si>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</si>
  <si>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</si>
  <si>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</si>
  <si>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</si>
  <si>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</si>
  <si>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</si>
  <si>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</si>
  <si>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</si>
  <si>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</si>
  <si>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</si>
  <si>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</si>
  <si>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</si>
  <si>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</si>
  <si>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</si>
  <si>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</si>
  <si>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</si>
  <si>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</si>
  <si>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</si>
  <si>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</si>
  <si>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</si>
  <si>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</si>
  <si>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</si>
  <si>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</si>
  <si>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</si>
  <si>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</si>
  <si>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</si>
  <si>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</si>
  <si>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</si>
  <si>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</si>
  <si>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</si>
  <si>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</si>
  <si>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</si>
  <si>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</si>
  <si>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</si>
  <si>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</si>
  <si>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</si>
  <si>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</si>
  <si>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</si>
  <si>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</si>
  <si>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</si>
  <si>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</si>
  <si>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</si>
  <si>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</si>
  <si>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</si>
  <si>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</si>
  <si>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</si>
  <si>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</si>
  <si>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</si>
  <si>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</si>
  <si>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</si>
  <si>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</si>
  <si>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</si>
  <si>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</si>
  <si>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</si>
  <si>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</si>
  <si>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</si>
  <si>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</si>
  <si>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</si>
  <si>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</si>
  <si>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</si>
  <si>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</si>
  <si>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</si>
  <si>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</si>
  <si>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</si>
  <si>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</si>
  <si>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</si>
  <si>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</si>
  <si>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</si>
  <si>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</si>
  <si>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</si>
  <si>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</si>
  <si>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</si>
  <si>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</si>
  <si>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</si>
  <si>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</si>
  <si>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</si>
  <si>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</si>
  <si>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</si>
  <si>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</si>
  <si>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</si>
  <si>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</si>
  <si>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</si>
  <si>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</si>
  <si>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</si>
  <si>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</si>
  <si>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</si>
  <si>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</si>
  <si>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</si>
  <si>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</si>
  <si>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</si>
  <si>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</si>
  <si>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</si>
  <si>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</si>
  <si>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</si>
  <si>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</si>
  <si>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</si>
  <si>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</si>
  <si>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</si>
  <si>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</si>
  <si>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</si>
  <si>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</si>
  <si>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</si>
  <si>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</si>
  <si>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</si>
  <si>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</si>
  <si>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</si>
  <si>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</si>
  <si>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</si>
  <si>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</si>
  <si>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</si>
  <si>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</si>
  <si>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</si>
  <si>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</si>
  <si>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</si>
  <si>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</si>
  <si>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</si>
  <si>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</si>
  <si>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</si>
  <si>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</si>
  <si>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</si>
  <si>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</si>
  <si>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</si>
  <si>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</si>
  <si>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</si>
  <si>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</si>
  <si>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</si>
  <si>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</si>
  <si>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</si>
  <si>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</si>
  <si>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</si>
  <si>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</si>
  <si>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</si>
  <si>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</si>
  <si>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</si>
  <si>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</si>
  <si>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</si>
  <si>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</si>
  <si>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</si>
  <si>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</si>
  <si>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</si>
  <si>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</si>
  <si>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</si>
  <si>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</si>
  <si>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</si>
  <si>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</si>
  <si>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</si>
  <si>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</si>
  <si>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</si>
  <si>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</si>
  <si>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</si>
  <si>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</si>
  <si>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</si>
  <si>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</si>
  <si>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</si>
  <si>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</si>
  <si>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</si>
  <si>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</si>
  <si>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</si>
  <si>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</si>
  <si>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</si>
  <si>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</si>
  <si>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</si>
  <si>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</si>
  <si>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</si>
  <si>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</si>
  <si>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</si>
  <si>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</si>
  <si>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</si>
  <si>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</si>
  <si>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</si>
  <si>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</si>
  <si>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</si>
  <si>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</si>
  <si>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</si>
  <si>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</si>
  <si>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</si>
  <si>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</si>
  <si>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</si>
  <si>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</si>
  <si>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</si>
  <si>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</si>
  <si>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</si>
  <si>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</si>
  <si>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</si>
  <si>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</si>
  <si>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</si>
  <si>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</si>
  <si>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</si>
  <si>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</si>
  <si>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</si>
  <si>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</si>
  <si>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</si>
  <si>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</si>
  <si>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</si>
  <si>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</si>
  <si>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</si>
  <si>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</si>
  <si>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</si>
  <si>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</si>
  <si>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</si>
  <si>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</si>
  <si>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</si>
  <si>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</si>
  <si>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</si>
  <si>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</si>
  <si>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</si>
  <si>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</si>
  <si>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</si>
  <si>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</si>
  <si>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</si>
  <si>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</si>
  <si>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</si>
  <si>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</si>
  <si>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</si>
  <si>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</si>
  <si>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</si>
  <si>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</si>
  <si>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</si>
  <si>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</si>
  <si>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</si>
  <si>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</si>
  <si>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</si>
  <si>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</si>
  <si>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</si>
  <si>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</si>
  <si>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</si>
  <si>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</si>
  <si>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</si>
  <si>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</si>
  <si>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</si>
  <si>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</si>
  <si>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</si>
  <si>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</si>
  <si>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</si>
  <si>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</si>
  <si>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</si>
  <si>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</si>
  <si>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</si>
  <si>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</si>
  <si>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</si>
  <si>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</si>
  <si>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</si>
  <si>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</si>
  <si>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</si>
  <si>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</si>
  <si>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</si>
  <si>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</si>
  <si>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</si>
  <si>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</si>
  <si>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</si>
  <si>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</si>
  <si>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</si>
  <si>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</si>
  <si>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</si>
  <si>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</si>
  <si>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</si>
  <si>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</si>
  <si>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</si>
  <si>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</si>
  <si>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</si>
  <si>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</si>
  <si>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</si>
  <si>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</si>
  <si>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</si>
  <si>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</si>
  <si>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</si>
  <si>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</si>
  <si>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</si>
  <si>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</si>
  <si>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</si>
  <si>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</si>
  <si>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</si>
  <si>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</si>
  <si>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</si>
  <si>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</si>
  <si>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</si>
  <si>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</si>
  <si>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</si>
  <si>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</si>
  <si>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</si>
  <si>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</si>
  <si>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</si>
  <si>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</si>
  <si>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</si>
  <si>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</si>
  <si>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</si>
  <si>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</si>
  <si>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</si>
  <si>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</si>
  <si>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</si>
  <si>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</si>
  <si>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</si>
  <si>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</si>
  <si>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</si>
  <si>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</si>
  <si>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</si>
  <si>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</si>
  <si>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</si>
  <si>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</si>
  <si>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</si>
  <si>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</si>
  <si>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</si>
  <si>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</si>
  <si>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</si>
  <si>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</si>
  <si>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</si>
  <si>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</si>
  <si>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</si>
  <si>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</si>
  <si>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</si>
  <si>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</si>
  <si>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</si>
  <si>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</si>
  <si>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</si>
  <si>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</si>
  <si>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</si>
  <si>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</si>
  <si>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</si>
  <si>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</si>
  <si>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</si>
  <si>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</si>
  <si>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</si>
  <si>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</si>
  <si>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</si>
  <si>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</si>
  <si>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</si>
  <si>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</si>
  <si>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</si>
  <si>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</si>
  <si>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</si>
  <si>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</si>
  <si>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</si>
  <si>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</si>
  <si>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</si>
  <si>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</si>
  <si>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</si>
  <si>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</si>
  <si>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</si>
  <si>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</si>
  <si>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</si>
  <si>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</si>
  <si>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</si>
  <si>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</si>
  <si>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</si>
  <si>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</si>
  <si>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</si>
  <si>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</si>
  <si>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</si>
  <si>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</si>
  <si>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</si>
  <si>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</si>
  <si>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</si>
  <si>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</si>
  <si>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</si>
  <si>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</si>
  <si>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</si>
  <si>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</si>
  <si>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</si>
  <si>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</si>
  <si>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</si>
  <si>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</si>
  <si>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</si>
  <si>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</si>
  <si>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</si>
  <si>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</si>
  <si>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</si>
  <si>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</si>
  <si>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</si>
  <si>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</si>
  <si>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</si>
  <si>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</si>
  <si>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</si>
  <si>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</si>
  <si>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</si>
  <si>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</si>
  <si>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</si>
  <si>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</si>
  <si>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</si>
  <si>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</si>
  <si>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</si>
  <si>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</si>
  <si>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</si>
  <si>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</si>
  <si>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</si>
  <si>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</si>
  <si>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</si>
  <si>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</si>
  <si>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</si>
  <si>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</si>
  <si>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</si>
  <si>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</si>
  <si>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</si>
  <si>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</si>
  <si>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</si>
  <si>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</si>
  <si>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</si>
  <si>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</si>
  <si>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</si>
  <si>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</si>
  <si>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</si>
  <si>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</si>
  <si>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</si>
  <si>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</si>
  <si>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</si>
  <si>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</si>
  <si>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</si>
  <si>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</si>
  <si>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</si>
  <si>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</si>
  <si>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</si>
  <si>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</si>
  <si>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</si>
  <si>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</si>
  <si>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</si>
  <si>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</si>
  <si>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</si>
  <si>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</si>
  <si>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</si>
  <si>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</si>
  <si>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</si>
  <si>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</si>
  <si>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</si>
  <si>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</si>
  <si>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</si>
  <si>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</si>
  <si>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</si>
  <si>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</si>
  <si>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</si>
  <si>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</si>
  <si>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</si>
  <si>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</si>
  <si>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</si>
  <si>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</si>
  <si>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</si>
  <si>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</si>
  <si>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</si>
  <si>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</si>
  <si>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</si>
  <si>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</si>
  <si>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</si>
  <si>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</si>
  <si>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</si>
  <si>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</si>
  <si>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</si>
  <si>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</si>
  <si>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</si>
  <si>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</si>
  <si>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</si>
  <si>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</si>
  <si>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</si>
  <si>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</si>
  <si>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</si>
  <si>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</si>
  <si>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</si>
  <si>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</si>
  <si>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</si>
  <si>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</si>
  <si>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</si>
  <si>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</si>
  <si>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</si>
  <si>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</si>
  <si>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</si>
  <si>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</si>
  <si>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</si>
  <si>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</si>
  <si>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</si>
  <si>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</si>
  <si>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</si>
  <si>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</si>
  <si>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</si>
  <si>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</si>
  <si>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</si>
  <si>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</si>
  <si>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</si>
  <si>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</si>
  <si>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</si>
  <si>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</si>
  <si>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</si>
  <si>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</si>
  <si>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</si>
  <si>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</si>
  <si>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</si>
  <si>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</si>
  <si>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</si>
  <si>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</si>
  <si>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</si>
  <si>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</si>
  <si>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</si>
  <si>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</si>
  <si>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</si>
  <si>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</si>
  <si>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</si>
  <si>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</si>
  <si>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</si>
  <si>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</si>
  <si>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</si>
  <si>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</si>
  <si>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</si>
  <si>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</si>
  <si>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</si>
  <si>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</si>
  <si>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</si>
  <si>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</si>
  <si>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</si>
  <si>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</si>
  <si>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</si>
  <si>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</si>
  <si>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</si>
  <si>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</si>
  <si>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</si>
  <si>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</si>
  <si>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</si>
  <si>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</si>
  <si>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</si>
  <si>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</si>
  <si>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</si>
  <si>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</si>
  <si>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</si>
  <si>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</si>
  <si>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</si>
  <si>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</si>
  <si>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</si>
  <si>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</si>
  <si>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</si>
  <si>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</si>
  <si>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</si>
  <si>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</si>
  <si>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</si>
  <si>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</si>
  <si>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</si>
  <si>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</si>
  <si>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</si>
  <si>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</si>
  <si>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</si>
  <si>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</si>
  <si>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</si>
  <si>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</si>
  <si>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</si>
  <si>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</si>
  <si>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</si>
  <si>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</si>
  <si>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</si>
  <si>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</si>
  <si>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</si>
  <si>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</si>
  <si>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</si>
  <si>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</si>
  <si>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</si>
  <si>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</si>
  <si>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</si>
  <si>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</si>
  <si>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</si>
  <si>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</si>
  <si>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</si>
  <si>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</si>
  <si>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</si>
  <si>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</si>
  <si>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</si>
  <si>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</si>
  <si>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</si>
  <si>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</si>
  <si>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</si>
  <si>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</si>
  <si>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</si>
  <si>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</si>
  <si>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</si>
  <si>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</si>
  <si>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</si>
  <si>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</si>
  <si>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</si>
  <si>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</si>
  <si>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</si>
  <si>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</si>
  <si>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</si>
  <si>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</si>
  <si>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</si>
  <si>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</si>
  <si>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</si>
  <si>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</si>
  <si>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</si>
  <si>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</si>
  <si>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</si>
  <si>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</si>
  <si>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</si>
  <si>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</si>
  <si>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</si>
  <si>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</si>
  <si>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</si>
  <si>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</si>
  <si>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</si>
  <si>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</si>
  <si>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</si>
  <si>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</si>
  <si>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</si>
  <si>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</si>
  <si>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</si>
  <si>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</si>
  <si>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</si>
  <si>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</si>
  <si>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</si>
  <si>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</si>
  <si>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</si>
  <si>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</si>
  <si>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</si>
  <si>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</si>
  <si>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</si>
  <si>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</si>
  <si>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</si>
  <si>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</si>
  <si>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</si>
  <si>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</si>
  <si>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</si>
  <si>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</si>
  <si>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</si>
  <si>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</si>
  <si>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</si>
  <si>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</si>
  <si>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</si>
  <si>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</si>
  <si>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</si>
  <si>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</si>
  <si>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</si>
  <si>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</si>
  <si>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</si>
  <si>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</si>
  <si>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</si>
  <si>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</si>
  <si>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</si>
  <si>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</si>
  <si>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</si>
  <si>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</si>
  <si>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</si>
  <si>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</si>
  <si>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</si>
  <si>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</si>
  <si>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</si>
  <si>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</si>
  <si>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</si>
  <si>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</si>
  <si>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</si>
  <si>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</si>
  <si>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</si>
  <si>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</si>
  <si>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</si>
  <si>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</si>
  <si>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</si>
  <si>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</si>
  <si>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</si>
  <si>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</si>
  <si>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</si>
  <si>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</si>
  <si>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</si>
  <si>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</si>
  <si>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</si>
  <si>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</si>
  <si>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</si>
  <si>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</si>
  <si>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</si>
  <si>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</si>
  <si>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</si>
  <si>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</si>
  <si>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</si>
  <si>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</si>
  <si>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</si>
  <si>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</si>
  <si>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</si>
  <si>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</si>
  <si>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</si>
  <si>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</si>
  <si>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</si>
  <si>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</si>
  <si>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</si>
  <si>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</si>
  <si>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</si>
  <si>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</si>
  <si>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</si>
  <si>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</si>
  <si>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</si>
  <si>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</si>
  <si>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</si>
  <si>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</si>
  <si>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</si>
  <si>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</si>
  <si>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</si>
  <si>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</si>
  <si>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</si>
  <si>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</si>
  <si>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</si>
  <si>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</si>
  <si>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</si>
  <si>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</si>
  <si>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</si>
  <si>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</si>
  <si>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</si>
  <si>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</si>
  <si>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</si>
  <si>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</si>
  <si>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</si>
  <si>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</si>
  <si>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</si>
  <si>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</si>
  <si>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</si>
  <si>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</si>
  <si>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</si>
  <si>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</si>
  <si>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</si>
  <si>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</si>
  <si>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</si>
  <si>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</si>
  <si>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</si>
  <si>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</si>
  <si>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</si>
  <si>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</si>
  <si>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</si>
  <si>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</si>
  <si>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</si>
  <si>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</si>
  <si>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</si>
  <si>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</si>
  <si>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</si>
  <si>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</si>
  <si>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</si>
  <si>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</si>
  <si>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</si>
  <si>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</si>
  <si>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</si>
  <si>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</si>
  <si>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</si>
  <si>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</si>
  <si>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</si>
  <si>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</si>
  <si>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</si>
  <si>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</si>
  <si>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</si>
  <si>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</si>
  <si>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</si>
  <si>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</si>
  <si>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</si>
  <si>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</si>
  <si>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</si>
  <si>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</si>
  <si>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</si>
  <si>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</si>
  <si>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</si>
  <si>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</si>
  <si>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</si>
  <si>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</si>
  <si>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</si>
  <si>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</si>
  <si>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</si>
  <si>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</si>
  <si>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</si>
  <si>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</si>
  <si>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</si>
  <si>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</si>
  <si>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</si>
  <si>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</si>
  <si>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</si>
  <si>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</si>
  <si>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</si>
  <si>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</si>
  <si>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</si>
  <si>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</si>
  <si>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</si>
  <si>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</si>
  <si>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</si>
  <si>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</si>
  <si>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</si>
  <si>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</si>
  <si>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</si>
  <si>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</si>
  <si>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</si>
  <si>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</si>
  <si>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</si>
  <si>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</si>
  <si>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</si>
  <si>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</si>
  <si>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</si>
  <si>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</si>
  <si>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</si>
  <si>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</si>
  <si>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</si>
  <si>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</si>
  <si>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</si>
  <si>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</si>
  <si>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</si>
  <si>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</si>
  <si>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</si>
  <si>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</si>
  <si>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</si>
  <si>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</si>
  <si>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</si>
  <si>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</si>
  <si>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</si>
  <si>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</si>
  <si>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</si>
  <si>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</si>
  <si>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</si>
  <si>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</si>
  <si>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</si>
  <si>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</si>
  <si>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</si>
  <si>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</si>
  <si>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</si>
  <si>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</si>
  <si>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</si>
  <si>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</si>
  <si>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</si>
  <si>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</si>
  <si>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</si>
  <si>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</si>
  <si>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</si>
  <si>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</si>
  <si>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</si>
  <si>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</si>
  <si>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</si>
  <si>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</si>
  <si>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</si>
  <si>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</si>
  <si>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</si>
  <si>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</si>
  <si>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</si>
  <si>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</si>
  <si>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</si>
  <si>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</si>
  <si>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</si>
  <si>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</si>
  <si>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</si>
  <si>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</si>
  <si>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</si>
  <si>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</si>
  <si>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</si>
  <si>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</si>
  <si>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</si>
  <si>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</si>
  <si>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</si>
  <si>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</si>
  <si>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</si>
  <si>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</si>
  <si>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</si>
  <si>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</si>
  <si>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</si>
  <si>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</si>
  <si>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</si>
  <si>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</si>
  <si>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</si>
  <si>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</si>
  <si>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</si>
  <si>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</si>
  <si>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</si>
  <si>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</si>
  <si>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</si>
  <si>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</si>
  <si>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</si>
  <si>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</si>
  <si>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</si>
  <si>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</si>
  <si>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</si>
  <si>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</si>
  <si>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</si>
  <si>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</si>
  <si>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</si>
  <si>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</si>
  <si>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</si>
  <si>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</si>
  <si>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</si>
  <si>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</si>
  <si>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</si>
  <si>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</si>
  <si>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</si>
  <si>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</si>
  <si>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</si>
  <si>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</si>
  <si>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</si>
  <si>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</si>
  <si>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</si>
  <si>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</si>
  <si>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</si>
  <si>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</si>
  <si>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</si>
  <si>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</si>
  <si>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</si>
  <si>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</si>
  <si>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</si>
  <si>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</si>
  <si>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</si>
  <si>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</si>
  <si>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</si>
  <si>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</si>
  <si>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</si>
  <si>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</si>
  <si>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</si>
  <si>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</si>
  <si>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</si>
  <si>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</si>
  <si>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</si>
  <si>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</si>
  <si>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</si>
  <si>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</si>
  <si>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</si>
  <si>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</si>
  <si>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</si>
  <si>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</si>
  <si>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</si>
  <si>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</si>
  <si>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</si>
  <si>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</si>
  <si>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</si>
  <si>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</si>
  <si>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</si>
  <si>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</si>
  <si>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</si>
  <si>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</si>
  <si>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</si>
  <si>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</si>
  <si>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</si>
  <si>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</si>
  <si>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</si>
  <si>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</si>
  <si>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</si>
  <si>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</si>
  <si>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</si>
  <si>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</si>
  <si>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</si>
  <si>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</si>
  <si>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</si>
  <si>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</si>
  <si>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</si>
  <si>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</si>
  <si>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</si>
  <si>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</si>
  <si>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</si>
  <si>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</si>
  <si>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</si>
  <si>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</si>
  <si>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</si>
  <si>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</si>
  <si>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</si>
  <si>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</si>
  <si>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</si>
  <si>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</si>
  <si>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</si>
  <si>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</si>
  <si>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</si>
  <si>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</si>
  <si>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</si>
  <si>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</si>
  <si>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</si>
  <si>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</si>
  <si>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</si>
  <si>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</si>
  <si>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</si>
  <si>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</si>
  <si>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</si>
  <si>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</si>
  <si>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</si>
  <si>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</si>
  <si>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</si>
  <si>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</si>
  <si>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</si>
  <si>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</si>
  <si>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</si>
  <si>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</si>
  <si>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</si>
  <si>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</si>
  <si>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</si>
  <si>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</si>
  <si>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</si>
  <si>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</si>
  <si>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</si>
  <si>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</si>
  <si>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</si>
  <si>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</si>
  <si>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</si>
  <si>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</si>
  <si>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</si>
  <si>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</si>
  <si>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</si>
  <si>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</si>
  <si>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</si>
  <si>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</si>
  <si>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</si>
  <si>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</si>
  <si>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</si>
  <si>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</si>
  <si>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</si>
  <si>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</si>
  <si>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</si>
  <si>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</si>
  <si>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</si>
  <si>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</si>
  <si>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</si>
  <si>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</si>
  <si>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</si>
  <si>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</si>
  <si>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</si>
  <si>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</si>
  <si>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</si>
  <si>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</si>
  <si>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</si>
  <si>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</si>
  <si>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</si>
  <si>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</si>
  <si>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</si>
  <si>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</si>
  <si>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</si>
  <si>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</si>
  <si>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</si>
  <si>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</si>
  <si>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</si>
  <si>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</si>
  <si>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</si>
  <si>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</si>
  <si>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</si>
  <si>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</si>
  <si>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</si>
  <si>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</si>
  <si>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</si>
  <si>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</si>
  <si>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</si>
  <si>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</si>
  <si>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</si>
  <si>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</si>
  <si>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</si>
  <si>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</si>
  <si>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</si>
  <si>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</si>
  <si>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</si>
  <si>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</si>
  <si>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</si>
  <si>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</si>
  <si>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</si>
  <si>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</si>
  <si>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</si>
  <si>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</si>
  <si>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</si>
  <si>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</si>
  <si>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</si>
  <si>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</si>
  <si>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</si>
  <si>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</si>
  <si>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</si>
  <si>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</si>
  <si>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</si>
  <si>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</si>
  <si>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</si>
  <si>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</si>
  <si>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</si>
  <si>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</si>
  <si>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</si>
  <si>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</si>
  <si>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</si>
  <si>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</si>
  <si>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</si>
  <si>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</si>
  <si>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</si>
  <si>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</si>
  <si>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</si>
  <si>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</si>
  <si>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</si>
  <si>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</si>
  <si>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</si>
  <si>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</si>
  <si>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</si>
  <si>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</si>
  <si>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</si>
  <si>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</si>
  <si>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</si>
  <si>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</si>
  <si>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</si>
  <si>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</si>
  <si>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</si>
  <si>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</si>
  <si>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</si>
  <si>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</si>
  <si>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</si>
  <si>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</si>
  <si>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</si>
  <si>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</si>
  <si>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</si>
  <si>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</si>
  <si>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</si>
  <si>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</si>
  <si>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</si>
  <si>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</si>
  <si>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</si>
  <si>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</si>
  <si>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</si>
  <si>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</si>
  <si>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</si>
  <si>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</si>
  <si>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</si>
  <si>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</si>
  <si>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</si>
  <si>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</si>
  <si>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</si>
  <si>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</si>
  <si>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</si>
  <si>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</si>
  <si>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</si>
  <si>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</si>
  <si>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</si>
  <si>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</si>
  <si>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</si>
  <si>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</si>
  <si>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</si>
  <si>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</si>
  <si>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</si>
  <si>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</si>
  <si>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</si>
  <si>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</si>
  <si>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</si>
  <si>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</si>
  <si>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</si>
  <si>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</si>
  <si>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</si>
  <si>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</si>
  <si>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</si>
  <si>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</si>
  <si>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</si>
  <si>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</si>
  <si>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</si>
  <si>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</si>
  <si>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</si>
  <si>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</si>
  <si>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</si>
  <si>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</si>
  <si>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</si>
  <si>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</si>
  <si>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</si>
  <si>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</si>
  <si>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</si>
  <si>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</si>
  <si>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</si>
  <si>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</si>
  <si>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</si>
  <si>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</si>
  <si>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</si>
  <si>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</si>
  <si>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</si>
  <si>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</si>
  <si>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</si>
  <si>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</si>
  <si>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</si>
  <si>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</si>
  <si>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</si>
  <si>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</si>
  <si>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</si>
  <si>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</si>
  <si>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</si>
  <si>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</si>
  <si>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</si>
  <si>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</si>
  <si>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</si>
  <si>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</si>
  <si>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</si>
  <si>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</si>
  <si>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</si>
  <si>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</si>
  <si>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</si>
  <si>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</si>
  <si>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</si>
  <si>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</si>
  <si>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</si>
  <si>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</si>
  <si>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</si>
  <si>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</si>
  <si>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</si>
  <si>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</si>
  <si>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</si>
  <si>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</si>
  <si>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</si>
  <si>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</si>
  <si>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</si>
  <si>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</si>
  <si>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</si>
  <si>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</si>
  <si>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</si>
  <si>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</si>
  <si>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</si>
  <si>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</si>
  <si>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</si>
  <si>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</si>
  <si>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</si>
  <si>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</si>
  <si>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</si>
  <si>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</si>
  <si>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</si>
  <si>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</si>
  <si>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</si>
  <si>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</si>
  <si>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</si>
  <si>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</si>
  <si>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</si>
  <si>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</si>
  <si>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</si>
  <si>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</si>
  <si>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</si>
  <si>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</si>
  <si>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</si>
  <si>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</si>
  <si>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</si>
  <si>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</si>
  <si>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</si>
  <si>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</si>
  <si>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</si>
  <si>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</si>
  <si>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</si>
  <si>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</si>
  <si>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</si>
  <si>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</si>
  <si>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</si>
  <si>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</si>
  <si>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</si>
  <si>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</si>
  <si>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</si>
  <si>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</si>
  <si>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</si>
  <si>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</si>
  <si>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</si>
  <si>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</si>
  <si>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</si>
  <si>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</si>
  <si>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</si>
  <si>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</si>
  <si>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</si>
  <si>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</si>
  <si>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</si>
  <si>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</si>
  <si>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</si>
  <si>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</si>
  <si>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</si>
  <si>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</si>
  <si>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</si>
  <si>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</si>
  <si>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</si>
  <si>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</si>
  <si>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</si>
  <si>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</si>
  <si>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</si>
  <si>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</si>
  <si>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</si>
  <si>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</si>
  <si>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</si>
  <si>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</si>
  <si>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</si>
  <si>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</si>
  <si>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</si>
  <si>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</si>
  <si>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</si>
  <si>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</si>
  <si>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</si>
  <si>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</si>
  <si>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</si>
  <si>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</si>
  <si>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</si>
  <si>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</si>
  <si>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</si>
  <si>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</si>
  <si>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</si>
  <si>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</si>
  <si>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</si>
  <si>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</si>
  <si>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</si>
  <si>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</si>
  <si>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</si>
  <si>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</si>
  <si>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</si>
  <si>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</si>
  <si>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</si>
  <si>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</si>
  <si>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</si>
  <si>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</si>
  <si>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</si>
  <si>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</si>
  <si>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</si>
  <si>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</si>
  <si>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</si>
  <si>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</si>
  <si>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</si>
  <si>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</si>
  <si>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</si>
  <si>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</si>
  <si>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</si>
  <si>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</si>
  <si>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</si>
  <si>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</si>
  <si>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</si>
  <si>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</si>
  <si>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</si>
  <si>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</si>
  <si>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</si>
  <si>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</si>
  <si>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</si>
  <si>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</si>
  <si>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</si>
  <si>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</si>
  <si>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</si>
  <si>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</si>
  <si>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</si>
  <si>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</si>
  <si>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</si>
  <si>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</si>
  <si>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</si>
  <si>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</si>
  <si>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</si>
  <si>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</si>
  <si>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</si>
  <si>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</si>
  <si>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</si>
  <si>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</si>
  <si>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</si>
  <si>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</si>
  <si>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</si>
  <si>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</si>
  <si>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</si>
  <si>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</si>
  <si>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</si>
  <si>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</si>
  <si>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</si>
  <si>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</si>
  <si>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</si>
  <si>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</si>
  <si>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</si>
  <si>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</si>
  <si>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</si>
  <si>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</si>
  <si>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</si>
  <si>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</si>
  <si>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</si>
  <si>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</si>
  <si>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</si>
  <si>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</si>
  <si>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</si>
  <si>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</si>
  <si>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</si>
  <si>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</si>
  <si>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</si>
  <si>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</si>
  <si>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</si>
  <si>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</si>
  <si>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</si>
  <si>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</si>
  <si>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</si>
  <si>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</si>
  <si>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</si>
  <si>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</si>
  <si>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</si>
  <si>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</si>
  <si>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</si>
  <si>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</si>
  <si>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</si>
  <si>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</si>
  <si>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</si>
  <si>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</si>
  <si>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</si>
  <si>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</si>
  <si>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</si>
  <si>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</si>
  <si>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</si>
  <si>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</si>
  <si>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</si>
  <si>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</si>
  <si>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</si>
  <si>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</si>
  <si>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</si>
  <si>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</si>
  <si>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</si>
  <si>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</si>
  <si>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</si>
  <si>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</si>
  <si>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</si>
  <si>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</si>
  <si>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</si>
  <si>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</si>
  <si>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</si>
  <si>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</si>
  <si>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</si>
  <si>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</si>
  <si>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</si>
  <si>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</si>
  <si>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</si>
  <si>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</si>
  <si>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</si>
  <si>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</si>
  <si>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</si>
  <si>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</si>
  <si>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</si>
  <si>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</si>
  <si>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</si>
  <si>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</si>
  <si>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</si>
  <si>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</si>
  <si>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</si>
  <si>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</si>
  <si>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</si>
  <si>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</si>
  <si>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</si>
  <si>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</si>
  <si>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</si>
  <si>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</si>
  <si>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</si>
  <si>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</si>
  <si>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</si>
  <si>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</si>
  <si>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</si>
  <si>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</si>
  <si>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</si>
  <si>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</si>
  <si>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</si>
  <si>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</si>
  <si>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</si>
  <si>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</si>
  <si>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</si>
  <si>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</si>
  <si>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</si>
  <si>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</si>
  <si>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</si>
  <si>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</si>
  <si>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</si>
  <si>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</si>
  <si>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</si>
  <si>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</si>
  <si>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</si>
  <si>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</si>
  <si>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</si>
  <si>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</si>
  <si>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</si>
  <si>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</si>
  <si>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</si>
  <si>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</si>
  <si>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</si>
  <si>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</si>
  <si>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</si>
  <si>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</si>
  <si>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</si>
  <si>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</si>
  <si>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</si>
  <si>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</si>
  <si>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</si>
  <si>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</si>
  <si>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</si>
  <si>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</si>
  <si>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</si>
  <si>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</si>
  <si>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</si>
  <si>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</si>
  <si>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</si>
  <si>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</si>
  <si>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</si>
  <si>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</si>
  <si>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</si>
  <si>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</si>
  <si>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</si>
  <si>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</si>
  <si>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</si>
  <si>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</si>
  <si>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</si>
  <si>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</si>
  <si>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</si>
  <si>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</si>
  <si>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</si>
  <si>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</si>
  <si>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</si>
  <si>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</si>
  <si>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</si>
  <si>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</si>
  <si>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</si>
  <si>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</si>
  <si>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</si>
  <si>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</si>
  <si>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</si>
  <si>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</si>
  <si>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</si>
  <si>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</si>
  <si>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</si>
  <si>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</si>
  <si>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</si>
  <si>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</si>
  <si>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</si>
  <si>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</si>
  <si>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</si>
  <si>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</si>
  <si>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</si>
  <si>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</si>
  <si>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</si>
  <si>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</si>
  <si>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</si>
  <si>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</si>
  <si>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</si>
  <si>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</si>
  <si>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</si>
  <si>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</si>
  <si>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</si>
  <si>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</si>
  <si>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</si>
  <si>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</si>
  <si>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</si>
  <si>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</si>
  <si>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</si>
  <si>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</si>
  <si>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</si>
  <si>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</si>
  <si>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LAKE</t>
  </si>
  <si>
    <t>500 NORTH AVENUE</t>
  </si>
  <si>
    <t xml:space="preserve">WINTHROP HARBOR   </t>
  </si>
  <si>
    <t>Jeffrey McCartney, Ed.S.</t>
  </si>
  <si>
    <t>847-731-3085</t>
  </si>
  <si>
    <t>847-731-3156</t>
  </si>
  <si>
    <t>Evoy, Kamschulte, Jacobs &amp; Co. LLP</t>
  </si>
  <si>
    <t>John D. Aceto, Jr., CPA</t>
  </si>
  <si>
    <t>2122 Yeoman Street</t>
  </si>
  <si>
    <t>Waukegan</t>
  </si>
  <si>
    <t>IL</t>
  </si>
  <si>
    <t>847-662-8300</t>
  </si>
  <si>
    <t>847-662-8305</t>
  </si>
  <si>
    <t>066-003289</t>
  </si>
  <si>
    <t>jaceto@ekjllp.com</t>
  </si>
  <si>
    <t>1997 Building Bonds</t>
  </si>
  <si>
    <t>2000 Life Safety Bonds</t>
  </si>
  <si>
    <t>2006 Refunding Bonds</t>
  </si>
  <si>
    <t>2016 General Obligation Bonds</t>
  </si>
  <si>
    <t>Retired Bonds</t>
  </si>
  <si>
    <t>Capital Leases</t>
  </si>
  <si>
    <t>Capital Lease</t>
  </si>
  <si>
    <t>x</t>
  </si>
  <si>
    <t>Collective Liability Insurance</t>
  </si>
  <si>
    <t>ISDLAF</t>
  </si>
  <si>
    <t>Special Education District of Lake County</t>
  </si>
  <si>
    <t>Education Fund</t>
  </si>
  <si>
    <t>Page 11, Line 107, Other Local Revenue, Erate rebate $997; Miscellaneous Revenue $96</t>
  </si>
  <si>
    <t>Page 12, Line 168, Other Restricted Revenue from State Sources, State Library Grant $1,500.</t>
  </si>
  <si>
    <t>Bond &amp; Interest Fund</t>
  </si>
  <si>
    <t>Page 18, Line 171, Debt Service Other, Fees $450.</t>
  </si>
  <si>
    <t>ED-Instruction-Supplies</t>
  </si>
  <si>
    <t>American Reading Company</t>
  </si>
  <si>
    <t>ED-Support Services Equip</t>
  </si>
  <si>
    <t>CDW Government</t>
  </si>
  <si>
    <t xml:space="preserve">ED-Principal </t>
  </si>
  <si>
    <t>Comcast Business</t>
  </si>
  <si>
    <t>TR-Transport Services</t>
  </si>
  <si>
    <t>Durham School Serivcies</t>
  </si>
  <si>
    <t>ED-Support Service Pupils</t>
  </si>
  <si>
    <t>Jereee, Katie</t>
  </si>
  <si>
    <t>ED-Food Service</t>
  </si>
  <si>
    <t>Preferred Meal Systems Inc</t>
  </si>
  <si>
    <t>Topline Transportation Services</t>
  </si>
  <si>
    <t xml:space="preserve">  Winthrop Harbor 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</si>
</sst>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75" fillId="0" borderId="0" xfId="0"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664152</xdr:colOff>
          <xdr:row>3</xdr:row>
          <xdr:rowOff>45893</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2003</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2051</v>
      </c>
      <c r="C5" s="26" t="s">
        <v>904</v>
      </c>
      <c r="D5" s="81"/>
      <c r="E5" s="81"/>
      <c r="H5" s="38"/>
      <c r="I5" s="2090" t="s">
        <v>675</v>
      </c>
      <c r="J5" s="2089"/>
      <c r="K5" s="2089"/>
      <c r="L5" s="2089"/>
      <c r="M5" s="2089"/>
      <c r="N5" s="2089"/>
      <c r="O5" s="2089"/>
      <c r="P5" s="2089"/>
      <c r="Q5" s="2089"/>
      <c r="R5" s="2089"/>
      <c r="S5" s="2089"/>
      <c r="AF5" s="1827"/>
    </row>
    <row r="6" spans="1:32" ht="14.1" customHeight="1" x14ac:dyDescent="0.2">
      <c r="B6" s="101"/>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2051</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v>34049001002</v>
      </c>
      <c r="B13" s="2102"/>
      <c r="C13" s="2102"/>
      <c r="D13" s="2102"/>
      <c r="E13" s="2102"/>
      <c r="F13" s="2102"/>
      <c r="G13" s="2102"/>
      <c r="H13" s="2103"/>
      <c r="I13" s="31"/>
      <c r="J13" s="30"/>
      <c r="K13" s="28"/>
      <c r="L13" s="30"/>
      <c r="M13" s="30"/>
      <c r="N13" s="30"/>
      <c r="O13" s="30"/>
      <c r="P13" s="30"/>
      <c r="Q13" s="30"/>
      <c r="R13" s="30"/>
      <c r="S13" s="30"/>
      <c r="T13" s="2107" t="s">
        <v>2058</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2052</v>
      </c>
      <c r="B15" s="2105"/>
      <c r="C15" s="2105"/>
      <c r="D15" s="2105"/>
      <c r="E15" s="2105"/>
      <c r="F15" s="2105"/>
      <c r="G15" s="2105"/>
      <c r="H15" s="2106"/>
      <c r="T15" s="2111" t="s">
        <v>2059</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2096</v>
      </c>
      <c r="B17" s="2075"/>
      <c r="C17" s="2075"/>
      <c r="D17" s="2075"/>
      <c r="E17" s="2075"/>
      <c r="F17" s="2075"/>
      <c r="G17" s="2075"/>
      <c r="H17" s="2100"/>
      <c r="T17" s="2118" t="s">
        <v>2060</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2053</v>
      </c>
      <c r="B19" s="2060"/>
      <c r="C19" s="2060"/>
      <c r="D19" s="2060"/>
      <c r="E19" s="2060"/>
      <c r="F19" s="2060"/>
      <c r="G19" s="2060"/>
      <c r="H19" s="2040"/>
      <c r="I19" s="30"/>
      <c r="J19" s="96"/>
      <c r="K19" s="40"/>
      <c r="L19" s="38"/>
      <c r="M19" s="109" t="s">
        <v>312</v>
      </c>
      <c r="P19" s="27"/>
      <c r="Q19" s="27"/>
      <c r="R19" s="27"/>
      <c r="S19" s="31"/>
      <c r="T19" s="2104" t="s">
        <v>2061</v>
      </c>
      <c r="U19" s="2039"/>
      <c r="V19" s="2039"/>
      <c r="W19" s="2040"/>
      <c r="X19" s="2116" t="s">
        <v>2062</v>
      </c>
      <c r="Y19" s="2117"/>
      <c r="Z19" s="2114">
        <v>60087</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2054</v>
      </c>
      <c r="B21" s="2039"/>
      <c r="C21" s="2039"/>
      <c r="D21" s="2039"/>
      <c r="E21" s="2039"/>
      <c r="F21" s="2039"/>
      <c r="G21" s="2039"/>
      <c r="H21" s="2040"/>
      <c r="I21" s="2094" t="s">
        <v>673</v>
      </c>
      <c r="J21" s="2089"/>
      <c r="K21" s="2089"/>
      <c r="L21" s="2089"/>
      <c r="M21" s="2089"/>
      <c r="N21" s="2089"/>
      <c r="O21" s="2089"/>
      <c r="P21" s="2089"/>
      <c r="Q21" s="2089"/>
      <c r="R21" s="2089"/>
      <c r="S21" s="2095"/>
      <c r="T21" s="2129" t="s">
        <v>2063</v>
      </c>
      <c r="U21" s="2130"/>
      <c r="V21" s="2130"/>
      <c r="W21" s="2130"/>
      <c r="X21" s="2135" t="s">
        <v>2064</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c r="B23" s="2092"/>
      <c r="C23" s="2092"/>
      <c r="D23" s="2092"/>
      <c r="E23" s="2092"/>
      <c r="F23" s="2092"/>
      <c r="G23" s="2092"/>
      <c r="H23" s="2093"/>
      <c r="T23" s="2074" t="s">
        <v>2065</v>
      </c>
      <c r="U23" s="2128"/>
      <c r="V23" s="2128"/>
      <c r="W23" s="2128"/>
      <c r="X23" s="2132">
        <v>44530</v>
      </c>
      <c r="Y23" s="2133"/>
      <c r="Z23" s="2133"/>
      <c r="AA23" s="2134"/>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60096</v>
      </c>
      <c r="B25" s="2039"/>
      <c r="C25" s="2039"/>
      <c r="D25" s="2039"/>
      <c r="E25" s="2039"/>
      <c r="F25" s="2039"/>
      <c r="G25" s="2039"/>
      <c r="H25" s="2040"/>
      <c r="I25" s="110"/>
      <c r="J25" s="2063"/>
      <c r="K25" s="2063"/>
      <c r="L25" s="2063"/>
      <c r="M25" s="2063"/>
      <c r="N25" s="2063"/>
      <c r="O25" s="2063"/>
      <c r="P25" s="2063"/>
      <c r="Q25" s="2063"/>
      <c r="R25" s="2063"/>
      <c r="S25" s="2064"/>
      <c r="T25" s="2125" t="s">
        <v>2066</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2055</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2056</v>
      </c>
      <c r="B42" s="2058"/>
      <c r="C42" s="2059"/>
      <c r="D42" s="2057" t="s">
        <v>2057</v>
      </c>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9" sqref="C1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3759950</v>
      </c>
      <c r="C4" s="1722">
        <v>1890454</v>
      </c>
      <c r="D4" s="1723">
        <f>B4-C4</f>
        <v>1869496</v>
      </c>
      <c r="E4" s="1722">
        <v>4000000</v>
      </c>
      <c r="F4" s="1723">
        <f>E4-C4</f>
        <v>2109546</v>
      </c>
    </row>
    <row r="5" spans="1:8" ht="13.7" customHeight="1" x14ac:dyDescent="0.2">
      <c r="A5" s="579" t="s">
        <v>865</v>
      </c>
      <c r="B5" s="1724">
        <f>'Revenues 9-14'!D5</f>
        <v>500757</v>
      </c>
      <c r="C5" s="1664">
        <v>248330</v>
      </c>
      <c r="D5" s="1725">
        <f t="shared" ref="D5:D18" si="0">B5-C5</f>
        <v>252427</v>
      </c>
      <c r="E5" s="1664">
        <v>525440</v>
      </c>
      <c r="F5" s="1725">
        <f>E5-C5</f>
        <v>277110</v>
      </c>
    </row>
    <row r="6" spans="1:8" ht="13.7" customHeight="1" x14ac:dyDescent="0.2">
      <c r="A6" s="579" t="s">
        <v>408</v>
      </c>
      <c r="B6" s="1724">
        <f>'Revenues 9-14'!E5</f>
        <v>444491</v>
      </c>
      <c r="C6" s="1664">
        <v>225801</v>
      </c>
      <c r="D6" s="1725">
        <f t="shared" si="0"/>
        <v>218690</v>
      </c>
      <c r="E6" s="1664">
        <v>477770</v>
      </c>
      <c r="F6" s="1725">
        <f t="shared" ref="F6:F18" si="1">E6-C6</f>
        <v>251969</v>
      </c>
    </row>
    <row r="7" spans="1:8" ht="13.7" customHeight="1" x14ac:dyDescent="0.2">
      <c r="A7" s="579" t="s">
        <v>154</v>
      </c>
      <c r="B7" s="1724">
        <f>'Revenues 9-14'!F5</f>
        <v>139099</v>
      </c>
      <c r="C7" s="1664">
        <v>68981</v>
      </c>
      <c r="D7" s="1725">
        <f t="shared" si="0"/>
        <v>70118</v>
      </c>
      <c r="E7" s="1664">
        <v>145956</v>
      </c>
      <c r="F7" s="1725">
        <f t="shared" si="1"/>
        <v>76975</v>
      </c>
    </row>
    <row r="8" spans="1:8" ht="13.7" customHeight="1" x14ac:dyDescent="0.2">
      <c r="A8" s="579" t="s">
        <v>1169</v>
      </c>
      <c r="B8" s="1724">
        <f>'Revenues 9-14'!G5</f>
        <v>83937</v>
      </c>
      <c r="C8" s="1664">
        <v>38126</v>
      </c>
      <c r="D8" s="1725">
        <f t="shared" si="0"/>
        <v>45811</v>
      </c>
      <c r="E8" s="1664">
        <v>80671</v>
      </c>
      <c r="F8" s="1725">
        <f t="shared" si="1"/>
        <v>42545</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57651</v>
      </c>
      <c r="C10" s="1664">
        <v>29038</v>
      </c>
      <c r="D10" s="1725">
        <f t="shared" si="0"/>
        <v>28613</v>
      </c>
      <c r="E10" s="1664">
        <v>61442</v>
      </c>
      <c r="F10" s="1725">
        <f t="shared" si="1"/>
        <v>32404</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385482</v>
      </c>
      <c r="C14" s="1664">
        <v>198498</v>
      </c>
      <c r="D14" s="1725">
        <f t="shared" si="0"/>
        <v>186984</v>
      </c>
      <c r="E14" s="1664">
        <v>420000</v>
      </c>
      <c r="F14" s="1725">
        <f t="shared" si="1"/>
        <v>221502</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83937</v>
      </c>
      <c r="C16" s="1664">
        <v>38126</v>
      </c>
      <c r="D16" s="1725">
        <f t="shared" si="0"/>
        <v>45811</v>
      </c>
      <c r="E16" s="1664">
        <v>80670</v>
      </c>
      <c r="F16" s="1725">
        <f t="shared" si="1"/>
        <v>42544</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6742</v>
      </c>
      <c r="C18" s="1664">
        <v>3260</v>
      </c>
      <c r="D18" s="1725">
        <f t="shared" si="0"/>
        <v>3482</v>
      </c>
      <c r="E18" s="1664">
        <v>6899</v>
      </c>
      <c r="F18" s="1725">
        <f t="shared" si="1"/>
        <v>3639</v>
      </c>
    </row>
    <row r="19" spans="1:6" ht="13.7" customHeight="1" thickBot="1" x14ac:dyDescent="0.25">
      <c r="A19" s="1432" t="s">
        <v>1151</v>
      </c>
      <c r="B19" s="1726">
        <f>SUM(B4:B18)</f>
        <v>5462046</v>
      </c>
      <c r="C19" s="1726">
        <f>SUM(C4:C18)</f>
        <v>2740614</v>
      </c>
      <c r="D19" s="1726">
        <f>SUM(D4:D18)</f>
        <v>2721432</v>
      </c>
      <c r="E19" s="1726">
        <f>SUM(E4:E18)</f>
        <v>5798848</v>
      </c>
      <c r="F19" s="1726">
        <f>SUM(F4:F18)</f>
        <v>3058234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G44" sqref="G4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1779</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2006</v>
      </c>
      <c r="B24" s="2305"/>
      <c r="C24" s="2299"/>
      <c r="D24" s="2300"/>
      <c r="E24" s="2300"/>
      <c r="F24" s="2301"/>
    </row>
    <row r="25" spans="1:11" ht="13.5" thickBot="1" x14ac:dyDescent="0.25">
      <c r="A25" s="2306" t="s">
        <v>2007</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35765</v>
      </c>
      <c r="C31" s="1734">
        <v>5855000</v>
      </c>
      <c r="D31" s="1735">
        <v>6</v>
      </c>
      <c r="E31" s="1734"/>
      <c r="F31" s="1734"/>
      <c r="G31" s="1734"/>
      <c r="H31" s="1734"/>
      <c r="I31" s="1736">
        <f>((E31+F31)-H31)+G31</f>
        <v>0</v>
      </c>
      <c r="J31" s="1734">
        <v>-110125</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t="s">
        <v>2068</v>
      </c>
      <c r="B33" s="595">
        <v>36861</v>
      </c>
      <c r="C33" s="1734">
        <v>325000</v>
      </c>
      <c r="D33" s="1735">
        <v>4</v>
      </c>
      <c r="E33" s="1734">
        <v>25000</v>
      </c>
      <c r="F33" s="1734"/>
      <c r="G33" s="1734"/>
      <c r="H33" s="1734">
        <v>25000</v>
      </c>
      <c r="I33" s="1736">
        <f t="shared" ref="I33:I48" si="1">((E33+F33)-H33)+G33</f>
        <v>0</v>
      </c>
      <c r="J33" s="1734">
        <v>35181</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t="s">
        <v>2069</v>
      </c>
      <c r="B35" s="595">
        <v>38749</v>
      </c>
      <c r="C35" s="1737">
        <v>4020000</v>
      </c>
      <c r="D35" s="1735">
        <v>3</v>
      </c>
      <c r="E35" s="1737"/>
      <c r="F35" s="1737"/>
      <c r="G35" s="1737"/>
      <c r="H35" s="1737"/>
      <c r="I35" s="1736">
        <f t="shared" si="1"/>
        <v>0</v>
      </c>
      <c r="J35" s="1737">
        <v>-636919</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t="s">
        <v>2070</v>
      </c>
      <c r="B37" s="595">
        <v>42401</v>
      </c>
      <c r="C37" s="1574">
        <v>6510000</v>
      </c>
      <c r="D37" s="1738">
        <v>6</v>
      </c>
      <c r="E37" s="1574">
        <v>5620000</v>
      </c>
      <c r="F37" s="1574"/>
      <c r="G37" s="1574"/>
      <c r="H37" s="1574">
        <v>240000</v>
      </c>
      <c r="I37" s="1736">
        <f t="shared" si="1"/>
        <v>5380000</v>
      </c>
      <c r="J37" s="1574">
        <v>5720382</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t="s">
        <v>2071</v>
      </c>
      <c r="B39" s="595"/>
      <c r="C39" s="1734"/>
      <c r="D39" s="1739"/>
      <c r="E39" s="1740"/>
      <c r="F39" s="1740"/>
      <c r="G39" s="1740"/>
      <c r="H39" s="1740"/>
      <c r="I39" s="1736">
        <f t="shared" si="1"/>
        <v>0</v>
      </c>
      <c r="J39" s="1741">
        <f>-2605-15977</f>
        <v>-18582</v>
      </c>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t="s">
        <v>2072</v>
      </c>
      <c r="B41" s="595"/>
      <c r="C41" s="1734"/>
      <c r="D41" s="1739">
        <v>7</v>
      </c>
      <c r="E41" s="1740">
        <v>54516</v>
      </c>
      <c r="F41" s="1740"/>
      <c r="G41" s="1740"/>
      <c r="H41" s="1740">
        <v>15197</v>
      </c>
      <c r="I41" s="1736">
        <f t="shared" si="1"/>
        <v>39319</v>
      </c>
      <c r="J41" s="1741">
        <v>39319</v>
      </c>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16710000</v>
      </c>
      <c r="D49" s="1742"/>
      <c r="E49" s="1736">
        <f t="shared" ref="E49:J49" si="2">SUM(E31:E48)</f>
        <v>5699516</v>
      </c>
      <c r="F49" s="1736">
        <f t="shared" si="2"/>
        <v>0</v>
      </c>
      <c r="G49" s="1736">
        <f t="shared" si="2"/>
        <v>0</v>
      </c>
      <c r="H49" s="1736">
        <f t="shared" si="2"/>
        <v>280197</v>
      </c>
      <c r="I49" s="1736">
        <f t="shared" si="2"/>
        <v>5419319</v>
      </c>
      <c r="J49" s="1736">
        <f t="shared" si="2"/>
        <v>5029256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t="s">
        <v>2073</v>
      </c>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7" colorId="8" zoomScale="110" zoomScaleNormal="110" workbookViewId="0">
      <selection activeCell="I39" sqref="I3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1789</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v>385482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3" t="s">
        <v>1790</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385482</v>
      </c>
      <c r="I12" s="1755">
        <f>SUM(I5:I11)</f>
        <v>0</v>
      </c>
      <c r="J12" s="1755">
        <f>SUM(J5:J11)</f>
        <v>0</v>
      </c>
      <c r="K12" s="1755">
        <f>SUM(K5:K11)</f>
        <v>0</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v>385482</v>
      </c>
      <c r="I14" s="1749"/>
      <c r="J14" s="1751"/>
      <c r="K14" s="1745"/>
    </row>
    <row r="15" spans="1:11" x14ac:dyDescent="0.2">
      <c r="A15" s="2324" t="s">
        <v>4</v>
      </c>
      <c r="B15" s="2324"/>
      <c r="C15" s="2324"/>
      <c r="D15" s="2324"/>
      <c r="E15" s="2325"/>
      <c r="F15" s="635" t="s">
        <v>850</v>
      </c>
      <c r="G15" s="1749"/>
      <c r="H15" s="1744"/>
      <c r="I15" s="1744"/>
      <c r="J15" s="1745"/>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1786</v>
      </c>
      <c r="B19" s="2332"/>
      <c r="C19" s="2332"/>
      <c r="D19" s="2332"/>
      <c r="E19" s="2333"/>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1792</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385482</v>
      </c>
      <c r="I23" s="1755">
        <f>SUM(I14:I16,I21,I22)</f>
        <v>0</v>
      </c>
      <c r="J23" s="1755">
        <f>SUM(J14:J16,J21,J22)</f>
        <v>0</v>
      </c>
      <c r="K23" s="1755">
        <f>SUM(K14:K16,K21,K22)</f>
        <v>0</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1" sqref="I1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101187</v>
      </c>
      <c r="D5" s="1770"/>
      <c r="E5" s="1770"/>
      <c r="F5" s="1765">
        <f>(C5+D5)-E5</f>
        <v>101187</v>
      </c>
      <c r="G5" s="676"/>
      <c r="H5" s="680"/>
      <c r="I5" s="680"/>
      <c r="J5" s="680"/>
      <c r="K5" s="637"/>
      <c r="L5" s="1442">
        <f>F5-K5</f>
        <v>101187</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14843914</v>
      </c>
      <c r="D8" s="1771">
        <v>22525</v>
      </c>
      <c r="E8" s="1771"/>
      <c r="F8" s="1765">
        <f>(C8+D8)-E8</f>
        <v>14866439</v>
      </c>
      <c r="G8" s="681">
        <v>50</v>
      </c>
      <c r="H8" s="619">
        <v>4316161</v>
      </c>
      <c r="I8" s="619">
        <v>302187</v>
      </c>
      <c r="J8" s="619"/>
      <c r="K8" s="1442">
        <f>(H8+I8)-J8</f>
        <v>4618348</v>
      </c>
      <c r="L8" s="1442">
        <f>F8-K8</f>
        <v>10248091</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981762</v>
      </c>
      <c r="D10" s="1772">
        <v>18260</v>
      </c>
      <c r="E10" s="1772"/>
      <c r="F10" s="1773">
        <f>(C10+D10)-E10</f>
        <v>1000022</v>
      </c>
      <c r="G10" s="681">
        <v>20</v>
      </c>
      <c r="H10" s="683">
        <v>279176</v>
      </c>
      <c r="I10" s="683">
        <v>38607</v>
      </c>
      <c r="J10" s="683"/>
      <c r="K10" s="1442">
        <f>(H10+I10)-J10</f>
        <v>317783</v>
      </c>
      <c r="L10" s="1442">
        <f>F10-K10</f>
        <v>682239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2711797</v>
      </c>
      <c r="D12" s="1771">
        <v>52526</v>
      </c>
      <c r="E12" s="1771"/>
      <c r="F12" s="1765">
        <f>(C12+D12)-E12</f>
        <v>2764323</v>
      </c>
      <c r="G12" s="681">
        <v>10</v>
      </c>
      <c r="H12" s="619">
        <v>2266706</v>
      </c>
      <c r="I12" s="619">
        <v>78118</v>
      </c>
      <c r="J12" s="619"/>
      <c r="K12" s="1442">
        <f>(H12+I12)-J12</f>
        <v>2344824</v>
      </c>
      <c r="L12" s="1442">
        <f>F12-K12</f>
        <v>419499</v>
      </c>
    </row>
    <row r="13" spans="1:14" ht="14.25" thickTop="1" thickBot="1" x14ac:dyDescent="0.25">
      <c r="A13" s="684" t="s">
        <v>1112</v>
      </c>
      <c r="B13" s="679">
        <v>252</v>
      </c>
      <c r="C13" s="1771">
        <v>74863</v>
      </c>
      <c r="D13" s="1771"/>
      <c r="E13" s="1771"/>
      <c r="F13" s="1765">
        <f>(C13+D13)-E13</f>
        <v>74863</v>
      </c>
      <c r="G13" s="681">
        <v>5</v>
      </c>
      <c r="H13" s="619">
        <v>35083</v>
      </c>
      <c r="I13" s="619">
        <v>13260</v>
      </c>
      <c r="J13" s="619"/>
      <c r="K13" s="1442">
        <f>(H13+I13)-J13</f>
        <v>48343</v>
      </c>
      <c r="L13" s="1442">
        <f>F13-K13</f>
        <v>26520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18713523</v>
      </c>
      <c r="D16" s="1765">
        <f>SUM(D3,D5:D6,D8:D10,D12:D15)</f>
        <v>93311</v>
      </c>
      <c r="E16" s="1765">
        <f>SUM(E3,E5:E6,E8:E10,E12:E15)</f>
        <v>0</v>
      </c>
      <c r="F16" s="1765">
        <f>SUM(F3,F5:F6,F8:F10,F12:F15)</f>
        <v>18806834</v>
      </c>
      <c r="G16" s="681"/>
      <c r="H16" s="1435">
        <f>SUM(H3,H6,H8:H10,H12:H14,)</f>
        <v>6897126</v>
      </c>
      <c r="I16" s="1435">
        <f>SUM(I3,I6,I8:I10,I12:I14,)</f>
        <v>432172</v>
      </c>
      <c r="J16" s="1435">
        <f>SUM(J3,J6,J8:J10,J12:J14,)</f>
        <v>0</v>
      </c>
      <c r="K16" s="1435">
        <f>(H16+I16)-J16</f>
        <v>7329298</v>
      </c>
      <c r="L16" s="1435">
        <f>F16-K16</f>
        <v>11477536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432172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58"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5849594</v>
      </c>
      <c r="G8" s="701"/>
    </row>
    <row r="9" spans="1:9" x14ac:dyDescent="0.2">
      <c r="A9" s="705" t="s">
        <v>457</v>
      </c>
      <c r="B9" s="706" t="s">
        <v>1848</v>
      </c>
      <c r="C9" s="707"/>
      <c r="D9" s="705" t="s">
        <v>498</v>
      </c>
      <c r="E9" s="704"/>
      <c r="F9" s="1775">
        <f>'Expenditures 15-22'!K151</f>
        <v>391415</v>
      </c>
      <c r="G9" s="708"/>
    </row>
    <row r="10" spans="1:9" x14ac:dyDescent="0.2">
      <c r="A10" s="705" t="s">
        <v>496</v>
      </c>
      <c r="B10" s="706" t="s">
        <v>1849</v>
      </c>
      <c r="C10" s="707"/>
      <c r="D10" s="705" t="s">
        <v>498</v>
      </c>
      <c r="E10" s="704"/>
      <c r="F10" s="1775">
        <f>'Expenditures 15-22'!K174</f>
        <v>496405</v>
      </c>
      <c r="G10" s="708"/>
    </row>
    <row r="11" spans="1:9" x14ac:dyDescent="0.2">
      <c r="A11" s="705" t="s">
        <v>458</v>
      </c>
      <c r="B11" s="706" t="s">
        <v>1850</v>
      </c>
      <c r="C11" s="707"/>
      <c r="D11" s="705" t="s">
        <v>498</v>
      </c>
      <c r="E11" s="704"/>
      <c r="F11" s="1775">
        <f>'Expenditures 15-22'!K210</f>
        <v>582941</v>
      </c>
      <c r="G11" s="708"/>
    </row>
    <row r="12" spans="1:9" x14ac:dyDescent="0.2">
      <c r="A12" s="705" t="s">
        <v>459</v>
      </c>
      <c r="B12" s="706" t="s">
        <v>1851</v>
      </c>
      <c r="C12" s="707"/>
      <c r="D12" s="705" t="s">
        <v>498</v>
      </c>
      <c r="E12" s="704"/>
      <c r="F12" s="1775">
        <f>'Expenditures 15-22'!K295</f>
        <v>136951</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7457306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39268</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6419</v>
      </c>
      <c r="G52" s="701"/>
    </row>
    <row r="53" spans="1:7" x14ac:dyDescent="0.2">
      <c r="A53" s="705" t="s">
        <v>456</v>
      </c>
      <c r="B53" s="705" t="s">
        <v>1458</v>
      </c>
      <c r="C53" s="724">
        <f>'Expenditures 15-22'!B102</f>
        <v>4000</v>
      </c>
      <c r="D53" s="723" t="str">
        <f>'Expenditures 15-22'!A102</f>
        <v>Total Payments to Other Govt Units</v>
      </c>
      <c r="E53" s="704"/>
      <c r="F53" s="1782">
        <f>'Expenditures 15-22'!K102</f>
        <v>960823</v>
      </c>
      <c r="G53" s="701"/>
    </row>
    <row r="54" spans="1:7" x14ac:dyDescent="0.2">
      <c r="A54" s="705" t="s">
        <v>456</v>
      </c>
      <c r="B54" s="705" t="s">
        <v>1459</v>
      </c>
      <c r="C54" s="724" t="s">
        <v>975</v>
      </c>
      <c r="D54" s="720" t="s">
        <v>1086</v>
      </c>
      <c r="E54" s="704"/>
      <c r="F54" s="1782">
        <f>'Expenditures 15-22'!G114</f>
        <v>52526</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22525</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280197</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559</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49</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1362366</v>
      </c>
      <c r="G77" s="701"/>
    </row>
    <row r="78" spans="1:9" s="728" customFormat="1" ht="12" customHeight="1" thickTop="1" thickBot="1" x14ac:dyDescent="0.25">
      <c r="A78" s="1450"/>
      <c r="B78" s="1448"/>
      <c r="C78" s="1445"/>
      <c r="D78" s="1449" t="s">
        <v>2012</v>
      </c>
      <c r="E78" s="1447"/>
      <c r="F78" s="1788">
        <f>(F14-F77)</f>
        <v>6094940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528</v>
      </c>
      <c r="G79" s="733"/>
      <c r="H79" s="705"/>
      <c r="I79" s="705"/>
    </row>
    <row r="80" spans="1:9" s="728" customFormat="1" ht="12" customHeight="1" thickBot="1" x14ac:dyDescent="0.25">
      <c r="A80" s="1452"/>
      <c r="B80" s="1448"/>
      <c r="C80" s="1445"/>
      <c r="D80" s="1449" t="s">
        <v>2013</v>
      </c>
      <c r="E80" s="1447" t="s">
        <v>952</v>
      </c>
      <c r="F80" s="1790">
        <f>IF(F79&gt;0,F78/F79," Complete Line 79")</f>
        <v>11543.44696969697</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16302</v>
      </c>
      <c r="G95" s="745"/>
    </row>
    <row r="96" spans="1:7" x14ac:dyDescent="0.2">
      <c r="A96" s="741" t="s">
        <v>139</v>
      </c>
      <c r="B96" s="741" t="s">
        <v>174</v>
      </c>
      <c r="C96" s="743">
        <v>1700</v>
      </c>
      <c r="D96" s="751" t="str">
        <f>'Revenues 9-14'!A82</f>
        <v>Total District/School Activity Income</v>
      </c>
      <c r="E96" s="739"/>
      <c r="F96" s="1793">
        <f>SUM('Revenues 9-14'!C82,'Revenues 9-14'!D82)</f>
        <v>49086</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408</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2455</v>
      </c>
      <c r="G105" s="745"/>
    </row>
    <row r="106" spans="1:7" x14ac:dyDescent="0.2">
      <c r="A106" s="741" t="s">
        <v>500</v>
      </c>
      <c r="B106" s="741" t="s">
        <v>1910</v>
      </c>
      <c r="C106" s="746">
        <v>3100</v>
      </c>
      <c r="D106" s="752" t="str">
        <f>'Revenues 9-14'!A132</f>
        <v>Total Special Education</v>
      </c>
      <c r="E106" s="739"/>
      <c r="F106" s="1793">
        <f>SUM('Revenues 9-14'!C132:D132,'Revenues 9-14'!F132)</f>
        <v>87989</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785</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296498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1500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75896</v>
      </c>
      <c r="G126" s="763"/>
    </row>
    <row r="127" spans="1:7" x14ac:dyDescent="0.2">
      <c r="A127" s="760" t="s">
        <v>663</v>
      </c>
      <c r="B127" s="760" t="s">
        <v>1931</v>
      </c>
      <c r="C127" s="765">
        <v>4300</v>
      </c>
      <c r="D127" s="766" t="str">
        <f>'Revenues 9-14'!A204</f>
        <v>Total Title I</v>
      </c>
      <c r="E127" s="739"/>
      <c r="F127" s="1793">
        <f>SUM('Revenues 9-14'!C204,'Revenues 9-14'!D204,'Revenues 9-14'!F204,'Revenues 9-14'!G204)</f>
        <v>60231</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86289</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8509</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7500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8363</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208101.2</v>
      </c>
      <c r="G172" s="760"/>
    </row>
    <row r="173" spans="1:7" x14ac:dyDescent="0.2">
      <c r="A173" s="1529" t="s">
        <v>659</v>
      </c>
      <c r="B173" s="1530" t="s">
        <v>1885</v>
      </c>
      <c r="C173" s="1531">
        <v>3300</v>
      </c>
      <c r="D173" s="1532" t="s">
        <v>1888</v>
      </c>
      <c r="E173" s="739"/>
      <c r="F173" s="1794">
        <v>832.28</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910744.48</v>
      </c>
    </row>
    <row r="176" spans="1:7" ht="12" customHeight="1" x14ac:dyDescent="0.2">
      <c r="A176" s="1443"/>
      <c r="B176" s="1453"/>
      <c r="C176" s="1454"/>
      <c r="D176" s="1455" t="s">
        <v>2014</v>
      </c>
      <c r="E176" s="1456"/>
      <c r="F176" s="1793">
        <f>'PCTC-OEPP 27-28'!F78-F175</f>
        <v>5184195.5199999996</v>
      </c>
    </row>
    <row r="177" spans="1:9" ht="12" customHeight="1" x14ac:dyDescent="0.2">
      <c r="A177" s="1443"/>
      <c r="B177" s="1453"/>
      <c r="C177" s="1454"/>
      <c r="D177" s="1455" t="s">
        <v>1794</v>
      </c>
      <c r="E177" s="1456"/>
      <c r="F177" s="1793">
        <f>'Cap Outlay Deprec 26'!I18</f>
        <v>432172</v>
      </c>
    </row>
    <row r="178" spans="1:9" ht="12" customHeight="1" x14ac:dyDescent="0.2">
      <c r="A178" s="1443"/>
      <c r="B178" s="1453"/>
      <c r="C178" s="1454"/>
      <c r="D178" s="1455" t="s">
        <v>2015</v>
      </c>
      <c r="E178" s="1456"/>
      <c r="F178" s="1793">
        <f>F176+F177</f>
        <v>5616367.5199999996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528</v>
      </c>
      <c r="G179" s="763"/>
      <c r="I179" s="701"/>
    </row>
    <row r="180" spans="1:9" ht="12" customHeight="1" thickBot="1" x14ac:dyDescent="0.25">
      <c r="A180" s="1443"/>
      <c r="B180" s="1457"/>
      <c r="C180" s="1454"/>
      <c r="D180" s="1455" t="s">
        <v>2017</v>
      </c>
      <c r="E180" s="1456" t="s">
        <v>1528</v>
      </c>
      <c r="F180" s="1798">
        <f>F178/F179</f>
        <v>10637.059696969696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D25" sqref="D25"/>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2083</v>
      </c>
      <c r="B18" s="1908">
        <v>101000400</v>
      </c>
      <c r="C18" s="2037" t="s">
        <v>2084</v>
      </c>
      <c r="D18" s="1886">
        <v>223654</v>
      </c>
      <c r="E18" s="1906" t="str">
        <f t="shared" ref="E18:E81" si="0">IF(D18&lt;25000,D18,"25,000")</f>
        <v>25,000</v>
      </c>
      <c r="F18" s="1906">
        <f t="shared" ref="F18:F81" si="1">IF(D18&gt;=25000,(D18-E18),"0")</f>
        <v>198654</v>
      </c>
      <c r="G18" s="1887"/>
    </row>
    <row r="19" spans="1:7" x14ac:dyDescent="0.25">
      <c r="A19" s="2036" t="s">
        <v>2085</v>
      </c>
      <c r="B19" s="1908">
        <v>102200300</v>
      </c>
      <c r="C19" s="2037" t="s">
        <v>2086</v>
      </c>
      <c r="D19" s="1886">
        <v>73707</v>
      </c>
      <c r="E19" s="1906" t="str">
        <f t="shared" si="0"/>
        <v>25,000</v>
      </c>
      <c r="F19" s="1906">
        <f t="shared" si="1"/>
        <v>48707</v>
      </c>
    </row>
    <row r="20" spans="1:7" x14ac:dyDescent="0.25">
      <c r="A20" s="2036" t="s">
        <v>2087</v>
      </c>
      <c r="B20" s="1908">
        <v>102400300</v>
      </c>
      <c r="C20" s="2037" t="s">
        <v>2088</v>
      </c>
      <c r="D20" s="1886">
        <v>26545</v>
      </c>
      <c r="E20" s="1906" t="str">
        <f t="shared" si="0"/>
        <v>25,000</v>
      </c>
      <c r="F20" s="1906">
        <f t="shared" si="1"/>
        <v>1545</v>
      </c>
    </row>
    <row r="21" spans="1:7" x14ac:dyDescent="0.25">
      <c r="A21" s="2036" t="s">
        <v>2089</v>
      </c>
      <c r="B21" s="1908">
        <v>402550300</v>
      </c>
      <c r="C21" s="2037" t="s">
        <v>2090</v>
      </c>
      <c r="D21" s="1886">
        <v>484751</v>
      </c>
      <c r="E21" s="1906" t="str">
        <f t="shared" si="0"/>
        <v>25,000</v>
      </c>
      <c r="F21" s="1906">
        <f t="shared" si="1"/>
        <v>459751</v>
      </c>
    </row>
    <row r="22" spans="1:7" x14ac:dyDescent="0.25">
      <c r="A22" s="2036" t="s">
        <v>2091</v>
      </c>
      <c r="B22" s="1908">
        <v>102100300</v>
      </c>
      <c r="C22" s="2037" t="s">
        <v>2092</v>
      </c>
      <c r="D22" s="1886">
        <v>40540</v>
      </c>
      <c r="E22" s="1906" t="str">
        <f t="shared" si="0"/>
        <v>25,000</v>
      </c>
      <c r="F22" s="1906">
        <f t="shared" si="1"/>
        <v>15540</v>
      </c>
    </row>
    <row r="23" spans="1:7" x14ac:dyDescent="0.25">
      <c r="A23" s="2036" t="s">
        <v>2093</v>
      </c>
      <c r="B23" s="1908">
        <v>102560300</v>
      </c>
      <c r="C23" s="2037" t="s">
        <v>2094</v>
      </c>
      <c r="D23" s="1886">
        <v>97881</v>
      </c>
      <c r="E23" s="1906" t="str">
        <f t="shared" si="0"/>
        <v>25,000</v>
      </c>
      <c r="F23" s="1906">
        <f t="shared" si="1"/>
        <v>72881</v>
      </c>
    </row>
    <row r="24" spans="1:7" x14ac:dyDescent="0.25">
      <c r="A24" s="2036" t="s">
        <v>2089</v>
      </c>
      <c r="B24" s="1908">
        <v>402550300</v>
      </c>
      <c r="C24" s="2037" t="s">
        <v>2095</v>
      </c>
      <c r="D24" s="1886">
        <v>61115</v>
      </c>
      <c r="E24" s="1906" t="str">
        <f t="shared" si="0"/>
        <v>25,000</v>
      </c>
      <c r="F24" s="1906">
        <f t="shared" si="1"/>
        <v>36115</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1008193</v>
      </c>
      <c r="E142" s="1893">
        <f>SUM(E18:E141)</f>
        <v>0</v>
      </c>
      <c r="F142" s="1894">
        <f>SUM(F18:F141)</f>
        <v>833193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17810</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3400770</v>
      </c>
      <c r="F19" s="1802"/>
      <c r="G19" s="1804">
        <f>'Expenditures 15-22'!K33-SUM('Expenditures 15-22'!G33,'Expenditures 15-22'!I33)+'Expenditures 15-22'!D229</f>
        <v>3400770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166822</v>
      </c>
      <c r="F21" s="1805"/>
      <c r="G21" s="1808">
        <f>'Expenditures 15-22'!K42-SUM('Expenditures 15-22'!G42,'Expenditures 15-22'!I42)+'Expenditures 15-22'!K120-SUM('Expenditures 15-22'!G120,'Expenditures 15-22'!I120)+'Expenditures 15-22'!K180-SUM('Expenditures 15-22'!G180,'Expenditures 15-22'!I180)+'Expenditures 15-22'!D238</f>
        <v>166822</v>
      </c>
      <c r="H21" s="817"/>
      <c r="I21" s="157"/>
    </row>
    <row r="22" spans="1:9" s="542" customFormat="1" ht="12" customHeight="1" x14ac:dyDescent="0.2">
      <c r="A22" s="824" t="s">
        <v>560</v>
      </c>
      <c r="B22" s="825"/>
      <c r="C22" s="823">
        <v>2200</v>
      </c>
      <c r="D22" s="1805"/>
      <c r="E22" s="1807">
        <f>'Expenditures 15-22'!K47-SUM('Expenditures 15-22'!G47,'Expenditures 15-22'!I47)+'Expenditures 15-22'!D243</f>
        <v>346128</v>
      </c>
      <c r="F22" s="1805"/>
      <c r="G22" s="1808">
        <f>'Expenditures 15-22'!K47-SUM('Expenditures 15-22'!G47,'Expenditures 15-22'!I47)+'Expenditures 15-22'!D243</f>
        <v>346128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341169</v>
      </c>
      <c r="F23" s="1805"/>
      <c r="G23" s="1807">
        <f>'Expenditures 15-22'!K53-SUM('Expenditures 15-22'!G53,'Expenditures 15-22'!I53)+'Expenditures 15-22'!D257+'Expenditures 15-22'!K330-SUM('Expenditures 15-22'!G330,'Expenditures 15-22'!I330)</f>
        <v>341169</v>
      </c>
      <c r="H23" s="817"/>
      <c r="I23" s="157"/>
    </row>
    <row r="24" spans="1:9" s="542" customFormat="1" ht="12" customHeight="1" x14ac:dyDescent="0.2">
      <c r="A24" s="824" t="s">
        <v>562</v>
      </c>
      <c r="B24" s="825"/>
      <c r="C24" s="823">
        <v>2400</v>
      </c>
      <c r="D24" s="1805"/>
      <c r="E24" s="1807">
        <f>'Expenditures 15-22'!K57-SUM('Expenditures 15-22'!G57,'Expenditures 15-22'!I57)+'Expenditures 15-22'!D261</f>
        <v>384946</v>
      </c>
      <c r="F24" s="1805"/>
      <c r="G24" s="1808">
        <f>'Expenditures 15-22'!K57-SUM('Expenditures 15-22'!G57,'Expenditures 15-22'!I57)+'Expenditures 15-22'!D261</f>
        <v>384946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148316</v>
      </c>
      <c r="E27" s="1807">
        <f>E8</f>
        <v>0</v>
      </c>
      <c r="F27" s="1807">
        <f>'Expenditures 15-22'!K60-SUM('Expenditures 15-22'!G60,'Expenditures 15-22'!I60)+'Expenditures 15-22'!D264-E8</f>
        <v>148316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277168</v>
      </c>
      <c r="F28" s="1809">
        <f>'Expenditures 15-22'!K61-SUM('Expenditures 15-22'!G61,'Expenditures 15-22'!I61)+'Expenditures 15-22'!K124-SUM('Expenditures 15-22'!G124,'Expenditures 15-22'!I124)+'Expenditures 15-22'!D266-E9</f>
        <v>277168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584516</v>
      </c>
      <c r="F29" s="1805"/>
      <c r="G29" s="1808">
        <f>'Expenditures 15-22'!K62-SUM('Expenditures 15-22'!G62,'Expenditures 15-22'!I62)+'Expenditures 15-22'!K125-SUM('Expenditures 15-22'!G125,'Expenditures 15-22'!I125)+'Expenditures 15-22'!K182-SUM('Expenditures 15-22'!G182,'Expenditures 15-22'!I182)+'Expenditures 15-22'!D267</f>
        <v>584516</v>
      </c>
      <c r="H29" s="815"/>
    </row>
    <row r="30" spans="1:9" ht="12" customHeight="1" x14ac:dyDescent="0.2">
      <c r="A30" s="824" t="s">
        <v>100</v>
      </c>
      <c r="B30" s="827"/>
      <c r="C30" s="823">
        <v>2560</v>
      </c>
      <c r="D30" s="1805"/>
      <c r="E30" s="1807">
        <f>'Expenditures 15-22'!K63-SUM('Expenditures 15-22'!G63,'Expenditures 15-22'!I63)+'Expenditures 15-22'!D268-E10</f>
        <v>118276</v>
      </c>
      <c r="F30" s="1805"/>
      <c r="G30" s="1807">
        <f>'Expenditures 15-22'!K63-SUM('Expenditures 15-22'!G63,'Expenditures 15-22'!I63)+'Expenditures 15-22'!D268-E10</f>
        <v>118276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6468</v>
      </c>
      <c r="F39" s="1805"/>
      <c r="G39" s="1807">
        <f>'Expenditures 15-22'!K75-SUM('Expenditures 15-22'!G75,'Expenditures 15-22'!I75)+'Expenditures 15-22'!K130-SUM('Expenditures 15-22'!G130,'Expenditures 15-22'!I130)+'Expenditures 15-22'!K185-SUM('Expenditures 15-22'!G185,'Expenditures 15-22'!I185)+'Expenditures 15-22'!D280</f>
        <v>6468</v>
      </c>
    </row>
    <row r="40" spans="1:7" ht="12" customHeight="1" x14ac:dyDescent="0.2">
      <c r="A40" s="820" t="s">
        <v>1798</v>
      </c>
      <c r="B40" s="821"/>
      <c r="C40" s="823"/>
      <c r="D40" s="1805"/>
      <c r="E40" s="1809">
        <f>-'Contracts Paid in CY 29'!F142</f>
        <v>-833193</v>
      </c>
      <c r="F40" s="1805"/>
      <c r="G40" s="1809">
        <f>-'Contracts Paid in CY 29'!F142</f>
        <v>-833193</v>
      </c>
    </row>
    <row r="41" spans="1:7" ht="12" customHeight="1" x14ac:dyDescent="0.2">
      <c r="A41" s="828" t="s">
        <v>155</v>
      </c>
      <c r="B41" s="829"/>
      <c r="C41" s="830"/>
      <c r="D41" s="1809">
        <f>SUM(D19:D39)</f>
        <v>148316</v>
      </c>
      <c r="E41" s="1809">
        <f>SUM(E19:E40)</f>
        <v>4793070</v>
      </c>
      <c r="F41" s="1809">
        <f>SUM(F19:F39)</f>
        <v>425484</v>
      </c>
      <c r="G41" s="1809">
        <f>SUM(G19:G40)</f>
        <v>4515902</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148316</v>
      </c>
      <c r="F43" s="1458" t="s">
        <v>470</v>
      </c>
      <c r="G43" s="1810">
        <f>F41</f>
        <v>425484</v>
      </c>
    </row>
    <row r="44" spans="1:7" ht="12" customHeight="1" x14ac:dyDescent="0.2">
      <c r="A44" s="817"/>
      <c r="B44" s="157"/>
      <c r="C44" s="831"/>
      <c r="D44" s="1458" t="s">
        <v>471</v>
      </c>
      <c r="E44" s="1810">
        <f>E41</f>
        <v>4793070</v>
      </c>
      <c r="F44" s="1458" t="s">
        <v>471</v>
      </c>
      <c r="G44" s="1810">
        <f>G41</f>
        <v>4515902</v>
      </c>
    </row>
    <row r="45" spans="1:7" ht="12" customHeight="1" x14ac:dyDescent="0.2">
      <c r="A45" s="817"/>
      <c r="B45" s="157"/>
      <c r="C45" s="157"/>
      <c r="D45" s="1459" t="s">
        <v>999</v>
      </c>
      <c r="E45" s="1811">
        <f>(E43/E44)</f>
        <v>3.0943841838320742E-2</v>
      </c>
      <c r="F45" s="1459" t="s">
        <v>999</v>
      </c>
      <c r="G45" s="1811">
        <f>(G43/G44)</f>
        <v>9.4219050811997246E-2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27" sqref="F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 xml:space="preserve">  Winthrop Harbor SD 1</v>
      </c>
      <c r="D6" s="2416"/>
      <c r="E6" s="2416"/>
      <c r="F6" s="1482"/>
      <c r="G6" s="1507"/>
      <c r="L6" s="1507"/>
      <c r="M6" s="1855"/>
      <c r="N6" s="1855"/>
      <c r="O6" s="1855"/>
    </row>
    <row r="7" spans="1:15" ht="11.25" customHeight="1" thickBot="1" x14ac:dyDescent="0.3">
      <c r="A7" s="1480"/>
      <c r="B7" s="1481"/>
      <c r="C7" s="2417">
        <f>COVER!A13</f>
        <v>34049001002</v>
      </c>
      <c r="D7" s="2417"/>
      <c r="E7" s="241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2074</v>
      </c>
      <c r="D19" s="1495" t="s">
        <v>2074</v>
      </c>
      <c r="E19" s="1498"/>
      <c r="F19" s="1497" t="s">
        <v>2075</v>
      </c>
      <c r="G19" s="1507"/>
      <c r="H19" s="1507">
        <f t="shared" si="0"/>
        <v>5</v>
      </c>
      <c r="I19" s="1507">
        <f t="shared" si="1"/>
        <v>5</v>
      </c>
      <c r="J19" s="1507">
        <f t="shared" si="2"/>
        <v>0</v>
      </c>
      <c r="L19" s="1507"/>
      <c r="M19" s="1855"/>
      <c r="N19" s="1855"/>
      <c r="O19" s="1855"/>
    </row>
    <row r="20" spans="1:15" ht="12" customHeight="1" x14ac:dyDescent="0.2">
      <c r="A20" s="1493" t="s">
        <v>1511</v>
      </c>
      <c r="B20" s="1494"/>
      <c r="C20" s="1495" t="s">
        <v>2074</v>
      </c>
      <c r="D20" s="1495" t="s">
        <v>2074</v>
      </c>
      <c r="E20" s="1498"/>
      <c r="F20" s="1497" t="s">
        <v>2076</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2074</v>
      </c>
      <c r="D26" s="1495" t="s">
        <v>2074</v>
      </c>
      <c r="E26" s="1498"/>
      <c r="F26" s="1497" t="s">
        <v>2077</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3" sqref="I13"/>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8" t="str">
        <f>COVER!A17</f>
        <v xml:space="preserve">  Winthrop Harbor SD 1</v>
      </c>
      <c r="K6" s="2438"/>
      <c r="L6" s="2452"/>
      <c r="M6" s="838"/>
      <c r="N6" s="1998"/>
    </row>
    <row r="7" spans="1:14" x14ac:dyDescent="0.2">
      <c r="A7" s="2453" t="s">
        <v>864</v>
      </c>
      <c r="B7" s="2454"/>
      <c r="C7" s="2454"/>
      <c r="D7" s="2454"/>
      <c r="E7" s="2455"/>
      <c r="F7" s="839"/>
      <c r="G7" s="838"/>
      <c r="H7" s="838"/>
      <c r="I7" s="1924" t="s">
        <v>369</v>
      </c>
      <c r="J7" s="2440">
        <f>COVER!A13</f>
        <v>34049001002</v>
      </c>
      <c r="K7" s="2440"/>
      <c r="L7" s="244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6" t="s">
        <v>478</v>
      </c>
      <c r="B11" s="2457"/>
      <c r="C11" s="245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222717</v>
      </c>
      <c r="F12" s="1942"/>
      <c r="G12" s="1968">
        <f>G68</f>
        <v>0</v>
      </c>
      <c r="H12" s="1944">
        <f t="shared" ref="H12:H18" si="0">SUM(E12:G12)</f>
        <v>222717</v>
      </c>
      <c r="I12" s="1943">
        <v>238637</v>
      </c>
      <c r="J12" s="1942"/>
      <c r="K12" s="1943"/>
      <c r="L12" s="1944">
        <f t="shared" ref="L12:L18" si="1">SUM(I12:K12)</f>
        <v>238637</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9" t="s">
        <v>7</v>
      </c>
      <c r="C18" s="2460"/>
      <c r="D18" s="246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222717</v>
      </c>
      <c r="F19" s="1950">
        <f t="shared" si="2"/>
        <v>0</v>
      </c>
      <c r="G19" s="1950">
        <f t="shared" ref="G19" si="3">SUM(G12:G17)-G18</f>
        <v>0</v>
      </c>
      <c r="H19" s="1950">
        <f t="shared" si="2"/>
        <v>222717</v>
      </c>
      <c r="I19" s="1950">
        <f t="shared" si="2"/>
        <v>238637</v>
      </c>
      <c r="J19" s="1950">
        <f t="shared" si="2"/>
        <v>0</v>
      </c>
      <c r="K19" s="1950">
        <f t="shared" si="2"/>
        <v>0</v>
      </c>
      <c r="L19" s="1950">
        <f t="shared" si="2"/>
        <v>238637</v>
      </c>
      <c r="M19" s="838"/>
      <c r="N19" s="1998"/>
    </row>
    <row r="20" spans="1:14" ht="13.5" thickTop="1" x14ac:dyDescent="0.2">
      <c r="A20" s="2003">
        <v>9</v>
      </c>
      <c r="B20" s="2462" t="s">
        <v>2021</v>
      </c>
      <c r="C20" s="2462"/>
      <c r="D20" s="2463"/>
      <c r="E20" s="1951"/>
      <c r="F20" s="1951"/>
      <c r="G20" s="1951"/>
      <c r="H20" s="1951"/>
      <c r="I20" s="1951"/>
      <c r="J20" s="1951"/>
      <c r="K20" s="1951"/>
      <c r="L20" s="1952">
        <f>IF(AND(H19&gt;0,L19&gt;0),(((L19-H19)/H19)),"Enter Budget Data")</f>
        <v>7.148084789216809E-2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4"/>
      <c r="D27" s="2464"/>
      <c r="E27" s="843"/>
      <c r="F27" s="2465"/>
      <c r="G27" s="2465"/>
      <c r="H27" s="2465"/>
      <c r="I27" s="838"/>
      <c r="J27" s="838"/>
      <c r="K27" s="838"/>
      <c r="L27" s="838"/>
      <c r="M27" s="838"/>
      <c r="N27" s="1998"/>
    </row>
    <row r="28" spans="1:14" x14ac:dyDescent="0.2">
      <c r="A28" s="1997"/>
      <c r="B28" s="2007"/>
      <c r="C28" s="1957" t="s">
        <v>1026</v>
      </c>
      <c r="D28" s="844"/>
      <c r="E28" s="1958"/>
      <c r="F28" s="2466" t="s">
        <v>1492</v>
      </c>
      <c r="G28" s="2466"/>
      <c r="H28" s="2466"/>
      <c r="I28" s="838"/>
      <c r="J28" s="838"/>
      <c r="K28" s="838"/>
      <c r="L28" s="838"/>
      <c r="M28" s="838"/>
      <c r="N28" s="1998"/>
    </row>
    <row r="29" spans="1:14" x14ac:dyDescent="0.2">
      <c r="A29" s="1997"/>
      <c r="B29" s="2007"/>
      <c r="C29" s="2467"/>
      <c r="D29" s="2467"/>
      <c r="E29" s="845"/>
      <c r="F29" s="2467"/>
      <c r="G29" s="2467"/>
      <c r="H29" s="2467"/>
      <c r="I29" s="838"/>
      <c r="J29" s="838"/>
      <c r="K29" s="838"/>
      <c r="L29" s="838"/>
      <c r="M29" s="838"/>
      <c r="N29" s="1998"/>
    </row>
    <row r="30" spans="1:14" x14ac:dyDescent="0.2">
      <c r="A30" s="1997"/>
      <c r="B30" s="2007"/>
      <c r="C30" s="1960" t="s">
        <v>1544</v>
      </c>
      <c r="D30" s="838"/>
      <c r="E30" s="1959"/>
      <c r="F30" s="2451" t="s">
        <v>1493</v>
      </c>
      <c r="G30" s="2451"/>
      <c r="H30" s="245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8" t="s">
        <v>2024</v>
      </c>
      <c r="D34" s="2429"/>
      <c r="E34" s="2429"/>
      <c r="F34" s="2429"/>
      <c r="G34" s="2429"/>
      <c r="H34" s="2429"/>
      <c r="I34" s="2429"/>
      <c r="J34" s="2429"/>
      <c r="K34" s="2016"/>
      <c r="L34" s="838"/>
      <c r="M34" s="838"/>
      <c r="N34" s="1998"/>
    </row>
    <row r="35" spans="1:14" x14ac:dyDescent="0.2">
      <c r="A35" s="1997"/>
      <c r="B35" s="838"/>
      <c r="C35" s="2429"/>
      <c r="D35" s="2429"/>
      <c r="E35" s="2429"/>
      <c r="F35" s="2429"/>
      <c r="G35" s="2429"/>
      <c r="H35" s="2429"/>
      <c r="I35" s="2429"/>
      <c r="J35" s="242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8" t="s">
        <v>2025</v>
      </c>
      <c r="D37" s="2429"/>
      <c r="E37" s="2429"/>
      <c r="F37" s="2429"/>
      <c r="G37" s="2429"/>
      <c r="H37" s="2429"/>
      <c r="I37" s="2429"/>
      <c r="J37" s="2429"/>
      <c r="K37" s="2016"/>
      <c r="L37" s="2018"/>
      <c r="M37" s="838"/>
      <c r="N37" s="1998"/>
    </row>
    <row r="38" spans="1:14" x14ac:dyDescent="0.2">
      <c r="A38" s="1997"/>
      <c r="B38" s="838"/>
      <c r="C38" s="2429"/>
      <c r="D38" s="2429"/>
      <c r="E38" s="2429"/>
      <c r="F38" s="2429"/>
      <c r="G38" s="2429"/>
      <c r="H38" s="2429"/>
      <c r="I38" s="2429"/>
      <c r="J38" s="242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0" t="s">
        <v>2026</v>
      </c>
      <c r="D40" s="2431"/>
      <c r="E40" s="2431"/>
      <c r="F40" s="2431"/>
      <c r="G40" s="2431"/>
      <c r="H40" s="2431"/>
      <c r="I40" s="2431"/>
      <c r="J40" s="243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2" t="s">
        <v>2027</v>
      </c>
      <c r="B43" s="2433"/>
      <c r="C43" s="2433"/>
      <c r="D43" s="2433"/>
      <c r="E43" s="2433"/>
      <c r="F43" s="2433"/>
      <c r="G43" s="2433"/>
      <c r="H43" s="2433"/>
      <c r="I43" s="2433"/>
      <c r="J43" s="2433"/>
      <c r="K43" s="2433"/>
      <c r="L43" s="2433"/>
      <c r="M43" s="2433"/>
      <c r="N43" s="243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5" t="s">
        <v>2029</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8" t="str">
        <f>J6</f>
        <v xml:space="preserve">  Winthrop Harbor SD 1</v>
      </c>
      <c r="M52" s="2438"/>
      <c r="N52" s="2439"/>
    </row>
    <row r="53" spans="1:14" x14ac:dyDescent="0.2">
      <c r="A53" s="1982"/>
      <c r="B53" s="1983"/>
      <c r="C53" s="1983"/>
      <c r="D53" s="1983"/>
      <c r="E53" s="1983"/>
      <c r="F53" s="1983"/>
      <c r="G53" s="1983"/>
      <c r="H53" s="1983"/>
      <c r="I53" s="1983"/>
      <c r="J53" s="1983"/>
      <c r="K53" s="1924" t="s">
        <v>369</v>
      </c>
      <c r="L53" s="2440">
        <f>J7</f>
        <v>34049001002</v>
      </c>
      <c r="M53" s="2440"/>
      <c r="N53" s="244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2"/>
      <c r="B55" s="2443"/>
      <c r="C55" s="2443"/>
      <c r="D55" s="1970"/>
      <c r="E55" s="1970"/>
      <c r="F55" s="1970"/>
      <c r="G55" s="2444" t="s">
        <v>2030</v>
      </c>
      <c r="H55" s="2444"/>
      <c r="I55" s="2444"/>
      <c r="J55" s="2444"/>
      <c r="K55" s="2444"/>
      <c r="L55" s="2444"/>
      <c r="M55" s="2444"/>
      <c r="N55" s="2445"/>
    </row>
    <row r="56" spans="1:14" ht="63.75" x14ac:dyDescent="0.2">
      <c r="A56" s="2446" t="s">
        <v>2031</v>
      </c>
      <c r="B56" s="2447"/>
      <c r="C56" s="244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9" t="s">
        <v>296</v>
      </c>
      <c r="B57" s="2450"/>
      <c r="C57" s="245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6" t="s">
        <v>2041</v>
      </c>
      <c r="B58" s="2427"/>
      <c r="C58" s="2427"/>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20" t="s">
        <v>297</v>
      </c>
      <c r="B59" s="2421"/>
      <c r="C59" s="2421"/>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0" t="s">
        <v>236</v>
      </c>
      <c r="B60" s="2421"/>
      <c r="C60" s="2421"/>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20" t="s">
        <v>697</v>
      </c>
      <c r="B61" s="2421"/>
      <c r="C61" s="2421"/>
      <c r="D61" s="1967">
        <v>2365</v>
      </c>
      <c r="E61" s="1977">
        <f>'Expenditures 15-22'!K323</f>
        <v>0</v>
      </c>
      <c r="F61" s="1972"/>
      <c r="G61" s="2031"/>
      <c r="H61" s="2032"/>
      <c r="I61" s="2032"/>
      <c r="J61" s="2032"/>
      <c r="K61" s="2032"/>
      <c r="L61" s="2032"/>
      <c r="M61" s="2032"/>
      <c r="N61" s="1975">
        <f t="shared" si="4"/>
        <v>0</v>
      </c>
    </row>
    <row r="62" spans="1:14" ht="24" customHeight="1" x14ac:dyDescent="0.2">
      <c r="A62" s="2420" t="s">
        <v>237</v>
      </c>
      <c r="B62" s="2421"/>
      <c r="C62" s="2421"/>
      <c r="D62" s="1967">
        <v>2366</v>
      </c>
      <c r="E62" s="1977">
        <f>'Expenditures 15-22'!K324</f>
        <v>0</v>
      </c>
      <c r="F62" s="1972"/>
      <c r="G62" s="2031"/>
      <c r="H62" s="2032"/>
      <c r="I62" s="2032"/>
      <c r="J62" s="2032"/>
      <c r="K62" s="2032"/>
      <c r="L62" s="2032"/>
      <c r="M62" s="2032"/>
      <c r="N62" s="1975">
        <f t="shared" si="4"/>
        <v>0</v>
      </c>
    </row>
    <row r="63" spans="1:14" ht="24" customHeight="1" x14ac:dyDescent="0.2">
      <c r="A63" s="2426" t="s">
        <v>1022</v>
      </c>
      <c r="B63" s="2427"/>
      <c r="C63" s="2427"/>
      <c r="D63" s="1967">
        <v>2367</v>
      </c>
      <c r="E63" s="1977">
        <f>'Expenditures 15-22'!K325</f>
        <v>0</v>
      </c>
      <c r="F63" s="1972"/>
      <c r="G63" s="2031"/>
      <c r="H63" s="2032"/>
      <c r="I63" s="2032"/>
      <c r="J63" s="2032"/>
      <c r="K63" s="2032"/>
      <c r="L63" s="2032"/>
      <c r="M63" s="2032"/>
      <c r="N63" s="1975">
        <f t="shared" si="4"/>
        <v>0</v>
      </c>
    </row>
    <row r="64" spans="1:14" ht="24" customHeight="1" x14ac:dyDescent="0.2">
      <c r="A64" s="2420" t="s">
        <v>1023</v>
      </c>
      <c r="B64" s="2421"/>
      <c r="C64" s="2421"/>
      <c r="D64" s="1967">
        <v>2368</v>
      </c>
      <c r="E64" s="1977">
        <f>'Expenditures 15-22'!K326</f>
        <v>0</v>
      </c>
      <c r="F64" s="1972"/>
      <c r="G64" s="2031"/>
      <c r="H64" s="2032"/>
      <c r="I64" s="2032"/>
      <c r="J64" s="2032"/>
      <c r="K64" s="2032"/>
      <c r="L64" s="2032"/>
      <c r="M64" s="2032"/>
      <c r="N64" s="1975">
        <f t="shared" si="4"/>
        <v>0</v>
      </c>
    </row>
    <row r="65" spans="1:14" ht="24" customHeight="1" x14ac:dyDescent="0.2">
      <c r="A65" s="2420" t="s">
        <v>965</v>
      </c>
      <c r="B65" s="2421"/>
      <c r="C65" s="2421"/>
      <c r="D65" s="1967">
        <v>2369</v>
      </c>
      <c r="E65" s="1977">
        <f>'Expenditures 15-22'!K327</f>
        <v>0</v>
      </c>
      <c r="F65" s="1972"/>
      <c r="G65" s="2031"/>
      <c r="H65" s="2032"/>
      <c r="I65" s="2032"/>
      <c r="J65" s="2032"/>
      <c r="K65" s="2032"/>
      <c r="L65" s="2032"/>
      <c r="M65" s="2032"/>
      <c r="N65" s="1975">
        <f t="shared" si="4"/>
        <v>0</v>
      </c>
    </row>
    <row r="66" spans="1:14" ht="24" customHeight="1" x14ac:dyDescent="0.2">
      <c r="A66" s="2420" t="s">
        <v>469</v>
      </c>
      <c r="B66" s="2421"/>
      <c r="C66" s="2421"/>
      <c r="D66" s="1967">
        <v>2371</v>
      </c>
      <c r="E66" s="1977">
        <f>'Expenditures 15-22'!K328</f>
        <v>0</v>
      </c>
      <c r="F66" s="1972"/>
      <c r="G66" s="2031"/>
      <c r="H66" s="2032"/>
      <c r="I66" s="2032"/>
      <c r="J66" s="2032"/>
      <c r="K66" s="2032"/>
      <c r="L66" s="2032"/>
      <c r="M66" s="2032"/>
      <c r="N66" s="1975">
        <f t="shared" si="4"/>
        <v>0</v>
      </c>
    </row>
    <row r="67" spans="1:14" ht="24.75" customHeight="1" x14ac:dyDescent="0.2">
      <c r="A67" s="2422" t="s">
        <v>2042</v>
      </c>
      <c r="B67" s="2423"/>
      <c r="C67" s="2423"/>
      <c r="D67" s="1969">
        <v>2372</v>
      </c>
      <c r="E67" s="1978">
        <f>'Expenditures 15-22'!K329</f>
        <v>0</v>
      </c>
      <c r="F67" s="1972"/>
      <c r="G67" s="2033"/>
      <c r="H67" s="2034"/>
      <c r="I67" s="2034"/>
      <c r="J67" s="2034"/>
      <c r="K67" s="2034"/>
      <c r="L67" s="2034"/>
      <c r="M67" s="2034"/>
      <c r="N67" s="1975">
        <f t="shared" si="4"/>
        <v>0</v>
      </c>
    </row>
    <row r="68" spans="1:14" x14ac:dyDescent="0.2">
      <c r="A68" s="2424" t="s">
        <v>1151</v>
      </c>
      <c r="B68" s="2425"/>
      <c r="C68" s="2425"/>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B29" sqref="B29"/>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5" t="s">
        <v>2078</v>
      </c>
    </row>
    <row r="6" spans="1:2" x14ac:dyDescent="0.2">
      <c r="A6" s="847"/>
      <c r="B6" s="307" t="s">
        <v>2079</v>
      </c>
    </row>
    <row r="7" spans="1:2" x14ac:dyDescent="0.2">
      <c r="A7" s="847"/>
    </row>
    <row r="8" spans="1:2" x14ac:dyDescent="0.2">
      <c r="A8" s="847"/>
      <c r="B8" s="307" t="s">
        <v>2080</v>
      </c>
    </row>
    <row r="9" spans="1:2" x14ac:dyDescent="0.2">
      <c r="A9" s="847"/>
    </row>
    <row r="10" spans="1:2" x14ac:dyDescent="0.2">
      <c r="A10" s="847"/>
    </row>
    <row r="11" spans="1:2" x14ac:dyDescent="0.2">
      <c r="A11" s="847"/>
    </row>
    <row r="12" spans="1:2" x14ac:dyDescent="0.2">
      <c r="A12" s="847"/>
    </row>
    <row r="13" spans="1:2" x14ac:dyDescent="0.2">
      <c r="A13" s="847"/>
    </row>
    <row r="14" spans="1:2" x14ac:dyDescent="0.2">
      <c r="A14" s="847"/>
    </row>
    <row r="15" spans="1:2" x14ac:dyDescent="0.2">
      <c r="A15" s="847"/>
    </row>
    <row r="16" spans="1:2" x14ac:dyDescent="0.2">
      <c r="A16" s="847">
        <v>2</v>
      </c>
    </row>
    <row r="17" spans="1:2" x14ac:dyDescent="0.2">
      <c r="A17" s="847"/>
    </row>
    <row r="18" spans="1:2" x14ac:dyDescent="0.2">
      <c r="A18" s="847"/>
    </row>
    <row r="19" spans="1:2" x14ac:dyDescent="0.2">
      <c r="A19" s="847"/>
    </row>
    <row r="20" spans="1:2" x14ac:dyDescent="0.2">
      <c r="A20" s="847"/>
    </row>
    <row r="21" spans="1:2" x14ac:dyDescent="0.2">
      <c r="A21" s="847"/>
    </row>
    <row r="22" spans="1:2" x14ac:dyDescent="0.2">
      <c r="A22" s="847"/>
    </row>
    <row r="23" spans="1:2" x14ac:dyDescent="0.2">
      <c r="A23" s="847"/>
    </row>
    <row r="24" spans="1:2" x14ac:dyDescent="0.2">
      <c r="A24" s="847"/>
    </row>
    <row r="25" spans="1:2" x14ac:dyDescent="0.2">
      <c r="A25" s="847"/>
    </row>
    <row r="26" spans="1:2" x14ac:dyDescent="0.2">
      <c r="A26" s="847"/>
    </row>
    <row r="27" spans="1:2" x14ac:dyDescent="0.2">
      <c r="A27" s="847">
        <v>3</v>
      </c>
      <c r="B27" s="2035" t="s">
        <v>2081</v>
      </c>
    </row>
    <row r="28" spans="1:2" x14ac:dyDescent="0.2">
      <c r="A28" s="847"/>
      <c r="B28" s="307" t="s">
        <v>2082</v>
      </c>
    </row>
    <row r="29" spans="1:2" x14ac:dyDescent="0.2">
      <c r="A29" s="847"/>
    </row>
    <row r="30" spans="1:2" x14ac:dyDescent="0.2">
      <c r="A30" s="847"/>
    </row>
    <row r="31" spans="1:2" x14ac:dyDescent="0.2">
      <c r="A31" s="847"/>
    </row>
    <row r="32" spans="1:2" x14ac:dyDescent="0.2">
      <c r="A32" s="847"/>
    </row>
    <row r="33" spans="1:1" x14ac:dyDescent="0.2">
      <c r="A33" s="847"/>
    </row>
    <row r="34" spans="1:1" x14ac:dyDescent="0.2">
      <c r="A34" s="847"/>
    </row>
    <row r="35" spans="1:1" x14ac:dyDescent="0.2">
      <c r="A35" s="847">
        <v>4</v>
      </c>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Winthrop Harbor SD 1</v>
      </c>
    </row>
    <row r="66" spans="1:2" x14ac:dyDescent="0.2">
      <c r="B66" s="849">
        <f>COVER!A13</f>
        <v>34049001002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0</xdr:col>
                <xdr:colOff>0</xdr:colOff>
                <xdr:row>0</xdr:row>
                <xdr:rowOff>0</xdr:rowOff>
              </from>
              <to>
                <xdr:col>1</xdr:col>
                <xdr:colOff>647700</xdr:colOff>
                <xdr:row>3</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6196689</v>
      </c>
      <c r="C8" s="1813">
        <f>'Acct Summary 7-8'!D8</f>
        <v>507274</v>
      </c>
      <c r="D8" s="1813">
        <f>'Acct Summary 7-8'!F8</f>
        <v>440832</v>
      </c>
      <c r="E8" s="1813">
        <f>'Acct Summary 7-8'!I8</f>
        <v>58345</v>
      </c>
      <c r="F8" s="1813">
        <f>SUM(B8:E8)</f>
        <v>7203140</v>
      </c>
    </row>
    <row r="9" spans="1:8" s="858" customFormat="1" ht="14.25" customHeight="1" thickBot="1" x14ac:dyDescent="0.25">
      <c r="A9" s="857" t="s">
        <v>1353</v>
      </c>
      <c r="B9" s="1814">
        <f>'Acct Summary 7-8'!C17</f>
        <v>5849594</v>
      </c>
      <c r="C9" s="1814">
        <f>'Acct Summary 7-8'!D17</f>
        <v>391415</v>
      </c>
      <c r="D9" s="1814">
        <f>'Acct Summary 7-8'!F17</f>
        <v>582941</v>
      </c>
      <c r="E9" s="1813"/>
      <c r="F9" s="1813">
        <f>SUM(B9:E9)</f>
        <v>6823950</v>
      </c>
    </row>
    <row r="10" spans="1:8" s="858" customFormat="1" ht="14.25" thickTop="1" thickBot="1" x14ac:dyDescent="0.25">
      <c r="A10" s="859" t="s">
        <v>1354</v>
      </c>
      <c r="B10" s="1815">
        <f>(B8-B9)</f>
        <v>347095</v>
      </c>
      <c r="C10" s="1815">
        <f>(C8-C9)</f>
        <v>115859</v>
      </c>
      <c r="D10" s="1815">
        <f>(D8-D9)</f>
        <v>-142109</v>
      </c>
      <c r="E10" s="1814">
        <f>(E8-E9)</f>
        <v>58345</v>
      </c>
      <c r="F10" s="1816">
        <f>SUM(F8-F9)</f>
        <v>379190</v>
      </c>
    </row>
    <row r="11" spans="1:8" s="858" customFormat="1" ht="14.25" thickTop="1" thickBot="1" x14ac:dyDescent="0.25">
      <c r="A11" s="860" t="s">
        <v>1903</v>
      </c>
      <c r="B11" s="1817">
        <f>'Acct Summary 7-8'!C81</f>
        <v>6510871</v>
      </c>
      <c r="C11" s="1817">
        <f>'Acct Summary 7-8'!D81</f>
        <v>938234</v>
      </c>
      <c r="D11" s="1817">
        <f>'Acct Summary 7-8'!F81</f>
        <v>242081</v>
      </c>
      <c r="E11" s="1817">
        <f>'Acct Summary 7-8'!I81</f>
        <v>88982</v>
      </c>
      <c r="F11" s="1818">
        <f>SUM(B11:E11)</f>
        <v>7780168</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39" sqref="D3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34049001002</v>
      </c>
      <c r="E2" s="1542">
        <v>2020</v>
      </c>
      <c r="F2" s="1542">
        <v>1</v>
      </c>
      <c r="G2" s="1899">
        <v>101000300</v>
      </c>
    </row>
    <row r="3" spans="1:7" ht="15" x14ac:dyDescent="0.25">
      <c r="A3" t="s">
        <v>950</v>
      </c>
      <c r="B3" s="135" t="str">
        <f>COVER!A15</f>
        <v>LAKE</v>
      </c>
      <c r="E3" s="1830" t="s">
        <v>1971</v>
      </c>
      <c r="F3" s="1830" t="s">
        <v>1970</v>
      </c>
      <c r="G3" s="1899">
        <v>101000400</v>
      </c>
    </row>
    <row r="4" spans="1:7" ht="15" x14ac:dyDescent="0.25">
      <c r="A4" t="s">
        <v>1000</v>
      </c>
      <c r="B4" s="135" t="str">
        <f>COVER!A17</f>
        <v xml:space="preserve">  Winthrop Harbor SD 1</v>
      </c>
      <c r="E4" s="1828">
        <v>44119</v>
      </c>
      <c r="F4" s="1829">
        <v>44151</v>
      </c>
      <c r="G4" s="1899">
        <v>101000600</v>
      </c>
    </row>
    <row r="5" spans="1:7" ht="15" x14ac:dyDescent="0.25">
      <c r="A5" t="s">
        <v>699</v>
      </c>
      <c r="B5" s="135" t="str">
        <f>COVER!A38</f>
        <v>Jeffrey McCartney, Ed.S.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066-003289</v>
      </c>
      <c r="G15" s="1899">
        <v>402100400</v>
      </c>
    </row>
    <row r="16" spans="1:7" ht="15" x14ac:dyDescent="0.25">
      <c r="A16" t="s">
        <v>419</v>
      </c>
      <c r="B16" s="135" t="str">
        <f>COVER!T13</f>
        <v>Evoy, Kamschulte, Jacobs &amp; Co. LLP</v>
      </c>
      <c r="G16" s="1899">
        <v>402100600</v>
      </c>
    </row>
    <row r="17" spans="1:7" ht="15" x14ac:dyDescent="0.25">
      <c r="A17" t="s">
        <v>878</v>
      </c>
      <c r="B17" s="135" t="str">
        <f>COVER!T15</f>
        <v>John D. Aceto, Jr., CPA</v>
      </c>
      <c r="G17" s="1899">
        <v>402100800</v>
      </c>
    </row>
    <row r="18" spans="1:7" ht="15" x14ac:dyDescent="0.25">
      <c r="A18" t="s">
        <v>1140</v>
      </c>
      <c r="B18" s="135" t="str">
        <f>COVER!T17</f>
        <v>2122 Yeoman Street</v>
      </c>
      <c r="G18" s="1899">
        <v>102200300</v>
      </c>
    </row>
    <row r="19" spans="1:7" ht="15" x14ac:dyDescent="0.25">
      <c r="A19" t="s">
        <v>880</v>
      </c>
      <c r="B19" s="135" t="str">
        <f>COVER!T25</f>
        <v>jaceto@ekjllp.com</v>
      </c>
      <c r="G19" s="1899">
        <v>102200400</v>
      </c>
    </row>
    <row r="20" spans="1:7" ht="15" x14ac:dyDescent="0.25">
      <c r="A20" t="s">
        <v>881</v>
      </c>
      <c r="B20" s="135" t="str">
        <f>COVER!T19</f>
        <v>Waukegan</v>
      </c>
      <c r="G20" s="1899">
        <v>102200600</v>
      </c>
    </row>
    <row r="21" spans="1:7" ht="15" x14ac:dyDescent="0.25">
      <c r="A21" t="s">
        <v>476</v>
      </c>
      <c r="B21" s="135" t="str">
        <f>COVER!X19</f>
        <v>IL</v>
      </c>
      <c r="G21" s="1899">
        <v>102200800</v>
      </c>
    </row>
    <row r="22" spans="1:7" ht="15" x14ac:dyDescent="0.25">
      <c r="A22" t="s">
        <v>882</v>
      </c>
      <c r="B22" s="135">
        <f>COVER!Z19</f>
        <v>60087</v>
      </c>
      <c r="G22" s="1899">
        <v>102300300</v>
      </c>
    </row>
    <row r="23" spans="1:7" ht="15" x14ac:dyDescent="0.25">
      <c r="A23" t="s">
        <v>1142</v>
      </c>
      <c r="B23" s="135" t="str">
        <f>COVER!T21</f>
        <v>847-662-8300</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33604</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6522530</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11659</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11659</v>
      </c>
      <c r="C91" s="2" t="s">
        <v>569</v>
      </c>
      <c r="D91" s="2" t="str">
        <f t="shared" si="0"/>
        <v>Error?</v>
      </c>
      <c r="G91" s="1899">
        <v>102640400</v>
      </c>
    </row>
    <row r="92" spans="1:7" ht="15" x14ac:dyDescent="0.25">
      <c r="A92" s="5">
        <v>31</v>
      </c>
      <c r="B92" s="1832">
        <f>'Assets-Liab 5-6'!C39</f>
        <v>6510871</v>
      </c>
      <c r="D92" s="2" t="str">
        <f t="shared" si="0"/>
        <v>Error?</v>
      </c>
      <c r="G92" s="1899">
        <v>102640600</v>
      </c>
    </row>
    <row r="93" spans="1:7" ht="15" x14ac:dyDescent="0.25">
      <c r="A93" s="5">
        <v>32</v>
      </c>
      <c r="B93" s="1832">
        <f>'Assets-Liab 5-6'!C41</f>
        <v>6522530</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938234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938234</v>
      </c>
      <c r="D123" s="2" t="str">
        <f t="shared" si="0"/>
        <v>Error?</v>
      </c>
      <c r="G123" s="1899">
        <v>203000400</v>
      </c>
    </row>
    <row r="124" spans="1:7" ht="15" x14ac:dyDescent="0.25">
      <c r="A124" s="5">
        <v>63</v>
      </c>
      <c r="B124" s="1832">
        <f>'Assets-Liab 5-6'!D41</f>
        <v>938234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411339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21276</v>
      </c>
      <c r="C139" s="2" t="s">
        <v>569</v>
      </c>
      <c r="D139" s="2" t="str">
        <f t="shared" si="1"/>
        <v>Error?</v>
      </c>
    </row>
    <row r="140" spans="1:7" x14ac:dyDescent="0.2">
      <c r="A140" s="5">
        <v>79</v>
      </c>
      <c r="B140" s="1832">
        <f>'Assets-Liab 5-6'!E39</f>
        <v>390063</v>
      </c>
      <c r="D140" s="2" t="str">
        <f t="shared" si="1"/>
        <v>Error?</v>
      </c>
    </row>
    <row r="141" spans="1:7" x14ac:dyDescent="0.2">
      <c r="A141" s="5">
        <v>80</v>
      </c>
      <c r="B141" s="1832">
        <f>'Assets-Liab 5-6'!E41</f>
        <v>411339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242764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683</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683</v>
      </c>
      <c r="C169" s="2" t="s">
        <v>569</v>
      </c>
      <c r="D169" s="2" t="str">
        <f t="shared" si="1"/>
        <v>Error?</v>
      </c>
    </row>
    <row r="170" spans="1:4" x14ac:dyDescent="0.2">
      <c r="A170" s="5">
        <v>109</v>
      </c>
      <c r="B170" s="1832">
        <f>'Assets-Liab 5-6'!F39</f>
        <v>242081</v>
      </c>
      <c r="D170" s="2" t="str">
        <f t="shared" si="1"/>
        <v>Error?</v>
      </c>
    </row>
    <row r="171" spans="1:4" x14ac:dyDescent="0.2">
      <c r="A171" s="5">
        <v>110</v>
      </c>
      <c r="B171" s="1832">
        <f>'Assets-Liab 5-6'!F41</f>
        <v>242764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423623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423623</v>
      </c>
      <c r="D189" s="2" t="str">
        <f t="shared" si="1"/>
        <v>Error?</v>
      </c>
    </row>
    <row r="190" spans="1:4" x14ac:dyDescent="0.2">
      <c r="A190" s="5">
        <v>129</v>
      </c>
      <c r="B190" s="1832">
        <f>'Assets-Liab 5-6'!G41</f>
        <v>423623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87963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87963</v>
      </c>
      <c r="D212" s="2" t="str">
        <f t="shared" si="2"/>
        <v>Error?</v>
      </c>
    </row>
    <row r="213" spans="1:4" x14ac:dyDescent="0.2">
      <c r="A213" s="12">
        <v>152</v>
      </c>
      <c r="B213" s="1832">
        <f>'Assets-Liab 5-6'!H41</f>
        <v>87963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101187</v>
      </c>
      <c r="D273" s="2" t="str">
        <f t="shared" si="3"/>
        <v>Error?</v>
      </c>
    </row>
    <row r="274" spans="1:4" x14ac:dyDescent="0.2">
      <c r="A274" s="5">
        <v>213</v>
      </c>
      <c r="B274" s="1832">
        <f>'Assets-Liab 5-6'!M17</f>
        <v>14866439</v>
      </c>
      <c r="D274" s="2" t="str">
        <f t="shared" si="3"/>
        <v>Error?</v>
      </c>
    </row>
    <row r="275" spans="1:4" x14ac:dyDescent="0.2">
      <c r="A275" s="5">
        <v>214</v>
      </c>
      <c r="B275" s="1832">
        <f>'Assets-Liab 5-6'!M18</f>
        <v>1000022</v>
      </c>
      <c r="D275" s="2" t="str">
        <f t="shared" si="3"/>
        <v>Error?</v>
      </c>
    </row>
    <row r="276" spans="1:4" x14ac:dyDescent="0.2">
      <c r="A276" s="5">
        <v>215</v>
      </c>
      <c r="B276" s="1832">
        <f>'Assets-Liab 5-6'!M19</f>
        <v>2839186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18806834</v>
      </c>
      <c r="C279" s="2" t="s">
        <v>569</v>
      </c>
      <c r="D279" s="2" t="str">
        <f t="shared" si="3"/>
        <v>Error?</v>
      </c>
    </row>
    <row r="280" spans="1:4" x14ac:dyDescent="0.2">
      <c r="A280" s="5">
        <v>219</v>
      </c>
      <c r="B280" s="1832">
        <f>'Assets-Liab 5-6'!M40</f>
        <v>18806834</v>
      </c>
      <c r="D280" s="2" t="str">
        <f t="shared" si="3"/>
        <v>Error?</v>
      </c>
    </row>
    <row r="281" spans="1:4" x14ac:dyDescent="0.2">
      <c r="A281" s="5">
        <v>220</v>
      </c>
      <c r="B281" s="1832">
        <f>'Assets-Liab 5-6'!M41</f>
        <v>18806834</v>
      </c>
      <c r="C281" s="2" t="s">
        <v>569</v>
      </c>
      <c r="D281" s="2" t="str">
        <f t="shared" si="3"/>
        <v>Error?</v>
      </c>
    </row>
    <row r="282" spans="1:4" x14ac:dyDescent="0.2">
      <c r="A282" s="5">
        <v>221</v>
      </c>
      <c r="B282" s="1832">
        <f>'Assets-Liab 5-6'!N21</f>
        <v>390063</v>
      </c>
      <c r="D282" s="2" t="str">
        <f t="shared" si="3"/>
        <v>Error?</v>
      </c>
    </row>
    <row r="283" spans="1:4" x14ac:dyDescent="0.2">
      <c r="A283" s="5">
        <v>222</v>
      </c>
      <c r="B283" s="1832">
        <f>'Assets-Liab 5-6'!N22</f>
        <v>5029256</v>
      </c>
      <c r="D283" s="2" t="str">
        <f t="shared" si="3"/>
        <v>Error?</v>
      </c>
    </row>
    <row r="284" spans="1:4" x14ac:dyDescent="0.2">
      <c r="A284" s="5">
        <v>223</v>
      </c>
      <c r="B284" s="1832">
        <f>'Assets-Liab 5-6'!N23</f>
        <v>5419319</v>
      </c>
      <c r="C284" s="2" t="s">
        <v>569</v>
      </c>
      <c r="D284" s="2" t="str">
        <f t="shared" si="3"/>
        <v>Error?</v>
      </c>
    </row>
    <row r="285" spans="1:4" x14ac:dyDescent="0.2">
      <c r="A285" s="5">
        <v>224</v>
      </c>
      <c r="B285" s="1832">
        <f>'Assets-Liab 5-6'!N36</f>
        <v>5419319</v>
      </c>
      <c r="D285" s="2" t="str">
        <f t="shared" si="3"/>
        <v>Error?</v>
      </c>
    </row>
    <row r="286" spans="1:4" x14ac:dyDescent="0.2">
      <c r="A286" s="10">
        <v>225</v>
      </c>
      <c r="B286" s="1832"/>
      <c r="D286" s="2" t="str">
        <f t="shared" si="3"/>
        <v>OK</v>
      </c>
    </row>
    <row r="287" spans="1:4" x14ac:dyDescent="0.2">
      <c r="A287" s="5">
        <v>226</v>
      </c>
      <c r="B287" s="1832">
        <f>'Assets-Liab 5-6'!N37</f>
        <v>5419319</v>
      </c>
      <c r="C287" s="2" t="s">
        <v>569</v>
      </c>
      <c r="D287" s="2" t="str">
        <f t="shared" si="3"/>
        <v>Error?</v>
      </c>
    </row>
    <row r="288" spans="1:4" x14ac:dyDescent="0.2">
      <c r="A288" s="5">
        <v>227</v>
      </c>
      <c r="B288" s="1832">
        <f>'Assets-Liab 5-6'!N41</f>
        <v>5419319</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1791171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58965</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2396981</v>
      </c>
      <c r="C720" s="2" t="s">
        <v>569</v>
      </c>
      <c r="D720" s="2" t="str">
        <f t="shared" si="10"/>
        <v>Error?</v>
      </c>
    </row>
    <row r="721" spans="1:4" x14ac:dyDescent="0.2">
      <c r="A721" s="5">
        <v>660</v>
      </c>
      <c r="B721" s="1832">
        <f>'Expenditures 15-22'!C36</f>
        <v>77859</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18165</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96024</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89243</v>
      </c>
      <c r="D729" s="2" t="str">
        <f t="shared" si="10"/>
        <v>Error?</v>
      </c>
    </row>
    <row r="730" spans="1:4" x14ac:dyDescent="0.2">
      <c r="A730" s="5">
        <v>669</v>
      </c>
      <c r="B730" s="1832">
        <f>'Expenditures 15-22'!C46</f>
        <v>124834</v>
      </c>
      <c r="D730" s="2" t="str">
        <f t="shared" si="10"/>
        <v>Error?</v>
      </c>
    </row>
    <row r="731" spans="1:4" x14ac:dyDescent="0.2">
      <c r="A731" s="5">
        <v>670</v>
      </c>
      <c r="B731" s="1832">
        <f>'Expenditures 15-22'!C47</f>
        <v>214077</v>
      </c>
      <c r="C731" s="2" t="s">
        <v>569</v>
      </c>
      <c r="D731" s="2" t="str">
        <f t="shared" si="10"/>
        <v>Error?</v>
      </c>
    </row>
    <row r="732" spans="1:4" x14ac:dyDescent="0.2">
      <c r="A732" s="5">
        <v>671</v>
      </c>
      <c r="B732" s="1832">
        <f>'Expenditures 15-22'!C49</f>
        <v>27659</v>
      </c>
      <c r="D732" s="2" t="str">
        <f t="shared" si="10"/>
        <v>Error?</v>
      </c>
    </row>
    <row r="733" spans="1:4" x14ac:dyDescent="0.2">
      <c r="A733" s="5">
        <v>672</v>
      </c>
      <c r="B733" s="1832">
        <f>'Expenditures 15-22'!C50</f>
        <v>152512</v>
      </c>
      <c r="D733" s="2" t="str">
        <f t="shared" si="10"/>
        <v>Error?</v>
      </c>
    </row>
    <row r="734" spans="1:4" x14ac:dyDescent="0.2">
      <c r="A734" s="5">
        <v>673</v>
      </c>
      <c r="B734" s="1832">
        <f>'Expenditures 15-22'!C53</f>
        <v>180171</v>
      </c>
      <c r="C734" s="2" t="s">
        <v>569</v>
      </c>
      <c r="D734" s="2" t="str">
        <f t="shared" si="10"/>
        <v>Error?</v>
      </c>
    </row>
    <row r="735" spans="1:4" x14ac:dyDescent="0.2">
      <c r="A735" s="5">
        <v>674</v>
      </c>
      <c r="B735" s="1832">
        <f>'Expenditures 15-22'!C55</f>
        <v>251895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251895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85180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32916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118096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860263</v>
      </c>
      <c r="C755" s="2" t="s">
        <v>569</v>
      </c>
      <c r="D755" s="2" t="str">
        <f t="shared" si="10"/>
        <v>Error?</v>
      </c>
    </row>
    <row r="756" spans="1:4" x14ac:dyDescent="0.2">
      <c r="A756" s="5">
        <v>695</v>
      </c>
      <c r="B756" s="1832">
        <f>'Expenditures 15-22'!C75</f>
        <v>3000</v>
      </c>
      <c r="D756" s="2" t="str">
        <f t="shared" si="10"/>
        <v>Error?</v>
      </c>
    </row>
    <row r="757" spans="1:4" x14ac:dyDescent="0.2">
      <c r="A757" s="5">
        <v>696</v>
      </c>
      <c r="B757" s="1832">
        <f>'Expenditures 15-22'!C114</f>
        <v>3260244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492573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7558</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639214</v>
      </c>
      <c r="C778" s="2" t="s">
        <v>569</v>
      </c>
      <c r="D778" s="2" t="str">
        <f t="shared" si="11"/>
        <v>Error?</v>
      </c>
    </row>
    <row r="779" spans="1:4" x14ac:dyDescent="0.2">
      <c r="A779" s="5">
        <v>718</v>
      </c>
      <c r="B779" s="1832">
        <f>'Expenditures 15-22'!D36</f>
        <v>22323</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22323</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11890</v>
      </c>
      <c r="D787" s="2" t="str">
        <f t="shared" si="11"/>
        <v>Error?</v>
      </c>
    </row>
    <row r="788" spans="1:4" x14ac:dyDescent="0.2">
      <c r="A788" s="5">
        <v>727</v>
      </c>
      <c r="B788" s="1832">
        <f>'Expenditures 15-22'!D46</f>
        <v>23819</v>
      </c>
      <c r="D788" s="2" t="str">
        <f t="shared" si="11"/>
        <v>Error?</v>
      </c>
    </row>
    <row r="789" spans="1:4" x14ac:dyDescent="0.2">
      <c r="A789" s="5">
        <v>728</v>
      </c>
      <c r="B789" s="1832">
        <f>'Expenditures 15-22'!D47</f>
        <v>35709</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61349</v>
      </c>
      <c r="D791" s="2" t="str">
        <f t="shared" si="11"/>
        <v>Error?</v>
      </c>
    </row>
    <row r="792" spans="1:4" x14ac:dyDescent="0.2">
      <c r="A792" s="5">
        <v>731</v>
      </c>
      <c r="B792" s="1832">
        <f>'Expenditures 15-22'!D53</f>
        <v>61349</v>
      </c>
      <c r="C792" s="2" t="s">
        <v>569</v>
      </c>
      <c r="D792" s="2" t="str">
        <f t="shared" si="11"/>
        <v>Error?</v>
      </c>
    </row>
    <row r="793" spans="1:4" x14ac:dyDescent="0.2">
      <c r="A793" s="5">
        <v>732</v>
      </c>
      <c r="B793" s="1832">
        <f>'Expenditures 15-22'!D55</f>
        <v>86352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86352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19770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2662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22432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228165</v>
      </c>
      <c r="C813" s="2" t="s">
        <v>569</v>
      </c>
      <c r="D813" s="2" t="str">
        <f t="shared" si="11"/>
        <v>Error?</v>
      </c>
    </row>
    <row r="814" spans="1:4" x14ac:dyDescent="0.2">
      <c r="A814" s="5">
        <v>753</v>
      </c>
      <c r="B814" s="1832">
        <f>'Expenditures 15-22'!D75</f>
        <v>422</v>
      </c>
      <c r="D814" s="2" t="str">
        <f t="shared" si="11"/>
        <v>Error?</v>
      </c>
    </row>
    <row r="815" spans="1:4" x14ac:dyDescent="0.2">
      <c r="A815" s="5">
        <v>754</v>
      </c>
      <c r="B815" s="1832">
        <f>'Expenditures 15-22'!D114</f>
        <v>867801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36273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71441</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40540</v>
      </c>
      <c r="D839" s="2" t="str">
        <f t="shared" si="12"/>
        <v>Error?</v>
      </c>
    </row>
    <row r="840" spans="1:4" x14ac:dyDescent="0.2">
      <c r="A840" s="5">
        <v>779</v>
      </c>
      <c r="B840" s="1832">
        <f>'Expenditures 15-22'!E39</f>
        <v>266</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40806</v>
      </c>
      <c r="C843" s="2" t="s">
        <v>569</v>
      </c>
      <c r="D843" s="2" t="str">
        <f t="shared" si="12"/>
        <v>Error?</v>
      </c>
    </row>
    <row r="844" spans="1:4" x14ac:dyDescent="0.2">
      <c r="A844" s="5">
        <v>783</v>
      </c>
      <c r="B844" s="1832">
        <f>'Expenditures 15-22'!E44</f>
        <v>4760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47956</v>
      </c>
      <c r="D846" s="2" t="str">
        <f t="shared" si="12"/>
        <v>Error?</v>
      </c>
    </row>
    <row r="847" spans="1:4" x14ac:dyDescent="0.2">
      <c r="A847" s="5">
        <v>786</v>
      </c>
      <c r="B847" s="1832">
        <f>'Expenditures 15-22'!E47</f>
        <v>52716</v>
      </c>
      <c r="C847" s="2" t="s">
        <v>569</v>
      </c>
      <c r="D847" s="2" t="str">
        <f t="shared" si="12"/>
        <v>Error?</v>
      </c>
    </row>
    <row r="848" spans="1:4" x14ac:dyDescent="0.2">
      <c r="A848" s="5">
        <v>787</v>
      </c>
      <c r="B848" s="1832">
        <f>'Expenditures 15-22'!E49</f>
        <v>77731</v>
      </c>
      <c r="D848" s="2" t="str">
        <f t="shared" si="12"/>
        <v>Error?</v>
      </c>
    </row>
    <row r="849" spans="1:4" x14ac:dyDescent="0.2">
      <c r="A849" s="5">
        <v>788</v>
      </c>
      <c r="B849" s="1832">
        <f>'Expenditures 15-22'!E50</f>
        <v>6060</v>
      </c>
      <c r="D849" s="2" t="str">
        <f t="shared" si="12"/>
        <v>Error?</v>
      </c>
    </row>
    <row r="850" spans="1:4" x14ac:dyDescent="0.2">
      <c r="A850" s="5">
        <v>789</v>
      </c>
      <c r="B850" s="1832">
        <f>'Expenditures 15-22'!E53</f>
        <v>83791</v>
      </c>
      <c r="C850" s="2" t="s">
        <v>569</v>
      </c>
      <c r="D850" s="2" t="str">
        <f t="shared" si="12"/>
        <v>Error?</v>
      </c>
    </row>
    <row r="851" spans="1:4" x14ac:dyDescent="0.2">
      <c r="A851" s="5">
        <v>790</v>
      </c>
      <c r="B851" s="1832">
        <f>'Expenditures 15-22'!E55</f>
        <v>31180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31180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12321</v>
      </c>
      <c r="D855" s="2" t="str">
        <f t="shared" si="12"/>
        <v>Error?</v>
      </c>
    </row>
    <row r="856" spans="1:4" x14ac:dyDescent="0.2">
      <c r="A856" s="5">
        <v>795</v>
      </c>
      <c r="B856" s="1832">
        <f>'Expenditures 15-22'!E61</f>
        <v>27220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80703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120244</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328737</v>
      </c>
      <c r="C871" s="2" t="s">
        <v>569</v>
      </c>
      <c r="D871" s="2" t="str">
        <f t="shared" si="12"/>
        <v>Error?</v>
      </c>
    </row>
    <row r="872" spans="1:4" x14ac:dyDescent="0.2">
      <c r="A872" s="5">
        <v>811</v>
      </c>
      <c r="B872" s="1832">
        <f>'Expenditures 15-22'!E75</f>
        <v>2280</v>
      </c>
      <c r="D872" s="2" t="str">
        <f t="shared" si="12"/>
        <v>Error?</v>
      </c>
    </row>
    <row r="873" spans="1:4" x14ac:dyDescent="0.2">
      <c r="A873" s="5">
        <v>812</v>
      </c>
      <c r="B873" s="1832">
        <f>'Expenditures 15-22'!E114</f>
        <v>1363281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223739</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231015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1439</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80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1519</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6056</v>
      </c>
      <c r="D903" s="2" t="str">
        <f t="shared" si="13"/>
        <v>Error?</v>
      </c>
    </row>
    <row r="904" spans="1:4" x14ac:dyDescent="0.2">
      <c r="A904" s="5">
        <v>843</v>
      </c>
      <c r="B904" s="1832">
        <f>'Expenditures 15-22'!F46</f>
        <v>21378</v>
      </c>
      <c r="D904" s="2" t="str">
        <f t="shared" si="13"/>
        <v>Error?</v>
      </c>
    </row>
    <row r="905" spans="1:4" x14ac:dyDescent="0.2">
      <c r="A905" s="5">
        <v>844</v>
      </c>
      <c r="B905" s="1832">
        <f>'Expenditures 15-22'!F47</f>
        <v>27434</v>
      </c>
      <c r="C905" s="2" t="s">
        <v>569</v>
      </c>
      <c r="D905" s="2" t="str">
        <f t="shared" si="13"/>
        <v>Error?</v>
      </c>
    </row>
    <row r="906" spans="1:4" x14ac:dyDescent="0.2">
      <c r="A906" s="5">
        <v>845</v>
      </c>
      <c r="B906" s="1832">
        <f>'Expenditures 15-22'!F49</f>
        <v>5321</v>
      </c>
      <c r="D906" s="2" t="str">
        <f t="shared" si="13"/>
        <v>Error?</v>
      </c>
    </row>
    <row r="907" spans="1:4" x14ac:dyDescent="0.2">
      <c r="A907" s="5">
        <v>846</v>
      </c>
      <c r="B907" s="1832">
        <f>'Expenditures 15-22'!F50</f>
        <v>32</v>
      </c>
      <c r="D907" s="2" t="str">
        <f t="shared" si="13"/>
        <v>Error?</v>
      </c>
    </row>
    <row r="908" spans="1:4" x14ac:dyDescent="0.2">
      <c r="A908" s="5">
        <v>847</v>
      </c>
      <c r="B908" s="1832">
        <f>'Expenditures 15-22'!F53</f>
        <v>5353</v>
      </c>
      <c r="C908" s="2" t="s">
        <v>569</v>
      </c>
      <c r="D908" s="2" t="str">
        <f t="shared" si="13"/>
        <v>Error?</v>
      </c>
    </row>
    <row r="909" spans="1:4" x14ac:dyDescent="0.2">
      <c r="A909" s="5">
        <v>848</v>
      </c>
      <c r="B909" s="1832">
        <f>'Expenditures 15-22'!F55</f>
        <v>590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590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13576</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17810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31386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66282</v>
      </c>
      <c r="C929" s="2" t="s">
        <v>569</v>
      </c>
      <c r="D929" s="2" t="str">
        <f t="shared" si="13"/>
        <v>Error?</v>
      </c>
    </row>
    <row r="930" spans="1:4" x14ac:dyDescent="0.2">
      <c r="A930" s="5">
        <v>869</v>
      </c>
      <c r="B930" s="1832">
        <f>'Expenditures 15-22'!F75</f>
        <v>717</v>
      </c>
      <c r="D930" s="2" t="str">
        <f t="shared" si="13"/>
        <v>Error?</v>
      </c>
    </row>
    <row r="931" spans="1:4" x14ac:dyDescent="0.2">
      <c r="A931" s="5">
        <v>870</v>
      </c>
      <c r="B931" s="1832">
        <f>'Expenditures 15-22'!F114</f>
        <v>298014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11006</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25167</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27359</v>
      </c>
      <c r="D962" s="2" t="str">
        <f t="shared" si="14"/>
        <v>Error?</v>
      </c>
    </row>
    <row r="963" spans="1:4" x14ac:dyDescent="0.2">
      <c r="A963" s="5">
        <v>902</v>
      </c>
      <c r="B963" s="1832">
        <f>'Expenditures 15-22'!G47</f>
        <v>27359</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27359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52526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1970</v>
      </c>
      <c r="D1016" s="2" t="str">
        <f t="shared" si="14"/>
        <v>Error?</v>
      </c>
    </row>
    <row r="1017" spans="1:4" x14ac:dyDescent="0.2">
      <c r="A1017" s="5">
        <v>956</v>
      </c>
      <c r="B1017" s="1832">
        <f>'Expenditures 15-22'!H42</f>
        <v>1970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2994</v>
      </c>
      <c r="D1022" s="2" t="str">
        <f t="shared" si="14"/>
        <v>Error?</v>
      </c>
    </row>
    <row r="1023" spans="1:4" x14ac:dyDescent="0.2">
      <c r="A1023" s="5">
        <v>962</v>
      </c>
      <c r="B1023" s="1832">
        <f>'Expenditures 15-22'!H50</f>
        <v>2764</v>
      </c>
      <c r="D1023" s="2" t="str">
        <f t="shared" ref="D1023:D1086" si="15">IF(ISBLANK(B1023),"OK",IF(A1023-B1023=0,"OK","Error?"))</f>
        <v>Error?</v>
      </c>
    </row>
    <row r="1024" spans="1:4" x14ac:dyDescent="0.2">
      <c r="A1024" s="5">
        <v>963</v>
      </c>
      <c r="B1024" s="1832">
        <f>'Expenditures 15-22'!H53</f>
        <v>5758</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7728</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7728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2554762</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66523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3363818</v>
      </c>
      <c r="C1108" s="2" t="s">
        <v>569</v>
      </c>
      <c r="D1108" s="2" t="str">
        <f t="shared" si="16"/>
        <v>Error?</v>
      </c>
    </row>
    <row r="1109" spans="1:4" x14ac:dyDescent="0.2">
      <c r="A1109" s="5">
        <v>1048</v>
      </c>
      <c r="B1109" s="1832">
        <f>'Expenditures 15-22'!K36</f>
        <v>100182</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60144</v>
      </c>
      <c r="C1111" s="2" t="s">
        <v>569</v>
      </c>
      <c r="D1111" s="2" t="str">
        <f t="shared" si="16"/>
        <v>Error?</v>
      </c>
    </row>
    <row r="1112" spans="1:4" x14ac:dyDescent="0.2">
      <c r="A1112" s="5">
        <v>1051</v>
      </c>
      <c r="B1112" s="1832">
        <f>'Expenditures 15-22'!K39</f>
        <v>266</v>
      </c>
      <c r="C1112" s="2" t="s">
        <v>569</v>
      </c>
      <c r="D1112" s="2" t="str">
        <f t="shared" si="16"/>
        <v>Error?</v>
      </c>
    </row>
    <row r="1113" spans="1:4" x14ac:dyDescent="0.2">
      <c r="A1113" s="5">
        <v>1052</v>
      </c>
      <c r="B1113" s="1832">
        <f>'Expenditures 15-22'!K40</f>
        <v>80</v>
      </c>
      <c r="C1113" s="2" t="s">
        <v>569</v>
      </c>
      <c r="D1113" s="2" t="str">
        <f t="shared" si="16"/>
        <v>Error?</v>
      </c>
    </row>
    <row r="1114" spans="1:4" x14ac:dyDescent="0.2">
      <c r="A1114" s="5">
        <v>1053</v>
      </c>
      <c r="B1114" s="1832">
        <f>'Expenditures 15-22'!K41</f>
        <v>1970</v>
      </c>
      <c r="C1114" s="2" t="s">
        <v>569</v>
      </c>
      <c r="D1114" s="2" t="str">
        <f t="shared" si="16"/>
        <v>Error?</v>
      </c>
    </row>
    <row r="1115" spans="1:4" x14ac:dyDescent="0.2">
      <c r="A1115" s="5">
        <v>1054</v>
      </c>
      <c r="B1115" s="1832">
        <f>'Expenditures 15-22'!K42</f>
        <v>162642</v>
      </c>
      <c r="C1115" s="2" t="s">
        <v>569</v>
      </c>
      <c r="D1115" s="2" t="str">
        <f t="shared" si="16"/>
        <v>Error?</v>
      </c>
    </row>
    <row r="1116" spans="1:4" x14ac:dyDescent="0.2">
      <c r="A1116" s="5">
        <v>1055</v>
      </c>
      <c r="B1116" s="1832">
        <f>'Expenditures 15-22'!K44</f>
        <v>4760</v>
      </c>
      <c r="C1116" s="2" t="s">
        <v>569</v>
      </c>
      <c r="D1116" s="2" t="str">
        <f t="shared" si="16"/>
        <v>Error?</v>
      </c>
    </row>
    <row r="1117" spans="1:4" x14ac:dyDescent="0.2">
      <c r="A1117" s="5">
        <v>1056</v>
      </c>
      <c r="B1117" s="1832">
        <f>'Expenditures 15-22'!K45</f>
        <v>107189</v>
      </c>
      <c r="C1117" s="2" t="s">
        <v>569</v>
      </c>
      <c r="D1117" s="2" t="str">
        <f t="shared" si="16"/>
        <v>Error?</v>
      </c>
    </row>
    <row r="1118" spans="1:4" x14ac:dyDescent="0.2">
      <c r="A1118" s="5">
        <v>1057</v>
      </c>
      <c r="B1118" s="1832">
        <f>'Expenditures 15-22'!K46</f>
        <v>245346</v>
      </c>
      <c r="C1118" s="2" t="s">
        <v>569</v>
      </c>
      <c r="D1118" s="2" t="str">
        <f t="shared" si="16"/>
        <v>Error?</v>
      </c>
    </row>
    <row r="1119" spans="1:4" x14ac:dyDescent="0.2">
      <c r="A1119" s="5">
        <v>1058</v>
      </c>
      <c r="B1119" s="1832">
        <f>'Expenditures 15-22'!K47</f>
        <v>357295</v>
      </c>
      <c r="C1119" s="2" t="s">
        <v>569</v>
      </c>
      <c r="D1119" s="2" t="str">
        <f t="shared" si="16"/>
        <v>Error?</v>
      </c>
    </row>
    <row r="1120" spans="1:4" x14ac:dyDescent="0.2">
      <c r="A1120" s="5">
        <v>1059</v>
      </c>
      <c r="B1120" s="1832">
        <f>'Expenditures 15-22'!K49</f>
        <v>113705</v>
      </c>
      <c r="C1120" s="2" t="s">
        <v>569</v>
      </c>
      <c r="D1120" s="2" t="str">
        <f t="shared" si="16"/>
        <v>Error?</v>
      </c>
    </row>
    <row r="1121" spans="1:4" x14ac:dyDescent="0.2">
      <c r="A1121" s="5">
        <v>1060</v>
      </c>
      <c r="B1121" s="1832">
        <f>'Expenditures 15-22'!K50</f>
        <v>222717</v>
      </c>
      <c r="C1121" s="2" t="s">
        <v>569</v>
      </c>
      <c r="D1121" s="2" t="str">
        <f t="shared" si="16"/>
        <v>Error?</v>
      </c>
    </row>
    <row r="1122" spans="1:4" x14ac:dyDescent="0.2">
      <c r="A1122" s="5">
        <v>1061</v>
      </c>
      <c r="B1122" s="1832">
        <f>'Expenditures 15-22'!K53</f>
        <v>336422</v>
      </c>
      <c r="C1122" s="2" t="s">
        <v>569</v>
      </c>
      <c r="D1122" s="2" t="str">
        <f t="shared" si="16"/>
        <v>Error?</v>
      </c>
    </row>
    <row r="1123" spans="1:4" x14ac:dyDescent="0.2">
      <c r="A1123" s="5">
        <v>1062</v>
      </c>
      <c r="B1123" s="1832">
        <f>'Expenditures 15-22'!K55</f>
        <v>370017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370017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130847</v>
      </c>
      <c r="C1127" s="2" t="s">
        <v>569</v>
      </c>
      <c r="D1127" s="2" t="str">
        <f t="shared" si="16"/>
        <v>Error?</v>
      </c>
    </row>
    <row r="1128" spans="1:4" x14ac:dyDescent="0.2">
      <c r="A1128" s="5">
        <v>1067</v>
      </c>
      <c r="B1128" s="1832">
        <f>'Expenditures 15-22'!K61</f>
        <v>27220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134091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292158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1518534</v>
      </c>
      <c r="C1143" s="2" t="s">
        <v>569</v>
      </c>
      <c r="D1143" s="2" t="str">
        <f t="shared" si="16"/>
        <v>Error?</v>
      </c>
    </row>
    <row r="1144" spans="1:4" x14ac:dyDescent="0.2">
      <c r="A1144" s="5">
        <v>1083</v>
      </c>
      <c r="B1144" s="1832">
        <f>'Expenditures 15-22'!K75</f>
        <v>6419</v>
      </c>
      <c r="C1144" s="2" t="s">
        <v>569</v>
      </c>
      <c r="D1144" s="2" t="str">
        <f t="shared" si="16"/>
        <v>Error?</v>
      </c>
    </row>
    <row r="1145" spans="1:4" x14ac:dyDescent="0.2">
      <c r="A1145" s="5">
        <v>1084</v>
      </c>
      <c r="B1145" s="1832">
        <f>'Expenditures 15-22'!K102</f>
        <v>960823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5849594</v>
      </c>
      <c r="C1152" s="2" t="s">
        <v>569</v>
      </c>
      <c r="D1152" s="2" t="str">
        <f t="shared" si="17"/>
        <v>Error?</v>
      </c>
    </row>
    <row r="1153" spans="1:4" x14ac:dyDescent="0.2">
      <c r="A1153" s="5">
        <v>1092</v>
      </c>
      <c r="B1153" s="1832">
        <f>'Expenditures 15-22'!K115</f>
        <v>347095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77477</v>
      </c>
      <c r="D1221" s="2" t="str">
        <f t="shared" si="18"/>
        <v>Error?</v>
      </c>
    </row>
    <row r="1222" spans="1:4" x14ac:dyDescent="0.2">
      <c r="A1222" s="10">
        <v>1161</v>
      </c>
      <c r="B1222" s="1832"/>
      <c r="D1222" s="2" t="str">
        <f t="shared" si="18"/>
        <v>OK</v>
      </c>
    </row>
    <row r="1223" spans="1:4" x14ac:dyDescent="0.2">
      <c r="A1223" s="5">
        <v>1162</v>
      </c>
      <c r="B1223" s="1832">
        <f>'Expenditures 15-22'!C127</f>
        <v>77477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77477</v>
      </c>
      <c r="C1225" s="2" t="s">
        <v>569</v>
      </c>
      <c r="D1225" s="2" t="str">
        <f t="shared" si="18"/>
        <v>Error?</v>
      </c>
    </row>
    <row r="1226" spans="1:4" x14ac:dyDescent="0.2">
      <c r="A1226" s="5">
        <v>1165</v>
      </c>
      <c r="B1226" s="1832">
        <f>'Expenditures 15-22'!C151</f>
        <v>77477</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4887</v>
      </c>
      <c r="D1229" s="2" t="str">
        <f t="shared" si="18"/>
        <v>Error?</v>
      </c>
    </row>
    <row r="1230" spans="1:4" x14ac:dyDescent="0.2">
      <c r="A1230" s="10">
        <v>1169</v>
      </c>
      <c r="B1230" s="1832"/>
      <c r="D1230" s="2" t="str">
        <f t="shared" si="18"/>
        <v>OK</v>
      </c>
    </row>
    <row r="1231" spans="1:4" x14ac:dyDescent="0.2">
      <c r="A1231" s="5">
        <v>1170</v>
      </c>
      <c r="B1231" s="1832">
        <f>'Expenditures 15-22'!D127</f>
        <v>4887</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4887</v>
      </c>
      <c r="C1233" s="2" t="s">
        <v>569</v>
      </c>
      <c r="D1233" s="2" t="str">
        <f t="shared" si="18"/>
        <v>Error?</v>
      </c>
    </row>
    <row r="1234" spans="1:4" x14ac:dyDescent="0.2">
      <c r="A1234" s="5">
        <v>1173</v>
      </c>
      <c r="B1234" s="1832">
        <f>'Expenditures 15-22'!D151</f>
        <v>4887</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132638</v>
      </c>
      <c r="D1236" s="2" t="str">
        <f t="shared" si="18"/>
        <v>Error?</v>
      </c>
    </row>
    <row r="1237" spans="1:4" x14ac:dyDescent="0.2">
      <c r="A1237" s="5">
        <v>1176</v>
      </c>
      <c r="B1237" s="1832">
        <f>'Expenditures 15-22'!E124</f>
        <v>47706</v>
      </c>
      <c r="D1237" s="2" t="str">
        <f t="shared" si="18"/>
        <v>Error?</v>
      </c>
    </row>
    <row r="1238" spans="1:4" x14ac:dyDescent="0.2">
      <c r="A1238" s="10">
        <v>1177</v>
      </c>
      <c r="B1238" s="1832"/>
      <c r="D1238" s="2" t="str">
        <f t="shared" si="18"/>
        <v>OK</v>
      </c>
    </row>
    <row r="1239" spans="1:4" x14ac:dyDescent="0.2">
      <c r="A1239" s="5">
        <v>1178</v>
      </c>
      <c r="B1239" s="1832">
        <f>'Expenditures 15-22'!E127</f>
        <v>180344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180344</v>
      </c>
      <c r="C1241" s="2" t="s">
        <v>569</v>
      </c>
      <c r="D1241" s="2" t="str">
        <f t="shared" si="18"/>
        <v>Error?</v>
      </c>
    </row>
    <row r="1242" spans="1:4" x14ac:dyDescent="0.2">
      <c r="A1242" s="5">
        <v>1181</v>
      </c>
      <c r="B1242" s="1832">
        <f>'Expenditures 15-22'!E151</f>
        <v>180344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106182</v>
      </c>
      <c r="D1245" s="2" t="str">
        <f t="shared" si="18"/>
        <v>Error?</v>
      </c>
    </row>
    <row r="1246" spans="1:4" x14ac:dyDescent="0.2">
      <c r="A1246" s="10">
        <v>1185</v>
      </c>
      <c r="B1246" s="1832"/>
      <c r="D1246" s="2" t="str">
        <f t="shared" si="18"/>
        <v>OK</v>
      </c>
    </row>
    <row r="1247" spans="1:4" x14ac:dyDescent="0.2">
      <c r="A1247" s="5">
        <v>1186</v>
      </c>
      <c r="B1247" s="1832">
        <f>'Expenditures 15-22'!F127</f>
        <v>106182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106182</v>
      </c>
      <c r="C1249" s="2" t="s">
        <v>569</v>
      </c>
      <c r="D1249" s="2" t="str">
        <f t="shared" si="18"/>
        <v>Error?</v>
      </c>
    </row>
    <row r="1250" spans="1:4" x14ac:dyDescent="0.2">
      <c r="A1250" s="5">
        <v>1189</v>
      </c>
      <c r="B1250" s="1832">
        <f>'Expenditures 15-22'!F151</f>
        <v>106182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22525</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22525</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22525</v>
      </c>
      <c r="C1258" s="2" t="s">
        <v>569</v>
      </c>
      <c r="D1258" s="2" t="str">
        <f t="shared" si="18"/>
        <v>Error?</v>
      </c>
    </row>
    <row r="1259" spans="1:4" x14ac:dyDescent="0.2">
      <c r="A1259" s="5">
        <v>1198</v>
      </c>
      <c r="B1259" s="1832">
        <f>'Expenditures 15-22'!G151</f>
        <v>22525</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155163</v>
      </c>
      <c r="C1275" s="2" t="s">
        <v>569</v>
      </c>
      <c r="D1275" s="2" t="str">
        <f t="shared" si="18"/>
        <v>Error?</v>
      </c>
    </row>
    <row r="1276" spans="1:4" x14ac:dyDescent="0.2">
      <c r="A1276" s="5">
        <v>1215</v>
      </c>
      <c r="B1276" s="1832">
        <f>'Expenditures 15-22'!K124</f>
        <v>236252</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391415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391415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391415</v>
      </c>
      <c r="C1288" s="2" t="s">
        <v>569</v>
      </c>
      <c r="D1288" s="2" t="str">
        <f t="shared" si="19"/>
        <v>Error?</v>
      </c>
    </row>
    <row r="1289" spans="1:4" x14ac:dyDescent="0.2">
      <c r="A1289" s="5">
        <v>1228</v>
      </c>
      <c r="B1289" s="1832">
        <f>'Expenditures 15-22'!K152</f>
        <v>115859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215758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280197</v>
      </c>
      <c r="D1315" s="2" t="str">
        <f t="shared" si="19"/>
        <v>Error?</v>
      </c>
    </row>
    <row r="1316" spans="1:4" x14ac:dyDescent="0.2">
      <c r="A1316" s="5">
        <v>1255</v>
      </c>
      <c r="B1316" s="1832">
        <f>'Expenditures 15-22'!H171</f>
        <v>450</v>
      </c>
      <c r="D1316" s="2" t="str">
        <f t="shared" si="19"/>
        <v>Error?</v>
      </c>
    </row>
    <row r="1317" spans="1:4" x14ac:dyDescent="0.2">
      <c r="A1317" s="5">
        <v>1256</v>
      </c>
      <c r="B1317" s="1832">
        <f>'Expenditures 15-22'!H172</f>
        <v>496405</v>
      </c>
      <c r="C1317" s="2" t="s">
        <v>569</v>
      </c>
      <c r="D1317" s="2" t="str">
        <f t="shared" si="19"/>
        <v>Error?</v>
      </c>
    </row>
    <row r="1318" spans="1:4" x14ac:dyDescent="0.2">
      <c r="A1318" s="5">
        <v>1257</v>
      </c>
      <c r="B1318" s="1832">
        <f>'Expenditures 15-22'!H174</f>
        <v>496405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215758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280197</v>
      </c>
      <c r="C1329" s="2" t="s">
        <v>569</v>
      </c>
      <c r="D1329" s="2" t="str">
        <f t="shared" si="19"/>
        <v>Error?</v>
      </c>
    </row>
    <row r="1330" spans="1:4" x14ac:dyDescent="0.2">
      <c r="A1330" s="5">
        <v>1269</v>
      </c>
      <c r="B1330" s="1832">
        <f>'Expenditures 15-22'!K171</f>
        <v>450</v>
      </c>
      <c r="C1330" s="2" t="s">
        <v>569</v>
      </c>
      <c r="D1330" s="2" t="str">
        <f t="shared" si="19"/>
        <v>Error?</v>
      </c>
    </row>
    <row r="1331" spans="1:4" x14ac:dyDescent="0.2">
      <c r="A1331" s="5">
        <v>1270</v>
      </c>
      <c r="B1331" s="1832">
        <f>'Expenditures 15-22'!K172</f>
        <v>496405</v>
      </c>
      <c r="C1331" s="2" t="s">
        <v>569</v>
      </c>
      <c r="D1331" s="2" t="str">
        <f t="shared" si="19"/>
        <v>Error?</v>
      </c>
    </row>
    <row r="1332" spans="1:4" x14ac:dyDescent="0.2">
      <c r="A1332" s="5">
        <v>1271</v>
      </c>
      <c r="B1332" s="1832">
        <f>'Expenditures 15-22'!K174</f>
        <v>496405</v>
      </c>
      <c r="C1332" s="2" t="s">
        <v>569</v>
      </c>
      <c r="D1332" s="2" t="str">
        <f t="shared" si="19"/>
        <v>Error?</v>
      </c>
    </row>
    <row r="1333" spans="1:4" x14ac:dyDescent="0.2">
      <c r="A1333" s="5">
        <v>1272</v>
      </c>
      <c r="B1333" s="1832">
        <f>'Expenditures 15-22'!K175</f>
        <v>-46749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28024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28024</v>
      </c>
      <c r="C1339" s="2" t="s">
        <v>569</v>
      </c>
      <c r="D1339" s="2" t="str">
        <f t="shared" si="19"/>
        <v>Error?</v>
      </c>
    </row>
    <row r="1340" spans="1:4" x14ac:dyDescent="0.2">
      <c r="A1340" s="5">
        <v>1279</v>
      </c>
      <c r="B1340" s="1832">
        <f>'Expenditures 15-22'!C210</f>
        <v>28024</v>
      </c>
      <c r="C1340" s="2" t="s">
        <v>569</v>
      </c>
      <c r="D1340" s="2" t="str">
        <f t="shared" si="19"/>
        <v>Error?</v>
      </c>
    </row>
    <row r="1341" spans="1:4" x14ac:dyDescent="0.2">
      <c r="A1341" s="5">
        <v>1280</v>
      </c>
      <c r="B1341" s="1832">
        <f>'Expenditures 15-22'!D182</f>
        <v>2449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2449</v>
      </c>
      <c r="C1345" s="2" t="s">
        <v>569</v>
      </c>
      <c r="D1345" s="2" t="str">
        <f t="shared" si="20"/>
        <v>Error?</v>
      </c>
    </row>
    <row r="1346" spans="1:4" x14ac:dyDescent="0.2">
      <c r="A1346" s="5">
        <v>1285</v>
      </c>
      <c r="B1346" s="1832">
        <f>'Expenditures 15-22'!D210</f>
        <v>2449</v>
      </c>
      <c r="C1346" s="2" t="s">
        <v>569</v>
      </c>
      <c r="D1346" s="2" t="str">
        <f t="shared" si="20"/>
        <v>Error?</v>
      </c>
    </row>
    <row r="1347" spans="1:4" x14ac:dyDescent="0.2">
      <c r="A1347" s="5">
        <v>1286</v>
      </c>
      <c r="B1347" s="1832">
        <f>'Expenditures 15-22'!E182</f>
        <v>550790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550790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550790</v>
      </c>
      <c r="C1353" s="2" t="s">
        <v>569</v>
      </c>
      <c r="D1353" s="2" t="str">
        <f t="shared" si="20"/>
        <v>Error?</v>
      </c>
    </row>
    <row r="1354" spans="1:4" x14ac:dyDescent="0.2">
      <c r="A1354" s="5">
        <v>1293</v>
      </c>
      <c r="B1354" s="1832">
        <f>'Expenditures 15-22'!F182</f>
        <v>1678</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1678</v>
      </c>
      <c r="C1358" s="2" t="s">
        <v>569</v>
      </c>
      <c r="D1358" s="2" t="str">
        <f t="shared" si="20"/>
        <v>Error?</v>
      </c>
    </row>
    <row r="1359" spans="1:4" x14ac:dyDescent="0.2">
      <c r="A1359" s="5">
        <v>1298</v>
      </c>
      <c r="B1359" s="1832">
        <f>'Expenditures 15-22'!F210</f>
        <v>1678</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582941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582941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582941</v>
      </c>
      <c r="C1388" s="2" t="s">
        <v>569</v>
      </c>
      <c r="D1388" s="2" t="str">
        <f t="shared" si="20"/>
        <v>Error?</v>
      </c>
    </row>
    <row r="1389" spans="1:4" x14ac:dyDescent="0.2">
      <c r="A1389" s="5">
        <v>1328</v>
      </c>
      <c r="B1389" s="1832">
        <f>'Expenditures 15-22'!K211</f>
        <v>-142109</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1071</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62119</v>
      </c>
      <c r="C1410" s="2" t="s">
        <v>569</v>
      </c>
      <c r="D1410" s="2" t="str">
        <f t="shared" si="21"/>
        <v>Error?</v>
      </c>
    </row>
    <row r="1411" spans="1:4" x14ac:dyDescent="0.2">
      <c r="A1411" s="5">
        <v>1350</v>
      </c>
      <c r="B1411" s="1832">
        <f>'Expenditures 15-22'!D232</f>
        <v>1259</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2921</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4180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5001</v>
      </c>
      <c r="D1419" s="2" t="str">
        <f t="shared" si="21"/>
        <v>Error?</v>
      </c>
    </row>
    <row r="1420" spans="1:4" x14ac:dyDescent="0.2">
      <c r="A1420" s="5">
        <v>1359</v>
      </c>
      <c r="B1420" s="1832">
        <f>'Expenditures 15-22'!D242</f>
        <v>11191</v>
      </c>
      <c r="D1420" s="2" t="str">
        <f t="shared" si="21"/>
        <v>Error?</v>
      </c>
    </row>
    <row r="1421" spans="1:4" x14ac:dyDescent="0.2">
      <c r="A1421" s="5">
        <v>1360</v>
      </c>
      <c r="B1421" s="1832">
        <f>'Expenditures 15-22'!D243</f>
        <v>16192</v>
      </c>
      <c r="C1421" s="2" t="s">
        <v>569</v>
      </c>
      <c r="D1421" s="2" t="str">
        <f t="shared" si="21"/>
        <v>Error?</v>
      </c>
    </row>
    <row r="1422" spans="1:4" x14ac:dyDescent="0.2">
      <c r="A1422" s="5">
        <v>1361</v>
      </c>
      <c r="B1422" s="1832">
        <f>'Expenditures 15-22'!D245</f>
        <v>4747</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4747</v>
      </c>
      <c r="C1424" s="2" t="s">
        <v>569</v>
      </c>
      <c r="D1424" s="2" t="str">
        <f t="shared" si="21"/>
        <v>Error?</v>
      </c>
    </row>
    <row r="1425" spans="1:4" x14ac:dyDescent="0.2">
      <c r="A1425" s="5">
        <v>1364</v>
      </c>
      <c r="B1425" s="1832">
        <f>'Expenditures 15-22'!D259</f>
        <v>14929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14929</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17469</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13696</v>
      </c>
      <c r="D1431" s="2" t="str">
        <f t="shared" si="21"/>
        <v>Error?</v>
      </c>
    </row>
    <row r="1432" spans="1:4" x14ac:dyDescent="0.2">
      <c r="A1432" s="5">
        <v>1371</v>
      </c>
      <c r="B1432" s="1832">
        <f>'Expenditures 15-22'!D267</f>
        <v>1575</v>
      </c>
      <c r="D1432" s="2" t="str">
        <f t="shared" si="21"/>
        <v>Error?</v>
      </c>
    </row>
    <row r="1433" spans="1:4" x14ac:dyDescent="0.2">
      <c r="A1433" s="5">
        <v>1372</v>
      </c>
      <c r="B1433" s="1832">
        <f>'Expenditures 15-22'!D268</f>
        <v>1995</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34735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74783</v>
      </c>
      <c r="C1446" s="2" t="s">
        <v>569</v>
      </c>
      <c r="D1446" s="2" t="str">
        <f t="shared" si="21"/>
        <v>Error?</v>
      </c>
    </row>
    <row r="1447" spans="1:4" x14ac:dyDescent="0.2">
      <c r="A1447" s="5">
        <v>1386</v>
      </c>
      <c r="B1447" s="1832">
        <f>'Expenditures 15-22'!D280</f>
        <v>49</v>
      </c>
      <c r="D1447" s="2" t="str">
        <f t="shared" si="21"/>
        <v>Error?</v>
      </c>
    </row>
    <row r="1448" spans="1:4" x14ac:dyDescent="0.2">
      <c r="A1448" s="5">
        <v>1387</v>
      </c>
      <c r="B1448" s="1832">
        <f>'Expenditures 15-22'!D295</f>
        <v>136951</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1071</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62119</v>
      </c>
      <c r="C1474" s="2" t="s">
        <v>569</v>
      </c>
      <c r="D1474" s="2" t="str">
        <f t="shared" si="22"/>
        <v>Error?</v>
      </c>
    </row>
    <row r="1475" spans="1:4" x14ac:dyDescent="0.2">
      <c r="A1475" s="5">
        <v>1414</v>
      </c>
      <c r="B1475" s="1832">
        <f>'Expenditures 15-22'!K232</f>
        <v>1259</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2921</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4180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5001</v>
      </c>
      <c r="C1483" s="2" t="s">
        <v>569</v>
      </c>
      <c r="D1483" s="2" t="str">
        <f t="shared" si="22"/>
        <v>Error?</v>
      </c>
    </row>
    <row r="1484" spans="1:4" x14ac:dyDescent="0.2">
      <c r="A1484" s="5">
        <v>1423</v>
      </c>
      <c r="B1484" s="1832">
        <f>'Expenditures 15-22'!K242</f>
        <v>11191</v>
      </c>
      <c r="C1484" s="2" t="s">
        <v>569</v>
      </c>
      <c r="D1484" s="2" t="str">
        <f t="shared" si="22"/>
        <v>Error?</v>
      </c>
    </row>
    <row r="1485" spans="1:4" x14ac:dyDescent="0.2">
      <c r="A1485" s="5">
        <v>1424</v>
      </c>
      <c r="B1485" s="1832">
        <f>'Expenditures 15-22'!K243</f>
        <v>16192</v>
      </c>
      <c r="C1485" s="2" t="s">
        <v>569</v>
      </c>
      <c r="D1485" s="2" t="str">
        <f t="shared" si="22"/>
        <v>Error?</v>
      </c>
    </row>
    <row r="1486" spans="1:4" x14ac:dyDescent="0.2">
      <c r="A1486" s="5">
        <v>1425</v>
      </c>
      <c r="B1486" s="1832">
        <f>'Expenditures 15-22'!K245</f>
        <v>4747</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4747</v>
      </c>
      <c r="C1488" s="2" t="s">
        <v>569</v>
      </c>
      <c r="D1488" s="2" t="str">
        <f t="shared" si="22"/>
        <v>Error?</v>
      </c>
    </row>
    <row r="1489" spans="1:4" x14ac:dyDescent="0.2">
      <c r="A1489" s="5">
        <v>1428</v>
      </c>
      <c r="B1489" s="1832">
        <f>'Expenditures 15-22'!K259</f>
        <v>14929</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14929</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17469</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13696</v>
      </c>
      <c r="C1495" s="2" t="s">
        <v>569</v>
      </c>
      <c r="D1495" s="2" t="str">
        <f t="shared" si="22"/>
        <v>Error?</v>
      </c>
    </row>
    <row r="1496" spans="1:4" x14ac:dyDescent="0.2">
      <c r="A1496" s="5">
        <v>1435</v>
      </c>
      <c r="B1496" s="1832">
        <f>'Expenditures 15-22'!K267</f>
        <v>1575</v>
      </c>
      <c r="C1496" s="2" t="s">
        <v>569</v>
      </c>
      <c r="D1496" s="2" t="str">
        <f t="shared" si="22"/>
        <v>Error?</v>
      </c>
    </row>
    <row r="1497" spans="1:4" x14ac:dyDescent="0.2">
      <c r="A1497" s="5">
        <v>1436</v>
      </c>
      <c r="B1497" s="1832">
        <f>'Expenditures 15-22'!K268</f>
        <v>1995</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34735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74783</v>
      </c>
      <c r="C1510" s="2" t="s">
        <v>569</v>
      </c>
      <c r="D1510" s="2" t="str">
        <f t="shared" si="22"/>
        <v>Error?</v>
      </c>
    </row>
    <row r="1511" spans="1:4" x14ac:dyDescent="0.2">
      <c r="A1511" s="5">
        <v>1450</v>
      </c>
      <c r="B1511" s="1832">
        <f>'Expenditures 15-22'!K280</f>
        <v>49</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136951</v>
      </c>
      <c r="C1517" s="2" t="s">
        <v>569</v>
      </c>
      <c r="D1517" s="2" t="str">
        <f t="shared" si="22"/>
        <v>Error?</v>
      </c>
    </row>
    <row r="1518" spans="1:4" x14ac:dyDescent="0.2">
      <c r="A1518" s="5">
        <v>1457</v>
      </c>
      <c r="B1518" s="1832">
        <f>'Expenditures 15-22'!K296</f>
        <v>62615</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18260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18260</v>
      </c>
      <c r="C1547" s="2" t="s">
        <v>569</v>
      </c>
      <c r="D1547" s="2" t="str">
        <f t="shared" si="23"/>
        <v>Error?</v>
      </c>
    </row>
    <row r="1548" spans="1:4" x14ac:dyDescent="0.2">
      <c r="A1548" s="5">
        <v>1487</v>
      </c>
      <c r="B1548" s="1832">
        <f>'Expenditures 15-22'!G312</f>
        <v>18260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18260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18260</v>
      </c>
      <c r="C1559" s="2" t="s">
        <v>569</v>
      </c>
      <c r="D1559" s="2" t="str">
        <f t="shared" si="23"/>
        <v>Error?</v>
      </c>
    </row>
    <row r="1560" spans="1:4" x14ac:dyDescent="0.2">
      <c r="A1560" s="5">
        <v>1499</v>
      </c>
      <c r="B1560" s="1832">
        <f>'Expenditures 15-22'!K312</f>
        <v>18260</v>
      </c>
      <c r="C1560" s="2" t="s">
        <v>569</v>
      </c>
      <c r="D1560" s="2" t="str">
        <f t="shared" si="23"/>
        <v>Error?</v>
      </c>
    </row>
    <row r="1561" spans="1:4" x14ac:dyDescent="0.2">
      <c r="A1561" s="5">
        <v>1500</v>
      </c>
      <c r="B1561" s="1832">
        <f>'Expenditures 15-22'!K313</f>
        <v>-12238</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6186156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6510871</v>
      </c>
      <c r="C1630" s="2" t="s">
        <v>569</v>
      </c>
      <c r="D1630" s="2" t="str">
        <f t="shared" si="24"/>
        <v>Error?</v>
      </c>
    </row>
    <row r="1631" spans="1:4" x14ac:dyDescent="0.2">
      <c r="A1631" s="5">
        <v>1570</v>
      </c>
      <c r="B1631" s="1832">
        <f>'Acct Summary 7-8'!D79</f>
        <v>822375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938234</v>
      </c>
      <c r="C1644" s="2" t="s">
        <v>569</v>
      </c>
      <c r="D1644" s="2" t="str">
        <f t="shared" si="24"/>
        <v>Error?</v>
      </c>
    </row>
    <row r="1645" spans="1:4" x14ac:dyDescent="0.2">
      <c r="A1645" s="5">
        <v>1584</v>
      </c>
      <c r="B1645" s="1832">
        <f>'Acct Summary 7-8'!E79</f>
        <v>414432</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390063</v>
      </c>
      <c r="C1658" s="2" t="s">
        <v>569</v>
      </c>
      <c r="D1658" s="2" t="str">
        <f t="shared" si="24"/>
        <v>Error?</v>
      </c>
    </row>
    <row r="1659" spans="1:4" x14ac:dyDescent="0.2">
      <c r="A1659" s="5">
        <v>1598</v>
      </c>
      <c r="B1659" s="1832">
        <f>'Acct Summary 7-8'!F79</f>
        <v>384190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242081</v>
      </c>
      <c r="C1672" s="2" t="s">
        <v>569</v>
      </c>
      <c r="D1672" s="2" t="str">
        <f t="shared" si="25"/>
        <v>Error?</v>
      </c>
    </row>
    <row r="1673" spans="1:4" x14ac:dyDescent="0.2">
      <c r="A1673" s="5">
        <v>1612</v>
      </c>
      <c r="B1673" s="1832">
        <f>'Acct Summary 7-8'!G79</f>
        <v>361008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423623</v>
      </c>
      <c r="C1686" s="2" t="s">
        <v>569</v>
      </c>
      <c r="D1686" s="2" t="str">
        <f t="shared" si="25"/>
        <v>Error?</v>
      </c>
    </row>
    <row r="1687" spans="1:4" x14ac:dyDescent="0.2">
      <c r="A1687" s="5">
        <v>1626</v>
      </c>
      <c r="B1687" s="1832">
        <f>'Acct Summary 7-8'!H79</f>
        <v>100201</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87963</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3759950</v>
      </c>
      <c r="C1744" s="2" t="s">
        <v>569</v>
      </c>
      <c r="D1744" s="2" t="str">
        <f t="shared" si="26"/>
        <v>Error?</v>
      </c>
    </row>
    <row r="1745" spans="1:5" x14ac:dyDescent="0.2">
      <c r="A1745" s="5">
        <v>1684</v>
      </c>
      <c r="B1745" s="1832">
        <f>'Tax Sched 23'!B5</f>
        <v>500757</v>
      </c>
      <c r="C1745" s="2" t="s">
        <v>569</v>
      </c>
      <c r="D1745" s="2" t="str">
        <f t="shared" si="26"/>
        <v>Error?</v>
      </c>
    </row>
    <row r="1746" spans="1:5" x14ac:dyDescent="0.2">
      <c r="A1746" s="5">
        <v>1685</v>
      </c>
      <c r="B1746" s="1832">
        <f>'Tax Sched 23'!B6</f>
        <v>444491</v>
      </c>
      <c r="C1746" s="2" t="s">
        <v>569</v>
      </c>
      <c r="D1746" s="2" t="str">
        <f t="shared" si="26"/>
        <v>Error?</v>
      </c>
    </row>
    <row r="1747" spans="1:5" x14ac:dyDescent="0.2">
      <c r="A1747" s="5">
        <v>1686</v>
      </c>
      <c r="B1747" s="1832">
        <f>'Tax Sched 23'!B7</f>
        <v>139099</v>
      </c>
      <c r="C1747" s="2" t="s">
        <v>569</v>
      </c>
      <c r="D1747" s="2" t="str">
        <f t="shared" si="26"/>
        <v>Error?</v>
      </c>
    </row>
    <row r="1748" spans="1:5" x14ac:dyDescent="0.2">
      <c r="A1748" s="5">
        <v>1687</v>
      </c>
      <c r="B1748" s="1832">
        <f>'Tax Sched 23'!B8</f>
        <v>83937</v>
      </c>
      <c r="C1748" s="2" t="s">
        <v>569</v>
      </c>
      <c r="D1748" s="2" t="str">
        <f t="shared" si="26"/>
        <v>Error?</v>
      </c>
    </row>
    <row r="1749" spans="1:5" x14ac:dyDescent="0.2">
      <c r="A1749" s="5">
        <v>1688</v>
      </c>
      <c r="B1749" s="1832">
        <f>'Tax Sched 23'!B10</f>
        <v>57651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385482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5462046</v>
      </c>
      <c r="C1759" s="2" t="s">
        <v>569</v>
      </c>
      <c r="D1759" s="2" t="str">
        <f t="shared" si="26"/>
        <v>Error?</v>
      </c>
    </row>
    <row r="1760" spans="1:5" x14ac:dyDescent="0.2">
      <c r="A1760" s="5">
        <v>1699</v>
      </c>
      <c r="B1760" s="1832">
        <f>'Tax Sched 23'!D4</f>
        <v>1869496</v>
      </c>
      <c r="C1760" s="2" t="s">
        <v>569</v>
      </c>
      <c r="D1760" s="2" t="str">
        <f t="shared" si="26"/>
        <v>Error?</v>
      </c>
    </row>
    <row r="1761" spans="1:7" x14ac:dyDescent="0.2">
      <c r="A1761" s="5">
        <v>1700</v>
      </c>
      <c r="B1761" s="1832">
        <f>'Tax Sched 23'!D5</f>
        <v>252427</v>
      </c>
      <c r="C1761" s="2" t="s">
        <v>569</v>
      </c>
      <c r="D1761" s="2" t="str">
        <f t="shared" si="26"/>
        <v>Error?</v>
      </c>
    </row>
    <row r="1762" spans="1:7" s="8" customFormat="1" x14ac:dyDescent="0.2">
      <c r="A1762" s="5">
        <v>1701</v>
      </c>
      <c r="B1762" s="1832">
        <f>'Tax Sched 23'!D6</f>
        <v>218690</v>
      </c>
      <c r="C1762" s="2" t="s">
        <v>569</v>
      </c>
      <c r="D1762" s="2" t="str">
        <f t="shared" si="26"/>
        <v>Error?</v>
      </c>
      <c r="E1762" s="9"/>
      <c r="G1762"/>
    </row>
    <row r="1763" spans="1:7" x14ac:dyDescent="0.2">
      <c r="A1763" s="5">
        <v>1702</v>
      </c>
      <c r="B1763" s="1832">
        <f>'Tax Sched 23'!D7</f>
        <v>70118</v>
      </c>
      <c r="C1763" s="2" t="s">
        <v>569</v>
      </c>
      <c r="D1763" s="2" t="str">
        <f t="shared" si="26"/>
        <v>Error?</v>
      </c>
    </row>
    <row r="1764" spans="1:7" x14ac:dyDescent="0.2">
      <c r="A1764" s="5">
        <v>1703</v>
      </c>
      <c r="B1764" s="1832">
        <f>'Tax Sched 23'!D8</f>
        <v>45811</v>
      </c>
      <c r="C1764" s="2" t="s">
        <v>569</v>
      </c>
      <c r="D1764" s="2" t="str">
        <f t="shared" si="26"/>
        <v>Error?</v>
      </c>
    </row>
    <row r="1765" spans="1:7" x14ac:dyDescent="0.2">
      <c r="A1765" s="5">
        <v>1704</v>
      </c>
      <c r="B1765" s="1832">
        <f>'Tax Sched 23'!D10</f>
        <v>28613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186984</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2721432</v>
      </c>
      <c r="C1775" s="2" t="s">
        <v>569</v>
      </c>
      <c r="D1775" s="2" t="str">
        <f t="shared" si="26"/>
        <v>Error?</v>
      </c>
    </row>
    <row r="1776" spans="1:7" x14ac:dyDescent="0.2">
      <c r="A1776" s="5">
        <v>1715</v>
      </c>
      <c r="B1776" s="1832">
        <f>'Tax Sched 23'!C4</f>
        <v>1890454</v>
      </c>
      <c r="D1776" s="2" t="str">
        <f t="shared" si="26"/>
        <v>Error?</v>
      </c>
    </row>
    <row r="1777" spans="1:4" x14ac:dyDescent="0.2">
      <c r="A1777" s="5">
        <v>1716</v>
      </c>
      <c r="B1777" s="1832">
        <f>'Tax Sched 23'!C5</f>
        <v>248330</v>
      </c>
      <c r="D1777" s="2" t="str">
        <f t="shared" si="26"/>
        <v>Error?</v>
      </c>
    </row>
    <row r="1778" spans="1:4" x14ac:dyDescent="0.2">
      <c r="A1778" s="5">
        <v>1717</v>
      </c>
      <c r="B1778" s="1832">
        <f>'Tax Sched 23'!C6</f>
        <v>225801</v>
      </c>
      <c r="D1778" s="2" t="str">
        <f t="shared" si="26"/>
        <v>Error?</v>
      </c>
    </row>
    <row r="1779" spans="1:4" x14ac:dyDescent="0.2">
      <c r="A1779" s="5">
        <v>1718</v>
      </c>
      <c r="B1779" s="1832">
        <f>'Tax Sched 23'!C7</f>
        <v>68981</v>
      </c>
      <c r="D1779" s="2" t="str">
        <f t="shared" si="26"/>
        <v>Error?</v>
      </c>
    </row>
    <row r="1780" spans="1:4" x14ac:dyDescent="0.2">
      <c r="A1780" s="5">
        <v>1719</v>
      </c>
      <c r="B1780" s="1832">
        <f>'Tax Sched 23'!C8</f>
        <v>38126</v>
      </c>
      <c r="D1780" s="2" t="str">
        <f t="shared" si="26"/>
        <v>Error?</v>
      </c>
    </row>
    <row r="1781" spans="1:4" x14ac:dyDescent="0.2">
      <c r="A1781" s="5">
        <v>1720</v>
      </c>
      <c r="B1781" s="1832">
        <f>'Tax Sched 23'!C10</f>
        <v>29038</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198498</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2740614</v>
      </c>
      <c r="C1791" s="2" t="s">
        <v>569</v>
      </c>
      <c r="D1791" s="2" t="str">
        <f t="shared" ref="D1791:D1854" si="27">IF(ISBLANK(B1791),"OK",IF(A1791-B1791=0,"OK","Error?"))</f>
        <v>Error?</v>
      </c>
    </row>
    <row r="1792" spans="1:4" x14ac:dyDescent="0.2">
      <c r="A1792" s="5">
        <v>1731</v>
      </c>
      <c r="B1792" s="1832">
        <f>'Tax Sched 23'!F4</f>
        <v>2109546</v>
      </c>
      <c r="C1792" s="2" t="s">
        <v>569</v>
      </c>
      <c r="D1792" s="2" t="str">
        <f t="shared" si="27"/>
        <v>Error?</v>
      </c>
    </row>
    <row r="1793" spans="1:4" x14ac:dyDescent="0.2">
      <c r="A1793" s="5">
        <v>1732</v>
      </c>
      <c r="B1793" s="1832">
        <f>'Tax Sched 23'!F5</f>
        <v>277110</v>
      </c>
      <c r="C1793" s="2" t="s">
        <v>569</v>
      </c>
      <c r="D1793" s="2" t="str">
        <f t="shared" si="27"/>
        <v>Error?</v>
      </c>
    </row>
    <row r="1794" spans="1:4" x14ac:dyDescent="0.2">
      <c r="A1794" s="5">
        <v>1733</v>
      </c>
      <c r="B1794" s="1832">
        <f>'Tax Sched 23'!F6</f>
        <v>251969</v>
      </c>
      <c r="C1794" s="2" t="s">
        <v>569</v>
      </c>
      <c r="D1794" s="2" t="str">
        <f t="shared" si="27"/>
        <v>Error?</v>
      </c>
    </row>
    <row r="1795" spans="1:4" x14ac:dyDescent="0.2">
      <c r="A1795" s="5">
        <v>1734</v>
      </c>
      <c r="B1795" s="1832">
        <f>'Tax Sched 23'!F7</f>
        <v>76975</v>
      </c>
      <c r="C1795" s="2" t="s">
        <v>569</v>
      </c>
      <c r="D1795" s="2" t="str">
        <f t="shared" si="27"/>
        <v>Error?</v>
      </c>
    </row>
    <row r="1796" spans="1:4" x14ac:dyDescent="0.2">
      <c r="A1796" s="5">
        <v>1735</v>
      </c>
      <c r="B1796" s="1832">
        <f>'Tax Sched 23'!F8</f>
        <v>42545</v>
      </c>
      <c r="C1796" s="2" t="s">
        <v>569</v>
      </c>
      <c r="D1796" s="2" t="str">
        <f t="shared" si="27"/>
        <v>Error?</v>
      </c>
    </row>
    <row r="1797" spans="1:4" x14ac:dyDescent="0.2">
      <c r="A1797" s="5">
        <v>1736</v>
      </c>
      <c r="B1797" s="1832">
        <f>'Tax Sched 23'!F10</f>
        <v>32404</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221502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3058234</v>
      </c>
      <c r="C1807" s="2" t="s">
        <v>569</v>
      </c>
      <c r="D1807" s="2" t="str">
        <f t="shared" si="27"/>
        <v>Error?</v>
      </c>
    </row>
    <row r="1808" spans="1:4" x14ac:dyDescent="0.2">
      <c r="A1808" s="5">
        <v>1747</v>
      </c>
      <c r="B1808" s="1832">
        <f>'Tax Sched 23'!E4</f>
        <v>4000000</v>
      </c>
      <c r="D1808" s="2" t="str">
        <f t="shared" si="27"/>
        <v>Error?</v>
      </c>
    </row>
    <row r="1809" spans="1:4" x14ac:dyDescent="0.2">
      <c r="A1809" s="5">
        <v>1748</v>
      </c>
      <c r="B1809" s="1832">
        <f>'Tax Sched 23'!E5</f>
        <v>525440</v>
      </c>
      <c r="D1809" s="2" t="str">
        <f t="shared" si="27"/>
        <v>Error?</v>
      </c>
    </row>
    <row r="1810" spans="1:4" x14ac:dyDescent="0.2">
      <c r="A1810" s="5">
        <v>1749</v>
      </c>
      <c r="B1810" s="1832">
        <f>'Tax Sched 23'!E6</f>
        <v>477770</v>
      </c>
      <c r="D1810" s="2" t="str">
        <f t="shared" si="27"/>
        <v>Error?</v>
      </c>
    </row>
    <row r="1811" spans="1:4" x14ac:dyDescent="0.2">
      <c r="A1811" s="5">
        <v>1750</v>
      </c>
      <c r="B1811" s="1832">
        <f>'Tax Sched 23'!E7</f>
        <v>145956</v>
      </c>
      <c r="D1811" s="2" t="str">
        <f t="shared" si="27"/>
        <v>Error?</v>
      </c>
    </row>
    <row r="1812" spans="1:4" x14ac:dyDescent="0.2">
      <c r="A1812" s="5">
        <v>1751</v>
      </c>
      <c r="B1812" s="1832">
        <f>'Tax Sched 23'!E8</f>
        <v>80671</v>
      </c>
      <c r="D1812" s="2" t="str">
        <f t="shared" si="27"/>
        <v>Error?</v>
      </c>
    </row>
    <row r="1813" spans="1:4" x14ac:dyDescent="0.2">
      <c r="A1813" s="5">
        <v>1752</v>
      </c>
      <c r="B1813" s="1832">
        <f>'Tax Sched 23'!E10</f>
        <v>61442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420000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5798848</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5699516</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385482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385482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385482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101187</v>
      </c>
      <c r="D2008" s="2" t="str">
        <f t="shared" si="30"/>
        <v>Error?</v>
      </c>
    </row>
    <row r="2009" spans="1:4" x14ac:dyDescent="0.2">
      <c r="A2009" s="5">
        <v>1948</v>
      </c>
      <c r="B2009" s="1832">
        <f>'Cap Outlay Deprec 26'!C8</f>
        <v>14843914</v>
      </c>
      <c r="D2009" s="2" t="str">
        <f t="shared" si="30"/>
        <v>Error?</v>
      </c>
    </row>
    <row r="2010" spans="1:4" x14ac:dyDescent="0.2">
      <c r="A2010" s="5">
        <v>1949</v>
      </c>
      <c r="B2010" s="1832">
        <f>'Cap Outlay Deprec 26'!C10</f>
        <v>981762</v>
      </c>
      <c r="D2010" s="2" t="str">
        <f t="shared" si="30"/>
        <v>Error?</v>
      </c>
    </row>
    <row r="2011" spans="1:4" x14ac:dyDescent="0.2">
      <c r="A2011" s="5">
        <v>1950</v>
      </c>
      <c r="B2011" s="1832">
        <f>'Cap Outlay Deprec 26'!C12</f>
        <v>2711797</v>
      </c>
      <c r="D2011" s="2" t="str">
        <f t="shared" si="30"/>
        <v>Error?</v>
      </c>
    </row>
    <row r="2012" spans="1:4" x14ac:dyDescent="0.2">
      <c r="A2012" s="5">
        <v>1951</v>
      </c>
      <c r="B2012" s="1832">
        <f>'Cap Outlay Deprec 26'!C13</f>
        <v>74863</v>
      </c>
      <c r="D2012" s="2" t="str">
        <f t="shared" si="30"/>
        <v>Error?</v>
      </c>
    </row>
    <row r="2013" spans="1:4" x14ac:dyDescent="0.2">
      <c r="A2013" s="5">
        <v>1952</v>
      </c>
      <c r="B2013" s="1832">
        <f>'Cap Outlay Deprec 26'!C16</f>
        <v>18713523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22525</v>
      </c>
      <c r="D2015" s="2" t="str">
        <f t="shared" si="30"/>
        <v>Error?</v>
      </c>
    </row>
    <row r="2016" spans="1:4" x14ac:dyDescent="0.2">
      <c r="A2016" s="5">
        <v>1955</v>
      </c>
      <c r="B2016" s="1832">
        <f>'Cap Outlay Deprec 26'!D10</f>
        <v>18260</v>
      </c>
      <c r="D2016" s="2" t="str">
        <f t="shared" si="30"/>
        <v>Error?</v>
      </c>
    </row>
    <row r="2017" spans="1:4" x14ac:dyDescent="0.2">
      <c r="A2017" s="5">
        <v>1956</v>
      </c>
      <c r="B2017" s="1832">
        <f>'Cap Outlay Deprec 26'!D12</f>
        <v>52526</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93311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101187</v>
      </c>
      <c r="C2026" s="2" t="s">
        <v>569</v>
      </c>
      <c r="D2026" s="2" t="str">
        <f t="shared" si="30"/>
        <v>Error?</v>
      </c>
    </row>
    <row r="2027" spans="1:4" x14ac:dyDescent="0.2">
      <c r="A2027" s="5">
        <v>1966</v>
      </c>
      <c r="B2027" s="1832">
        <f>'Cap Outlay Deprec 26'!F8</f>
        <v>14866439</v>
      </c>
      <c r="C2027" s="2" t="s">
        <v>569</v>
      </c>
      <c r="D2027" s="2" t="str">
        <f t="shared" si="30"/>
        <v>Error?</v>
      </c>
    </row>
    <row r="2028" spans="1:4" x14ac:dyDescent="0.2">
      <c r="A2028" s="5">
        <v>1967</v>
      </c>
      <c r="B2028" s="1832">
        <f>'Cap Outlay Deprec 26'!F10</f>
        <v>1000022</v>
      </c>
      <c r="C2028" s="2" t="s">
        <v>569</v>
      </c>
      <c r="D2028" s="2" t="str">
        <f t="shared" si="30"/>
        <v>Error?</v>
      </c>
    </row>
    <row r="2029" spans="1:4" x14ac:dyDescent="0.2">
      <c r="A2029" s="5">
        <v>1968</v>
      </c>
      <c r="B2029" s="1832">
        <f>'Cap Outlay Deprec 26'!F12</f>
        <v>2764323</v>
      </c>
      <c r="C2029" s="2" t="s">
        <v>569</v>
      </c>
      <c r="D2029" s="2" t="str">
        <f t="shared" si="30"/>
        <v>Error?</v>
      </c>
    </row>
    <row r="2030" spans="1:4" x14ac:dyDescent="0.2">
      <c r="A2030" s="5">
        <v>1969</v>
      </c>
      <c r="B2030" s="1832">
        <f>'Cap Outlay Deprec 26'!F13</f>
        <v>74863</v>
      </c>
      <c r="C2030" s="2" t="s">
        <v>569</v>
      </c>
      <c r="D2030" s="2" t="str">
        <f t="shared" si="30"/>
        <v>Error?</v>
      </c>
    </row>
    <row r="2031" spans="1:4" x14ac:dyDescent="0.2">
      <c r="A2031" s="5">
        <v>1970</v>
      </c>
      <c r="B2031" s="1832">
        <f>'Cap Outlay Deprec 26'!F16</f>
        <v>18806834</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4316161</v>
      </c>
      <c r="D2033" s="2" t="str">
        <f t="shared" si="30"/>
        <v>Error?</v>
      </c>
    </row>
    <row r="2034" spans="1:4" x14ac:dyDescent="0.2">
      <c r="A2034" s="5">
        <v>1973</v>
      </c>
      <c r="B2034" s="1832">
        <f>'Cap Outlay Deprec 26'!H10</f>
        <v>279176</v>
      </c>
      <c r="D2034" s="2" t="str">
        <f t="shared" si="30"/>
        <v>Error?</v>
      </c>
    </row>
    <row r="2035" spans="1:4" x14ac:dyDescent="0.2">
      <c r="A2035" s="5">
        <v>1974</v>
      </c>
      <c r="B2035" s="1832">
        <f>'Cap Outlay Deprec 26'!H12</f>
        <v>2266706</v>
      </c>
      <c r="D2035" s="2" t="str">
        <f t="shared" si="30"/>
        <v>Error?</v>
      </c>
    </row>
    <row r="2036" spans="1:4" x14ac:dyDescent="0.2">
      <c r="A2036" s="5">
        <v>1975</v>
      </c>
      <c r="B2036" s="1832">
        <f>'Cap Outlay Deprec 26'!H13</f>
        <v>35083</v>
      </c>
      <c r="D2036" s="2" t="str">
        <f t="shared" si="30"/>
        <v>Error?</v>
      </c>
    </row>
    <row r="2037" spans="1:4" x14ac:dyDescent="0.2">
      <c r="A2037" s="5">
        <v>1976</v>
      </c>
      <c r="B2037" s="1832">
        <f>'Cap Outlay Deprec 26'!H16</f>
        <v>6897126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302187</v>
      </c>
      <c r="D2039" s="2" t="str">
        <f t="shared" si="30"/>
        <v>Error?</v>
      </c>
    </row>
    <row r="2040" spans="1:4" x14ac:dyDescent="0.2">
      <c r="A2040" s="5">
        <v>1979</v>
      </c>
      <c r="B2040" s="1832">
        <f>'Cap Outlay Deprec 26'!I10</f>
        <v>38607</v>
      </c>
      <c r="D2040" s="2" t="str">
        <f t="shared" si="30"/>
        <v>Error?</v>
      </c>
    </row>
    <row r="2041" spans="1:4" x14ac:dyDescent="0.2">
      <c r="A2041" s="5">
        <v>1980</v>
      </c>
      <c r="B2041" s="1832">
        <f>'Cap Outlay Deprec 26'!I12</f>
        <v>78118</v>
      </c>
      <c r="D2041" s="2" t="str">
        <f t="shared" si="30"/>
        <v>Error?</v>
      </c>
    </row>
    <row r="2042" spans="1:4" x14ac:dyDescent="0.2">
      <c r="A2042" s="5">
        <v>1981</v>
      </c>
      <c r="B2042" s="1832">
        <f>'Cap Outlay Deprec 26'!I13</f>
        <v>13260</v>
      </c>
      <c r="D2042" s="2" t="str">
        <f t="shared" si="30"/>
        <v>Error?</v>
      </c>
    </row>
    <row r="2043" spans="1:4" x14ac:dyDescent="0.2">
      <c r="A2043" s="5">
        <v>1982</v>
      </c>
      <c r="B2043" s="1832">
        <f>'Cap Outlay Deprec 26'!I16</f>
        <v>432172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4618348</v>
      </c>
      <c r="C2051" s="2" t="s">
        <v>569</v>
      </c>
      <c r="D2051" s="2" t="str">
        <f t="shared" si="31"/>
        <v>Error?</v>
      </c>
    </row>
    <row r="2052" spans="1:4" x14ac:dyDescent="0.2">
      <c r="A2052" s="5">
        <v>1991</v>
      </c>
      <c r="B2052" s="1832">
        <f>'Cap Outlay Deprec 26'!K10</f>
        <v>317783</v>
      </c>
      <c r="C2052" s="2" t="s">
        <v>569</v>
      </c>
      <c r="D2052" s="2" t="str">
        <f t="shared" si="31"/>
        <v>Error?</v>
      </c>
    </row>
    <row r="2053" spans="1:4" x14ac:dyDescent="0.2">
      <c r="A2053" s="5">
        <v>1992</v>
      </c>
      <c r="B2053" s="1832">
        <f>'Cap Outlay Deprec 26'!K12</f>
        <v>2344824</v>
      </c>
      <c r="C2053" s="2" t="s">
        <v>569</v>
      </c>
      <c r="D2053" s="2" t="str">
        <f t="shared" si="31"/>
        <v>Error?</v>
      </c>
    </row>
    <row r="2054" spans="1:4" x14ac:dyDescent="0.2">
      <c r="A2054" s="5">
        <v>1993</v>
      </c>
      <c r="B2054" s="1832">
        <f>'Cap Outlay Deprec 26'!K13</f>
        <v>48343</v>
      </c>
      <c r="C2054" s="2" t="s">
        <v>569</v>
      </c>
      <c r="D2054" s="2" t="str">
        <f t="shared" si="31"/>
        <v>Error?</v>
      </c>
    </row>
    <row r="2055" spans="1:4" x14ac:dyDescent="0.2">
      <c r="A2055" s="5">
        <v>1994</v>
      </c>
      <c r="B2055" s="1832">
        <f>'Cap Outlay Deprec 26'!K16</f>
        <v>7329298</v>
      </c>
      <c r="C2055" s="2" t="s">
        <v>569</v>
      </c>
      <c r="D2055" s="2" t="str">
        <f t="shared" si="31"/>
        <v>Error?</v>
      </c>
    </row>
    <row r="2056" spans="1:4" x14ac:dyDescent="0.2">
      <c r="A2056" s="5">
        <v>1995</v>
      </c>
      <c r="B2056" s="1832">
        <f>'Cap Outlay Deprec 26'!L5</f>
        <v>101187</v>
      </c>
      <c r="C2056" s="2" t="s">
        <v>569</v>
      </c>
      <c r="D2056" s="2" t="str">
        <f t="shared" si="31"/>
        <v>Error?</v>
      </c>
    </row>
    <row r="2057" spans="1:4" x14ac:dyDescent="0.2">
      <c r="A2057" s="5">
        <v>1996</v>
      </c>
      <c r="B2057" s="1832">
        <f>'Cap Outlay Deprec 26'!L8</f>
        <v>10248091</v>
      </c>
      <c r="C2057" s="2" t="s">
        <v>569</v>
      </c>
      <c r="D2057" s="2" t="str">
        <f t="shared" si="31"/>
        <v>Error?</v>
      </c>
    </row>
    <row r="2058" spans="1:4" x14ac:dyDescent="0.2">
      <c r="A2058" s="5">
        <v>1997</v>
      </c>
      <c r="B2058" s="1832">
        <f>'Cap Outlay Deprec 26'!L10</f>
        <v>682239</v>
      </c>
      <c r="C2058" s="2" t="s">
        <v>569</v>
      </c>
      <c r="D2058" s="2" t="str">
        <f t="shared" si="31"/>
        <v>Error?</v>
      </c>
    </row>
    <row r="2059" spans="1:4" x14ac:dyDescent="0.2">
      <c r="A2059" s="5">
        <v>1998</v>
      </c>
      <c r="B2059" s="1832">
        <f>'Cap Outlay Deprec 26'!L12</f>
        <v>419499</v>
      </c>
      <c r="C2059" s="2" t="s">
        <v>569</v>
      </c>
      <c r="D2059" s="2" t="str">
        <f t="shared" si="31"/>
        <v>Error?</v>
      </c>
    </row>
    <row r="2060" spans="1:4" x14ac:dyDescent="0.2">
      <c r="A2060" s="5">
        <v>1999</v>
      </c>
      <c r="B2060" s="1832">
        <f>'Cap Outlay Deprec 26'!L13</f>
        <v>26520</v>
      </c>
      <c r="C2060" s="2" t="s">
        <v>569</v>
      </c>
      <c r="D2060" s="2" t="str">
        <f t="shared" si="31"/>
        <v>Error?</v>
      </c>
    </row>
    <row r="2061" spans="1:4" x14ac:dyDescent="0.2">
      <c r="A2061" s="5">
        <v>2000</v>
      </c>
      <c r="B2061" s="1832">
        <f>'Cap Outlay Deprec 26'!L16</f>
        <v>11477536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960823</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4314111</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1635790</v>
      </c>
      <c r="C2553" s="2" t="s">
        <v>569</v>
      </c>
      <c r="D2553" s="2" t="str">
        <f t="shared" si="38"/>
        <v>Error?</v>
      </c>
    </row>
    <row r="2554" spans="1:4" x14ac:dyDescent="0.2">
      <c r="A2554" s="5">
        <v>2493</v>
      </c>
      <c r="B2554" s="1832">
        <f>'Acct Summary 7-8'!C7</f>
        <v>246788</v>
      </c>
      <c r="C2554" s="2" t="s">
        <v>569</v>
      </c>
      <c r="D2554" s="2" t="str">
        <f t="shared" si="38"/>
        <v>Error?</v>
      </c>
    </row>
    <row r="2555" spans="1:4" x14ac:dyDescent="0.2">
      <c r="A2555" s="5">
        <v>2494</v>
      </c>
      <c r="B2555" s="1832">
        <f>'Acct Summary 7-8'!C8</f>
        <v>6196689</v>
      </c>
      <c r="C2555" s="2" t="s">
        <v>569</v>
      </c>
      <c r="D2555" s="2" t="str">
        <f t="shared" si="38"/>
        <v>Error?</v>
      </c>
    </row>
    <row r="2556" spans="1:4" x14ac:dyDescent="0.2">
      <c r="A2556" s="5">
        <v>2495</v>
      </c>
      <c r="B2556" s="1832">
        <f>'Acct Summary 7-8'!C12</f>
        <v>3363818</v>
      </c>
      <c r="C2556" s="2" t="s">
        <v>569</v>
      </c>
      <c r="D2556" s="2" t="str">
        <f t="shared" si="38"/>
        <v>Error?</v>
      </c>
    </row>
    <row r="2557" spans="1:4" x14ac:dyDescent="0.2">
      <c r="A2557" s="5">
        <v>2496</v>
      </c>
      <c r="B2557" s="1832">
        <f>'Acct Summary 7-8'!C13</f>
        <v>1518534</v>
      </c>
      <c r="C2557" s="2" t="s">
        <v>569</v>
      </c>
      <c r="D2557" s="2" t="str">
        <f t="shared" si="38"/>
        <v>Error?</v>
      </c>
    </row>
    <row r="2558" spans="1:4" x14ac:dyDescent="0.2">
      <c r="A2558" s="5">
        <v>2497</v>
      </c>
      <c r="B2558" s="1832">
        <f>'Acct Summary 7-8'!C14</f>
        <v>6419</v>
      </c>
      <c r="C2558" s="2" t="s">
        <v>569</v>
      </c>
      <c r="D2558" s="2" t="str">
        <f t="shared" si="38"/>
        <v>Error?</v>
      </c>
    </row>
    <row r="2559" spans="1:4" x14ac:dyDescent="0.2">
      <c r="A2559" s="5">
        <v>2498</v>
      </c>
      <c r="B2559" s="1832">
        <f>'Acct Summary 7-8'!C15</f>
        <v>960823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5849594</v>
      </c>
      <c r="C2561" s="2" t="s">
        <v>569</v>
      </c>
      <c r="D2561" s="2" t="str">
        <f t="shared" si="39"/>
        <v>Error?</v>
      </c>
    </row>
    <row r="2562" spans="1:4" x14ac:dyDescent="0.2">
      <c r="A2562" s="5">
        <v>2501</v>
      </c>
      <c r="B2562" s="1832">
        <f>'Acct Summary 7-8'!C20</f>
        <v>347095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507274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507274</v>
      </c>
      <c r="C2568" s="2" t="s">
        <v>569</v>
      </c>
      <c r="D2568" s="2" t="str">
        <f t="shared" si="39"/>
        <v>Error?</v>
      </c>
    </row>
    <row r="2569" spans="1:4" x14ac:dyDescent="0.2">
      <c r="A2569" s="5">
        <v>2508</v>
      </c>
      <c r="B2569" s="1832">
        <f>'Acct Summary 7-8'!D13</f>
        <v>391415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391415</v>
      </c>
      <c r="C2573" s="2" t="s">
        <v>569</v>
      </c>
      <c r="D2573" s="2" t="str">
        <f t="shared" si="39"/>
        <v>Error?</v>
      </c>
    </row>
    <row r="2574" spans="1:4" x14ac:dyDescent="0.2">
      <c r="A2574" s="5">
        <v>2513</v>
      </c>
      <c r="B2574" s="1832">
        <f>'Acct Summary 7-8'!D20</f>
        <v>115859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144334</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296498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440832</v>
      </c>
      <c r="C2595" s="2" t="s">
        <v>569</v>
      </c>
      <c r="D2595" s="2" t="str">
        <f t="shared" si="39"/>
        <v>Error?</v>
      </c>
    </row>
    <row r="2596" spans="1:4" x14ac:dyDescent="0.2">
      <c r="A2596" s="5">
        <v>2535</v>
      </c>
      <c r="B2596" s="1832">
        <f>'Acct Summary 7-8'!F13</f>
        <v>582941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582941</v>
      </c>
      <c r="C2600" s="2" t="s">
        <v>569</v>
      </c>
      <c r="D2600" s="2" t="str">
        <f t="shared" si="39"/>
        <v>Error?</v>
      </c>
    </row>
    <row r="2601" spans="1:4" x14ac:dyDescent="0.2">
      <c r="A2601" s="5">
        <v>2540</v>
      </c>
      <c r="B2601" s="1832">
        <f>'Acct Summary 7-8'!F20</f>
        <v>-142109</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199566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199566</v>
      </c>
      <c r="C2606" s="2" t="s">
        <v>569</v>
      </c>
      <c r="D2606" s="2" t="str">
        <f t="shared" si="39"/>
        <v>Error?</v>
      </c>
    </row>
    <row r="2607" spans="1:4" x14ac:dyDescent="0.2">
      <c r="A2607" s="5">
        <v>2546</v>
      </c>
      <c r="B2607" s="1832">
        <f>'Acct Summary 7-8'!G12</f>
        <v>62119</v>
      </c>
      <c r="C2607" s="2" t="s">
        <v>569</v>
      </c>
      <c r="D2607" s="2" t="str">
        <f t="shared" si="39"/>
        <v>Error?</v>
      </c>
    </row>
    <row r="2608" spans="1:4" x14ac:dyDescent="0.2">
      <c r="A2608" s="5">
        <v>2547</v>
      </c>
      <c r="B2608" s="1832">
        <f>'Acct Summary 7-8'!G13</f>
        <v>74783</v>
      </c>
      <c r="C2608" s="2" t="s">
        <v>569</v>
      </c>
      <c r="D2608" s="2" t="str">
        <f t="shared" si="39"/>
        <v>Error?</v>
      </c>
    </row>
    <row r="2609" spans="1:4" x14ac:dyDescent="0.2">
      <c r="A2609" s="5">
        <v>2548</v>
      </c>
      <c r="B2609" s="1832">
        <f>'Acct Summary 7-8'!G14</f>
        <v>49</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136951</v>
      </c>
      <c r="C2612" s="2" t="s">
        <v>569</v>
      </c>
      <c r="D2612" s="2" t="str">
        <f t="shared" si="39"/>
        <v>Error?</v>
      </c>
    </row>
    <row r="2613" spans="1:4" x14ac:dyDescent="0.2">
      <c r="A2613" s="5">
        <v>2552</v>
      </c>
      <c r="B2613" s="1832">
        <f>'Acct Summary 7-8'!G20</f>
        <v>62615</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449656</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449656</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496405</v>
      </c>
      <c r="C2634" s="2" t="s">
        <v>569</v>
      </c>
      <c r="D2634" s="2" t="str">
        <f t="shared" si="40"/>
        <v>Error?</v>
      </c>
    </row>
    <row r="2635" spans="1:4" x14ac:dyDescent="0.2">
      <c r="A2635" s="5">
        <v>2574</v>
      </c>
      <c r="B2635" s="1832">
        <f>'Acct Summary 7-8'!E17</f>
        <v>496405</v>
      </c>
      <c r="C2635" s="2" t="s">
        <v>569</v>
      </c>
      <c r="D2635" s="2" t="str">
        <f t="shared" si="40"/>
        <v>Error?</v>
      </c>
    </row>
    <row r="2636" spans="1:4" x14ac:dyDescent="0.2">
      <c r="A2636" s="5">
        <v>2575</v>
      </c>
      <c r="B2636" s="1832">
        <f>'Acct Summary 7-8'!E20</f>
        <v>-46749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6022</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6022</v>
      </c>
      <c r="C2658" s="2" t="s">
        <v>569</v>
      </c>
      <c r="D2658" s="2" t="str">
        <f t="shared" si="40"/>
        <v>Error?</v>
      </c>
    </row>
    <row r="2659" spans="1:4" x14ac:dyDescent="0.2">
      <c r="A2659" s="5">
        <v>2598</v>
      </c>
      <c r="B2659" s="1832">
        <f>'Acct Summary 7-8'!H13</f>
        <v>18260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18260</v>
      </c>
      <c r="C2661" s="2" t="s">
        <v>569</v>
      </c>
      <c r="D2661" s="2" t="str">
        <f t="shared" si="40"/>
        <v>Error?</v>
      </c>
    </row>
    <row r="2662" spans="1:4" x14ac:dyDescent="0.2">
      <c r="A2662" s="5">
        <v>2601</v>
      </c>
      <c r="B2662" s="1832">
        <f>'Acct Summary 7-8'!H20</f>
        <v>-12238</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960823</v>
      </c>
      <c r="C2789" s="2" t="s">
        <v>569</v>
      </c>
      <c r="D2789" s="2" t="str">
        <f t="shared" si="42"/>
        <v>Error?</v>
      </c>
    </row>
    <row r="2790" spans="1:4" x14ac:dyDescent="0.2">
      <c r="A2790" s="5">
        <v>2729</v>
      </c>
      <c r="B2790" s="1832">
        <f>'Expenditures 15-22'!E102</f>
        <v>960823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88982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54282</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88982</v>
      </c>
      <c r="D2912" s="2" t="str">
        <f t="shared" si="44"/>
        <v>Error?</v>
      </c>
    </row>
    <row r="2913" spans="1:4" x14ac:dyDescent="0.2">
      <c r="A2913" s="5">
        <v>2852</v>
      </c>
      <c r="B2913" s="1832">
        <f>'Assets-Liab 5-6'!I41</f>
        <v>88982</v>
      </c>
      <c r="C2913" s="2" t="s">
        <v>569</v>
      </c>
      <c r="D2913" s="2" t="str">
        <f t="shared" si="44"/>
        <v>Error?</v>
      </c>
    </row>
    <row r="2914" spans="1:4" x14ac:dyDescent="0.2">
      <c r="A2914" s="5">
        <v>2853</v>
      </c>
      <c r="B2914" s="1832">
        <f>'Assets-Liab 5-6'!L33</f>
        <v>54282</v>
      </c>
      <c r="D2914" s="2" t="str">
        <f t="shared" si="44"/>
        <v>Error?</v>
      </c>
    </row>
    <row r="2915" spans="1:4" x14ac:dyDescent="0.2">
      <c r="A2915" s="10">
        <v>2854</v>
      </c>
      <c r="B2915" s="1832"/>
      <c r="D2915" s="2" t="str">
        <f t="shared" si="44"/>
        <v>OK</v>
      </c>
    </row>
    <row r="2916" spans="1:4" x14ac:dyDescent="0.2">
      <c r="A2916" s="5">
        <v>2855</v>
      </c>
      <c r="B2916" s="1832">
        <f>'Assets-Liab 5-6'!L34</f>
        <v>54282</v>
      </c>
      <c r="C2916" s="2" t="s">
        <v>569</v>
      </c>
      <c r="D2916" s="2" t="str">
        <f t="shared" si="44"/>
        <v>Error?</v>
      </c>
    </row>
    <row r="2917" spans="1:4" x14ac:dyDescent="0.2">
      <c r="A2917" s="5">
        <v>2856</v>
      </c>
      <c r="B2917" s="1832">
        <f>'Assets-Liab 5-6'!L41</f>
        <v>54282</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960823</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960823</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25730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14161</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39891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58345</v>
      </c>
      <c r="C3225" s="2" t="s">
        <v>569</v>
      </c>
      <c r="D3225" s="2" t="str">
        <f t="shared" si="49"/>
        <v>Error?</v>
      </c>
    </row>
    <row r="3226" spans="1:4" x14ac:dyDescent="0.2">
      <c r="A3226" s="5">
        <v>3165</v>
      </c>
      <c r="B3226" s="1832">
        <f>'Acct Summary 7-8'!I8</f>
        <v>58345</v>
      </c>
      <c r="C3226" s="2" t="s">
        <v>569</v>
      </c>
      <c r="D3226" s="2" t="str">
        <f t="shared" si="49"/>
        <v>Error?</v>
      </c>
    </row>
    <row r="3227" spans="1:4" x14ac:dyDescent="0.2">
      <c r="A3227" s="5">
        <v>3166</v>
      </c>
      <c r="B3227" s="1832">
        <f>'Acct Summary 7-8'!I20</f>
        <v>58345</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22380</v>
      </c>
      <c r="C3231" s="2" t="s">
        <v>569</v>
      </c>
      <c r="D3231" s="2" t="str">
        <f t="shared" si="49"/>
        <v>Error?</v>
      </c>
    </row>
    <row r="3232" spans="1:4" x14ac:dyDescent="0.2">
      <c r="A3232" s="5">
        <v>3171</v>
      </c>
      <c r="B3232" s="1832">
        <f>'Acct Summary 7-8'!C77</f>
        <v>-22380</v>
      </c>
      <c r="C3232" s="2" t="s">
        <v>569</v>
      </c>
      <c r="D3232" s="2" t="str">
        <f t="shared" si="49"/>
        <v>Error?</v>
      </c>
    </row>
    <row r="3233" spans="1:4" x14ac:dyDescent="0.2">
      <c r="A3233" s="5">
        <v>3172</v>
      </c>
      <c r="B3233" s="1832">
        <f>'Acct Summary 7-8'!C78</f>
        <v>324715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115859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-142109</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62615</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22380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22380</v>
      </c>
      <c r="C3277" s="2" t="s">
        <v>569</v>
      </c>
      <c r="D3277" s="2" t="str">
        <f t="shared" si="50"/>
        <v>Error?</v>
      </c>
    </row>
    <row r="3278" spans="1:4" x14ac:dyDescent="0.2">
      <c r="A3278" s="5">
        <v>3217</v>
      </c>
      <c r="B3278" s="1832">
        <f>'Acct Summary 7-8'!E78</f>
        <v>-24369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-12238</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58345</v>
      </c>
      <c r="C3320" s="2" t="s">
        <v>569</v>
      </c>
      <c r="D3320" s="2" t="str">
        <f t="shared" si="50"/>
        <v>Error?</v>
      </c>
    </row>
    <row r="3321" spans="1:4" x14ac:dyDescent="0.2">
      <c r="A3321" s="5">
        <v>3260</v>
      </c>
      <c r="B3321" s="1832">
        <f>'Acct Summary 7-8'!I79</f>
        <v>30637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88982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515322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131338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9438</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7276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663374</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40523</v>
      </c>
      <c r="D3387" s="2" t="str">
        <f t="shared" si="51"/>
        <v>Error?</v>
      </c>
    </row>
    <row r="3388" spans="1:4" x14ac:dyDescent="0.2">
      <c r="A3388" s="5">
        <v>3327</v>
      </c>
      <c r="B3388" s="1832">
        <f>'Expenditures 15-22'!D217</f>
        <v>19966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40523</v>
      </c>
      <c r="C3390" s="2" t="s">
        <v>569</v>
      </c>
      <c r="D3390" s="2" t="str">
        <f t="shared" si="51"/>
        <v>Error?</v>
      </c>
    </row>
    <row r="3391" spans="1:4" x14ac:dyDescent="0.2">
      <c r="A3391" s="5">
        <v>3330</v>
      </c>
      <c r="B3391" s="1832">
        <f>'Expenditures 15-22'!K217</f>
        <v>19966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6522530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938234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411339</v>
      </c>
      <c r="D3417" s="2" t="str">
        <f t="shared" si="52"/>
        <v>Error?</v>
      </c>
    </row>
    <row r="3418" spans="1:4" x14ac:dyDescent="0.2">
      <c r="A3418" s="10">
        <v>3357</v>
      </c>
      <c r="B3418" s="1832"/>
      <c r="D3418" s="2" t="str">
        <f t="shared" si="52"/>
        <v>OK</v>
      </c>
    </row>
    <row r="3419" spans="1:4" x14ac:dyDescent="0.2">
      <c r="A3419" s="5">
        <v>3358</v>
      </c>
      <c r="B3419" s="1832">
        <f>'Assets-Liab 5-6'!F4</f>
        <v>242764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423623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87963</v>
      </c>
      <c r="D3425" s="2" t="str">
        <f t="shared" si="52"/>
        <v>Error?</v>
      </c>
    </row>
    <row r="3426" spans="1:4" x14ac:dyDescent="0.2">
      <c r="A3426" s="10">
        <v>3365</v>
      </c>
      <c r="B3426" s="1832"/>
      <c r="D3426" s="2" t="str">
        <f t="shared" si="52"/>
        <v>OK</v>
      </c>
    </row>
    <row r="3427" spans="1:4" x14ac:dyDescent="0.2">
      <c r="A3427" s="5">
        <v>3366</v>
      </c>
      <c r="B3427" s="1832">
        <f>'Assets-Liab 5-6'!I4</f>
        <v>88982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54282</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83937</v>
      </c>
      <c r="C3446" s="2" t="s">
        <v>569</v>
      </c>
      <c r="D3446" s="2" t="str">
        <f t="shared" si="52"/>
        <v>Error?</v>
      </c>
    </row>
    <row r="3447" spans="1:4" x14ac:dyDescent="0.2">
      <c r="A3447" s="5">
        <v>3386</v>
      </c>
      <c r="B3447" s="1832">
        <f>'Tax Sched 23'!D16</f>
        <v>45811</v>
      </c>
      <c r="C3447" s="2" t="s">
        <v>569</v>
      </c>
      <c r="D3447" s="2" t="str">
        <f t="shared" si="52"/>
        <v>Error?</v>
      </c>
    </row>
    <row r="3448" spans="1:4" x14ac:dyDescent="0.2">
      <c r="A3448" s="5">
        <v>3387</v>
      </c>
      <c r="B3448" s="1832">
        <f>'Tax Sched 23'!C16</f>
        <v>38126</v>
      </c>
      <c r="D3448" s="2" t="str">
        <f t="shared" si="52"/>
        <v>Error?</v>
      </c>
    </row>
    <row r="3449" spans="1:4" x14ac:dyDescent="0.2">
      <c r="A3449" s="5">
        <v>3388</v>
      </c>
      <c r="B3449" s="1832">
        <f>'Tax Sched 23'!F16</f>
        <v>42544</v>
      </c>
      <c r="C3449" s="2" t="s">
        <v>569</v>
      </c>
      <c r="D3449" s="2" t="str">
        <f t="shared" si="52"/>
        <v>Error?</v>
      </c>
    </row>
    <row r="3450" spans="1:4" x14ac:dyDescent="0.2">
      <c r="A3450" s="5">
        <v>3389</v>
      </c>
      <c r="B3450" s="1832">
        <f>'Tax Sched 23'!E16</f>
        <v>80670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17810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6742</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3482</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3260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3639</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6899</v>
      </c>
      <c r="D4111" s="2" t="str">
        <f t="shared" si="63"/>
        <v>Error?</v>
      </c>
    </row>
    <row r="4112" spans="1:4" x14ac:dyDescent="0.2">
      <c r="A4112" s="10">
        <v>4051</v>
      </c>
      <c r="B4112" s="1832"/>
      <c r="D4112" s="2" t="str">
        <f t="shared" si="63"/>
        <v>OK</v>
      </c>
    </row>
    <row r="4113" spans="1:4" x14ac:dyDescent="0.2">
      <c r="A4113" s="5">
        <v>4052</v>
      </c>
      <c r="B4113" s="1832">
        <f>'Acct Summary 7-8'!C9</f>
        <v>2495032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8691721</v>
      </c>
      <c r="C4122" s="2" t="s">
        <v>569</v>
      </c>
      <c r="D4122" s="2" t="str">
        <f t="shared" si="63"/>
        <v>Error?</v>
      </c>
    </row>
    <row r="4123" spans="1:4" x14ac:dyDescent="0.2">
      <c r="A4123" s="5">
        <v>4062</v>
      </c>
      <c r="B4123" s="1832">
        <f>'Acct Summary 7-8'!D10</f>
        <v>507274</v>
      </c>
      <c r="C4123" s="2" t="s">
        <v>569</v>
      </c>
      <c r="D4123" s="2" t="str">
        <f t="shared" si="63"/>
        <v>Error?</v>
      </c>
    </row>
    <row r="4124" spans="1:4" x14ac:dyDescent="0.2">
      <c r="A4124" s="5">
        <v>4063</v>
      </c>
      <c r="B4124" s="1832">
        <f>'Acct Summary 7-8'!E10</f>
        <v>449656</v>
      </c>
      <c r="C4124" s="2" t="s">
        <v>569</v>
      </c>
      <c r="D4124" s="2" t="str">
        <f t="shared" si="63"/>
        <v>Error?</v>
      </c>
    </row>
    <row r="4125" spans="1:4" x14ac:dyDescent="0.2">
      <c r="A4125" s="5">
        <v>4064</v>
      </c>
      <c r="B4125" s="1832">
        <f>'Acct Summary 7-8'!F10</f>
        <v>440832</v>
      </c>
      <c r="C4125" s="2" t="s">
        <v>569</v>
      </c>
      <c r="D4125" s="2" t="str">
        <f t="shared" si="63"/>
        <v>Error?</v>
      </c>
    </row>
    <row r="4126" spans="1:4" x14ac:dyDescent="0.2">
      <c r="A4126" s="5">
        <v>4065</v>
      </c>
      <c r="B4126" s="1832">
        <f>'Acct Summary 7-8'!G10</f>
        <v>199566</v>
      </c>
      <c r="C4126" s="2" t="s">
        <v>569</v>
      </c>
      <c r="D4126" s="2" t="str">
        <f t="shared" si="63"/>
        <v>Error?</v>
      </c>
    </row>
    <row r="4127" spans="1:4" x14ac:dyDescent="0.2">
      <c r="A4127" s="5">
        <v>4066</v>
      </c>
      <c r="B4127" s="1832">
        <f>'Acct Summary 7-8'!H10</f>
        <v>6022</v>
      </c>
      <c r="C4127" s="2" t="s">
        <v>569</v>
      </c>
      <c r="D4127" s="2" t="str">
        <f t="shared" si="63"/>
        <v>Error?</v>
      </c>
    </row>
    <row r="4128" spans="1:4" x14ac:dyDescent="0.2">
      <c r="A4128" s="5">
        <v>4067</v>
      </c>
      <c r="B4128" s="1832">
        <f>'Acct Summary 7-8'!I10</f>
        <v>58345</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2495032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8344626</v>
      </c>
      <c r="C4136" s="2" t="s">
        <v>569</v>
      </c>
      <c r="D4136" s="2" t="str">
        <f t="shared" si="63"/>
        <v>Error?</v>
      </c>
    </row>
    <row r="4137" spans="1:4" x14ac:dyDescent="0.2">
      <c r="A4137" s="5">
        <v>4076</v>
      </c>
      <c r="B4137" s="1832">
        <f>'Acct Summary 7-8'!D19</f>
        <v>391415</v>
      </c>
      <c r="C4137" s="2" t="s">
        <v>569</v>
      </c>
      <c r="D4137" s="2" t="str">
        <f t="shared" si="63"/>
        <v>Error?</v>
      </c>
    </row>
    <row r="4138" spans="1:4" x14ac:dyDescent="0.2">
      <c r="A4138" s="5">
        <v>4077</v>
      </c>
      <c r="B4138" s="1832">
        <f>'Acct Summary 7-8'!E19</f>
        <v>496405</v>
      </c>
      <c r="C4138" s="2" t="s">
        <v>569</v>
      </c>
      <c r="D4138" s="2" t="str">
        <f t="shared" si="63"/>
        <v>Error?</v>
      </c>
    </row>
    <row r="4139" spans="1:4" x14ac:dyDescent="0.2">
      <c r="A4139" s="5">
        <v>4078</v>
      </c>
      <c r="B4139" s="1832">
        <f>'Acct Summary 7-8'!F19</f>
        <v>582941</v>
      </c>
      <c r="C4139" s="2" t="s">
        <v>569</v>
      </c>
      <c r="D4139" s="2" t="str">
        <f t="shared" si="63"/>
        <v>Error?</v>
      </c>
    </row>
    <row r="4140" spans="1:4" x14ac:dyDescent="0.2">
      <c r="A4140" s="5">
        <v>4079</v>
      </c>
      <c r="B4140" s="1832">
        <f>'Acct Summary 7-8'!G19</f>
        <v>136951</v>
      </c>
      <c r="C4140" s="2" t="s">
        <v>569</v>
      </c>
      <c r="D4140" s="2" t="str">
        <f t="shared" si="63"/>
        <v>Error?</v>
      </c>
    </row>
    <row r="4141" spans="1:4" x14ac:dyDescent="0.2">
      <c r="A4141" s="5">
        <v>4080</v>
      </c>
      <c r="B4141" s="1832">
        <f>'Acct Summary 7-8'!H19</f>
        <v>18260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5419319</v>
      </c>
      <c r="C4171" s="2" t="s">
        <v>569</v>
      </c>
      <c r="D4171" s="2" t="str">
        <f t="shared" si="64"/>
        <v>Error?</v>
      </c>
    </row>
    <row r="4172" spans="1:4" x14ac:dyDescent="0.2">
      <c r="A4172" s="5">
        <v>4111</v>
      </c>
      <c r="B4172" s="1832">
        <f>'Short-Term Long-Term Debt 24'!J49</f>
        <v>5029256</v>
      </c>
      <c r="C4172" s="2" t="s">
        <v>569</v>
      </c>
      <c r="D4172" s="2" t="str">
        <f t="shared" si="64"/>
        <v>Error?</v>
      </c>
    </row>
    <row r="4173" spans="1:4" x14ac:dyDescent="0.2">
      <c r="A4173" s="5">
        <v>4112</v>
      </c>
      <c r="B4173" s="1832">
        <f>'Short-Term Long-Term Debt 24'!H49</f>
        <v>280197</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3255.0950000000003</v>
      </c>
      <c r="C4265" s="2" t="s">
        <v>569</v>
      </c>
      <c r="D4265" s="2" t="str">
        <f t="shared" si="65"/>
        <v>Error?</v>
      </c>
      <c r="E4265" s="125"/>
    </row>
    <row r="4266" spans="1:5" x14ac:dyDescent="0.2">
      <c r="A4266" s="12">
        <v>4205</v>
      </c>
      <c r="B4266" s="1832">
        <f>('FP Info 3'!F10)*100000</f>
        <v>427.589</v>
      </c>
      <c r="C4266" s="2" t="s">
        <v>569</v>
      </c>
      <c r="D4266" s="2" t="str">
        <f t="shared" si="65"/>
        <v>Error?</v>
      </c>
      <c r="E4266" s="125"/>
    </row>
    <row r="4267" spans="1:5" x14ac:dyDescent="0.2">
      <c r="A4267" s="12">
        <v>4206</v>
      </c>
      <c r="B4267" s="1832">
        <f>('FP Info 3'!H10)*100000</f>
        <v>118.77500000000001</v>
      </c>
      <c r="C4267" s="2" t="s">
        <v>569</v>
      </c>
      <c r="D4267" s="2" t="str">
        <f t="shared" si="65"/>
        <v>Error?</v>
      </c>
      <c r="E4267" s="125"/>
    </row>
    <row r="4268" spans="1:5" x14ac:dyDescent="0.2">
      <c r="A4268" s="12">
        <v>4207</v>
      </c>
      <c r="B4268" s="1832">
        <f>('FP Info 3'!J10)*100000</f>
        <v>3801</v>
      </c>
      <c r="C4268" s="2" t="s">
        <v>569</v>
      </c>
      <c r="D4268" s="2" t="str">
        <f t="shared" si="65"/>
        <v>Error?</v>
      </c>
    </row>
    <row r="4269" spans="1:5" x14ac:dyDescent="0.2">
      <c r="A4269" s="12">
        <v>4208</v>
      </c>
      <c r="B4269" s="1832">
        <f>'FP Info 3'!J16</f>
        <v>7780168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8363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7500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1500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122884281</v>
      </c>
      <c r="D4995" s="2" t="str">
        <f t="shared" si="77"/>
        <v>Error?</v>
      </c>
    </row>
    <row r="4996" spans="1:4" x14ac:dyDescent="0.2">
      <c r="A4996" s="12">
        <v>4935</v>
      </c>
      <c r="B4996" s="1832">
        <f>'FP Info 3'!H31</f>
        <v>8479015.3890000004</v>
      </c>
      <c r="D4996" s="2" t="str">
        <f t="shared" si="77"/>
        <v>Error?</v>
      </c>
    </row>
    <row r="4997" spans="1:4" x14ac:dyDescent="0.2">
      <c r="A4997" s="12">
        <v>4936</v>
      </c>
      <c r="B4997" s="1832">
        <f>'FP Info 3'!H37</f>
        <v>5419319</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3759950</v>
      </c>
      <c r="D5061" s="2" t="str">
        <f t="shared" si="78"/>
        <v>Error?</v>
      </c>
    </row>
    <row r="5062" spans="1:4" x14ac:dyDescent="0.2">
      <c r="A5062" s="10">
        <v>5001</v>
      </c>
      <c r="B5062" s="1832"/>
      <c r="D5062" s="2" t="str">
        <f t="shared" si="78"/>
        <v>OK</v>
      </c>
    </row>
    <row r="5063" spans="1:4" x14ac:dyDescent="0.2">
      <c r="A5063" s="5">
        <v>5002</v>
      </c>
      <c r="B5063" s="1832">
        <f>'Revenues 9-14'!C7</f>
        <v>385482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4145432</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21440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21440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68764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68764</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16302</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49086</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49086</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9539</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2455</v>
      </c>
      <c r="D5118" s="2" t="str">
        <f t="shared" si="78"/>
        <v>Error?</v>
      </c>
    </row>
    <row r="5119" spans="1:4" x14ac:dyDescent="0.2">
      <c r="A5119" s="5">
        <v>5058</v>
      </c>
      <c r="B5119" s="1832">
        <f>'Revenues 9-14'!C107</f>
        <v>1093</v>
      </c>
      <c r="D5119" s="2" t="str">
        <f t="shared" ref="D5119:D5182" si="79">IF(ISBLANK(B5119),"OK",IF(A5119-B5119=0,"OK","Error?"))</f>
        <v>Error?</v>
      </c>
    </row>
    <row r="5120" spans="1:4" x14ac:dyDescent="0.2">
      <c r="A5120" s="5">
        <v>5059</v>
      </c>
      <c r="B5120" s="1832">
        <f>'Revenues 9-14'!C108</f>
        <v>13087</v>
      </c>
      <c r="C5120" s="2" t="s">
        <v>569</v>
      </c>
      <c r="D5120" s="2" t="str">
        <f t="shared" si="79"/>
        <v>Error?</v>
      </c>
    </row>
    <row r="5121" spans="1:4" x14ac:dyDescent="0.2">
      <c r="A5121" s="5">
        <v>5060</v>
      </c>
      <c r="B5121" s="1832">
        <f>'Revenues 9-14'!C109</f>
        <v>4314111</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1430394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1430394</v>
      </c>
      <c r="C5132" s="2" t="s">
        <v>569</v>
      </c>
      <c r="D5132" s="2" t="str">
        <f t="shared" si="79"/>
        <v>Error?</v>
      </c>
    </row>
    <row r="5133" spans="1:4" x14ac:dyDescent="0.2">
      <c r="A5133" s="5">
        <v>5072</v>
      </c>
      <c r="B5133" s="1832">
        <f>'Revenues 9-14'!C125</f>
        <v>54608</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31026</v>
      </c>
      <c r="D5137" s="2" t="str">
        <f t="shared" si="79"/>
        <v>Error?</v>
      </c>
    </row>
    <row r="5138" spans="1:4" x14ac:dyDescent="0.2">
      <c r="A5138" s="10">
        <v>5077</v>
      </c>
      <c r="B5138" s="1832"/>
      <c r="D5138" s="2" t="str">
        <f t="shared" si="79"/>
        <v>OK</v>
      </c>
    </row>
    <row r="5139" spans="1:4" x14ac:dyDescent="0.2">
      <c r="A5139" s="5">
        <v>5078</v>
      </c>
      <c r="B5139" s="1832">
        <f>'Revenues 9-14'!C129</f>
        <v>2355</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87989</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785</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115122</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205396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1635790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50600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3487</v>
      </c>
      <c r="D5241" s="2" t="str">
        <f t="shared" si="80"/>
        <v>Error?</v>
      </c>
    </row>
    <row r="5242" spans="1:4" x14ac:dyDescent="0.2">
      <c r="A5242" s="5">
        <v>5181</v>
      </c>
      <c r="B5242" s="1832">
        <f>'Revenues 9-14'!C194</f>
        <v>21809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75896</v>
      </c>
      <c r="C5246" s="2" t="s">
        <v>569</v>
      </c>
      <c r="D5246" s="2" t="str">
        <f t="shared" si="80"/>
        <v>Error?</v>
      </c>
    </row>
    <row r="5247" spans="1:4" x14ac:dyDescent="0.2">
      <c r="A5247" s="5">
        <v>5186</v>
      </c>
      <c r="B5247" s="1832">
        <f>'Revenues 9-14'!C200</f>
        <v>60231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60231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86289</v>
      </c>
      <c r="D5278" s="2" t="str">
        <f t="shared" si="81"/>
        <v>Error?</v>
      </c>
    </row>
    <row r="5279" spans="1:4" x14ac:dyDescent="0.2">
      <c r="A5279" s="5">
        <v>5218</v>
      </c>
      <c r="B5279" s="1832">
        <f>'Revenues 9-14'!C214</f>
        <v>8509</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94798</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246788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246788</v>
      </c>
      <c r="C5326" s="2" t="s">
        <v>569</v>
      </c>
      <c r="D5326" s="2" t="str">
        <f t="shared" si="82"/>
        <v>Error?</v>
      </c>
    </row>
    <row r="5327" spans="1:5" x14ac:dyDescent="0.2">
      <c r="A5327" s="5">
        <v>5266</v>
      </c>
      <c r="B5327" s="1832">
        <f>'Revenues 9-14'!C268</f>
        <v>6196689</v>
      </c>
      <c r="C5327" s="2" t="s">
        <v>569</v>
      </c>
      <c r="D5327" s="2" t="str">
        <f t="shared" si="82"/>
        <v>Error?</v>
      </c>
    </row>
    <row r="5328" spans="1:5" x14ac:dyDescent="0.2">
      <c r="A5328" s="5">
        <v>5267</v>
      </c>
      <c r="B5328" s="1832">
        <f>'Revenues 9-14'!D5</f>
        <v>500757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500757</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6109</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6109</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408</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408</v>
      </c>
      <c r="C5355" s="2" t="s">
        <v>569</v>
      </c>
      <c r="D5355" s="2" t="str">
        <f t="shared" si="82"/>
        <v>Error?</v>
      </c>
    </row>
    <row r="5356" spans="1:4" x14ac:dyDescent="0.2">
      <c r="A5356" s="5">
        <v>5295</v>
      </c>
      <c r="B5356" s="1832">
        <f>'Revenues 9-14'!D109</f>
        <v>507274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507274</v>
      </c>
      <c r="C5508" s="2" t="s">
        <v>569</v>
      </c>
      <c r="D5508" s="2" t="str">
        <f t="shared" si="85"/>
        <v>Error?</v>
      </c>
    </row>
    <row r="5509" spans="1:4" x14ac:dyDescent="0.2">
      <c r="A5509" s="5">
        <v>5448</v>
      </c>
      <c r="B5509" s="1832">
        <f>'Revenues 9-14'!E5</f>
        <v>444491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444491</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5165</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5165</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449656</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449656</v>
      </c>
      <c r="C5552" s="2" t="s">
        <v>569</v>
      </c>
      <c r="D5552" s="2" t="str">
        <f t="shared" si="85"/>
        <v>Error?</v>
      </c>
    </row>
    <row r="5553" spans="1:4" x14ac:dyDescent="0.2">
      <c r="A5553" s="5">
        <v>5492</v>
      </c>
      <c r="B5553" s="1832">
        <f>'Revenues 9-14'!F5</f>
        <v>139099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139099</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5235</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5235</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144334</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296498</v>
      </c>
      <c r="D5617" s="2" t="str">
        <f t="shared" si="86"/>
        <v>Error?</v>
      </c>
    </row>
    <row r="5618" spans="1:5" x14ac:dyDescent="0.2">
      <c r="A5618" s="5">
        <v>5557</v>
      </c>
      <c r="B5618" s="1832">
        <f>'Revenues 9-14'!F155</f>
        <v>296498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296498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296498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440832</v>
      </c>
      <c r="C5720" s="2" t="s">
        <v>569</v>
      </c>
      <c r="D5720" s="2" t="str">
        <f t="shared" si="88"/>
        <v>Error?</v>
      </c>
    </row>
    <row r="5721" spans="1:4" x14ac:dyDescent="0.2">
      <c r="A5721" s="5">
        <v>5660</v>
      </c>
      <c r="B5721" s="1832">
        <f>'Revenues 9-14'!G5</f>
        <v>83937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83937</v>
      </c>
      <c r="D5723" s="2" t="str">
        <f t="shared" si="88"/>
        <v>Error?</v>
      </c>
    </row>
    <row r="5724" spans="1:4" x14ac:dyDescent="0.2">
      <c r="A5724" s="5">
        <v>5663</v>
      </c>
      <c r="B5724" s="1832">
        <f>'Revenues 9-14'!G11</f>
        <v>6742</v>
      </c>
      <c r="D5724" s="2" t="str">
        <f t="shared" si="88"/>
        <v>Error?</v>
      </c>
    </row>
    <row r="5725" spans="1:4" x14ac:dyDescent="0.2">
      <c r="A5725" s="5">
        <v>5664</v>
      </c>
      <c r="B5725" s="1832">
        <f>'Revenues 9-14'!G12</f>
        <v>174616</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1779</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1779</v>
      </c>
      <c r="C5730" s="2" t="s">
        <v>569</v>
      </c>
      <c r="D5730" s="2" t="str">
        <f t="shared" si="88"/>
        <v>Error?</v>
      </c>
    </row>
    <row r="5731" spans="1:4" x14ac:dyDescent="0.2">
      <c r="A5731" s="5">
        <v>5670</v>
      </c>
      <c r="B5731" s="1832">
        <f>'Revenues 9-14'!G65</f>
        <v>23171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23171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199566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6022</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6022</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6022</v>
      </c>
      <c r="C5915" s="2" t="s">
        <v>569</v>
      </c>
      <c r="D5915" s="2" t="str">
        <f t="shared" si="91"/>
        <v>Error?</v>
      </c>
    </row>
    <row r="5916" spans="1:4" x14ac:dyDescent="0.2">
      <c r="A5916" s="5">
        <v>5855</v>
      </c>
      <c r="B5916" s="1832">
        <f>'Revenues 9-14'!I5</f>
        <v>57651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57651</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694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694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58345</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199566</v>
      </c>
      <c r="C6024" s="2" t="s">
        <v>569</v>
      </c>
      <c r="D6024" s="2" t="str">
        <f t="shared" si="93"/>
        <v>Error?</v>
      </c>
    </row>
    <row r="6025" spans="1:5" x14ac:dyDescent="0.2">
      <c r="A6025" s="5">
        <v>5964</v>
      </c>
      <c r="B6025" s="1832">
        <f>'Revenues 9-14'!H109</f>
        <v>6022</v>
      </c>
      <c r="C6025" s="2" t="s">
        <v>569</v>
      </c>
      <c r="D6025" s="2" t="str">
        <f t="shared" si="93"/>
        <v>Error?</v>
      </c>
    </row>
    <row r="6026" spans="1:5" x14ac:dyDescent="0.2">
      <c r="A6026" s="5">
        <v>5965</v>
      </c>
      <c r="B6026" s="1832">
        <f>'Revenues 9-14'!I109</f>
        <v>58345</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16302</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528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21276</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324715</v>
      </c>
      <c r="D6267" s="2" t="str">
        <f t="shared" si="96"/>
        <v>Error?</v>
      </c>
      <c r="E6267" s="2" t="s">
        <v>189</v>
      </c>
    </row>
    <row r="6268" spans="1:5" x14ac:dyDescent="0.2">
      <c r="A6268">
        <v>6207</v>
      </c>
      <c r="B6268" s="1832">
        <f>'Acct Summary 7-8'!D82</f>
        <v>115859</v>
      </c>
      <c r="D6268" s="2" t="str">
        <f t="shared" si="96"/>
        <v>Error?</v>
      </c>
      <c r="E6268" s="2" t="s">
        <v>189</v>
      </c>
    </row>
    <row r="6269" spans="1:5" x14ac:dyDescent="0.2">
      <c r="A6269">
        <v>6208</v>
      </c>
      <c r="B6269" s="1832">
        <f>'Acct Summary 7-8'!E82</f>
        <v>-24369</v>
      </c>
      <c r="D6269" s="2" t="str">
        <f t="shared" si="96"/>
        <v>Error?</v>
      </c>
      <c r="E6269" s="2" t="s">
        <v>189</v>
      </c>
    </row>
    <row r="6270" spans="1:5" x14ac:dyDescent="0.2">
      <c r="A6270">
        <v>6209</v>
      </c>
      <c r="B6270" s="1832">
        <f>'Acct Summary 7-8'!F82</f>
        <v>-142109</v>
      </c>
      <c r="D6270" s="2" t="str">
        <f t="shared" si="96"/>
        <v>Error?</v>
      </c>
      <c r="E6270" s="2" t="s">
        <v>189</v>
      </c>
    </row>
    <row r="6271" spans="1:5" x14ac:dyDescent="0.2">
      <c r="A6271">
        <v>6210</v>
      </c>
      <c r="B6271" s="1832">
        <f>'Acct Summary 7-8'!G82</f>
        <v>62615</v>
      </c>
      <c r="D6271" s="2" t="str">
        <f t="shared" ref="D6271:D6334" si="97">IF(ISBLANK(B6271),"OK",IF(A6271-B6271=0,"OK","Error?"))</f>
        <v>Error?</v>
      </c>
      <c r="E6271" s="2" t="s">
        <v>189</v>
      </c>
    </row>
    <row r="6272" spans="1:5" x14ac:dyDescent="0.2">
      <c r="A6272">
        <v>6211</v>
      </c>
      <c r="B6272" s="1832">
        <f>'Acct Summary 7-8'!H82</f>
        <v>-12238</v>
      </c>
      <c r="D6272" s="2" t="str">
        <f t="shared" si="97"/>
        <v>Error?</v>
      </c>
      <c r="E6272" s="2" t="s">
        <v>189</v>
      </c>
    </row>
    <row r="6273" spans="1:5" x14ac:dyDescent="0.2">
      <c r="A6273">
        <v>6212</v>
      </c>
      <c r="B6273" s="1832">
        <f>'Acct Summary 7-8'!I82</f>
        <v>58345</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4.9872743600664182E-2</v>
      </c>
      <c r="D6276" s="2" t="str">
        <f t="shared" si="97"/>
        <v>Error?</v>
      </c>
      <c r="E6276" s="2" t="s">
        <v>189</v>
      </c>
    </row>
    <row r="6277" spans="1:5" x14ac:dyDescent="0.2">
      <c r="A6277">
        <v>6216</v>
      </c>
      <c r="B6277" s="1832">
        <f>'Acct Summary 7-8'!D83</f>
        <v>0.12348625183056679</v>
      </c>
      <c r="D6277" s="2" t="str">
        <f t="shared" si="97"/>
        <v>Error?</v>
      </c>
      <c r="E6277" s="2" t="s">
        <v>189</v>
      </c>
    </row>
    <row r="6278" spans="1:5" x14ac:dyDescent="0.2">
      <c r="A6278">
        <v>6217</v>
      </c>
      <c r="B6278" s="1832">
        <f>'Acct Summary 7-8'!E83</f>
        <v>-6.2474523346228689E-2</v>
      </c>
      <c r="D6278" s="2" t="str">
        <f t="shared" si="97"/>
        <v>Error?</v>
      </c>
      <c r="E6278" s="2" t="s">
        <v>189</v>
      </c>
    </row>
    <row r="6279" spans="1:5" x14ac:dyDescent="0.2">
      <c r="A6279">
        <v>6218</v>
      </c>
      <c r="B6279" s="1832">
        <f>'Acct Summary 7-8'!F83</f>
        <v>-0.58703078721584923</v>
      </c>
      <c r="D6279" s="2" t="str">
        <f t="shared" si="97"/>
        <v>Error?</v>
      </c>
      <c r="E6279" s="2" t="s">
        <v>189</v>
      </c>
    </row>
    <row r="6280" spans="1:5" x14ac:dyDescent="0.2">
      <c r="A6280">
        <v>6219</v>
      </c>
      <c r="B6280" s="1832">
        <f>'Acct Summary 7-8'!G83</f>
        <v>0.14780831069134584</v>
      </c>
      <c r="D6280" s="2" t="str">
        <f t="shared" si="97"/>
        <v>Error?</v>
      </c>
      <c r="E6280" s="2" t="s">
        <v>189</v>
      </c>
    </row>
    <row r="6281" spans="1:5" x14ac:dyDescent="0.2">
      <c r="A6281">
        <v>6220</v>
      </c>
      <c r="B6281" s="1832">
        <f>'Acct Summary 7-8'!H83</f>
        <v>-0.13912667826245126</v>
      </c>
      <c r="D6281" s="2" t="str">
        <f t="shared" si="97"/>
        <v>Error?</v>
      </c>
      <c r="E6281" s="2" t="s">
        <v>189</v>
      </c>
    </row>
    <row r="6282" spans="1:5" x14ac:dyDescent="0.2">
      <c r="A6282">
        <v>6221</v>
      </c>
      <c r="B6282" s="1832">
        <f>'Acct Summary 7-8'!I83</f>
        <v>0.65569441010541463</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15197</v>
      </c>
      <c r="D6285" s="2" t="str">
        <f t="shared" si="97"/>
        <v>Error?</v>
      </c>
      <c r="E6285" s="2" t="s">
        <v>189</v>
      </c>
    </row>
    <row r="6286" spans="1:5" x14ac:dyDescent="0.2">
      <c r="A6286">
        <v>6225</v>
      </c>
      <c r="B6286" s="1832">
        <f>'Acct Summary 7-8'!E38</f>
        <v>7183</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39268</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559</v>
      </c>
      <c r="D7075" s="2" t="str">
        <f t="shared" si="109"/>
        <v>Error?</v>
      </c>
    </row>
    <row r="7076" spans="1:4" x14ac:dyDescent="0.2">
      <c r="A7076">
        <v>7015</v>
      </c>
      <c r="B7076" s="1832">
        <f>'Expenditures 15-22'!K218</f>
        <v>559</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31523</v>
      </c>
      <c r="D7251" s="2" t="str">
        <f t="shared" si="112"/>
        <v>Error?</v>
      </c>
    </row>
    <row r="7252" spans="1:4" x14ac:dyDescent="0.2">
      <c r="A7252">
        <f t="shared" si="113"/>
        <v>7191</v>
      </c>
      <c r="B7252" s="1832">
        <f>'Expenditures 15-22'!D9</f>
        <v>7745</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432172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15197</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7183</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385482</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16710000</v>
      </c>
      <c r="D7817" s="2" t="str">
        <f t="shared" si="128"/>
        <v>Error?</v>
      </c>
      <c r="E7817" s="4" t="s">
        <v>1966</v>
      </c>
    </row>
    <row r="7818" spans="1:5" x14ac:dyDescent="0.2">
      <c r="A7818">
        <v>7757</v>
      </c>
      <c r="B7818" s="1832">
        <f>'PCTC-OEPP 27-28'!F172</f>
        <v>208101.2</v>
      </c>
      <c r="D7818" s="2" t="str">
        <f t="shared" si="128"/>
        <v>Error?</v>
      </c>
      <c r="E7818" s="4" t="s">
        <v>1980</v>
      </c>
    </row>
    <row r="7819" spans="1:5" x14ac:dyDescent="0.2">
      <c r="A7819">
        <v>7758</v>
      </c>
      <c r="B7819" s="1832">
        <f>'PCTC-OEPP 27-28'!F173</f>
        <v>832.28</v>
      </c>
      <c r="D7819" s="2" t="str">
        <f t="shared" si="128"/>
        <v>Error?</v>
      </c>
      <c r="E7819" s="4" t="s">
        <v>1980</v>
      </c>
    </row>
    <row r="7820" spans="1:5" x14ac:dyDescent="0.2">
      <c r="A7820">
        <v>7759</v>
      </c>
      <c r="B7820" s="1832">
        <f>'ICR Computation 30'!E40</f>
        <v>-833193</v>
      </c>
      <c r="D7820" s="2" t="str">
        <f t="shared" si="128"/>
        <v>Error?</v>
      </c>
    </row>
    <row r="7821" spans="1:5" x14ac:dyDescent="0.2">
      <c r="A7821">
        <v>7760</v>
      </c>
      <c r="B7821" s="1832">
        <f>'ICR Computation 30'!G40</f>
        <v>-833193</v>
      </c>
      <c r="D7821" s="2" t="str">
        <f t="shared" si="128"/>
        <v>Error?</v>
      </c>
    </row>
    <row r="7822" spans="1:5" x14ac:dyDescent="0.2">
      <c r="A7822" s="1">
        <v>7761</v>
      </c>
      <c r="B7822" s="1832">
        <f>'PCTC-OEPP 27-28'!F14</f>
        <v>7457306</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39268</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6419</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1362366</v>
      </c>
      <c r="D7834" s="2" t="str">
        <f t="shared" si="129"/>
        <v>Error?</v>
      </c>
      <c r="E7834" s="4" t="s">
        <v>1998</v>
      </c>
    </row>
    <row r="7835" spans="1:5" x14ac:dyDescent="0.2">
      <c r="A7835">
        <v>7774</v>
      </c>
      <c r="B7835" s="1832">
        <f>'PCTC-OEPP 27-28'!F78</f>
        <v>6094940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11543.44696969697</v>
      </c>
      <c r="D7837" s="2" t="str">
        <f t="shared" si="129"/>
        <v>Error?</v>
      </c>
      <c r="E7837" s="4" t="s">
        <v>1998</v>
      </c>
    </row>
    <row r="7838" spans="1:5" x14ac:dyDescent="0.2">
      <c r="A7838">
        <v>7777</v>
      </c>
      <c r="B7838" s="1832">
        <f>'PCTC-OEPP 27-28'!F96</f>
        <v>49086</v>
      </c>
      <c r="D7838" s="2" t="str">
        <f t="shared" si="129"/>
        <v>Error?</v>
      </c>
      <c r="E7838" s="4" t="s">
        <v>1998</v>
      </c>
    </row>
    <row r="7839" spans="1:5" x14ac:dyDescent="0.2">
      <c r="A7839">
        <v>7778</v>
      </c>
      <c r="B7839" s="1832">
        <f>'PCTC-OEPP 27-28'!F102</f>
        <v>408</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87989</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296498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1500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75896</v>
      </c>
      <c r="D7858" s="2" t="str">
        <f t="shared" si="129"/>
        <v>Error?</v>
      </c>
      <c r="E7858" s="4" t="s">
        <v>1998</v>
      </c>
    </row>
    <row r="7859" spans="1:5" x14ac:dyDescent="0.2">
      <c r="A7859">
        <v>7798</v>
      </c>
      <c r="B7859" s="1832">
        <f>'PCTC-OEPP 27-28'!F127</f>
        <v>60231</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86289</v>
      </c>
      <c r="D7861" s="2" t="str">
        <f t="shared" si="129"/>
        <v>Error?</v>
      </c>
      <c r="E7861" s="4" t="s">
        <v>1998</v>
      </c>
    </row>
    <row r="7862" spans="1:5" x14ac:dyDescent="0.2">
      <c r="A7862">
        <v>7801</v>
      </c>
      <c r="B7862" s="1832">
        <f>'PCTC-OEPP 27-28'!F130</f>
        <v>8509</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7500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8363</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910744.48</v>
      </c>
      <c r="D7877" s="2" t="str">
        <f t="shared" si="129"/>
        <v>Error?</v>
      </c>
      <c r="E7877" s="4" t="s">
        <v>1998</v>
      </c>
    </row>
    <row r="7878" spans="1:5" x14ac:dyDescent="0.2">
      <c r="A7878">
        <v>7817</v>
      </c>
      <c r="B7878" s="1832">
        <f>'PCTC-OEPP 27-28'!F176</f>
        <v>5184195.5199999996</v>
      </c>
      <c r="D7878" s="2" t="str">
        <f t="shared" si="129"/>
        <v>Error?</v>
      </c>
      <c r="E7878" s="4" t="s">
        <v>1998</v>
      </c>
    </row>
    <row r="7879" spans="1:5" x14ac:dyDescent="0.2">
      <c r="A7879">
        <v>7818</v>
      </c>
      <c r="B7879" s="1832">
        <f>'PCTC-OEPP 27-28'!F178</f>
        <v>5616367.5199999996</v>
      </c>
      <c r="D7879" s="2" t="str">
        <f t="shared" si="129"/>
        <v>Error?</v>
      </c>
      <c r="E7879" s="4" t="s">
        <v>1998</v>
      </c>
    </row>
    <row r="7880" spans="1:5" x14ac:dyDescent="0.2">
      <c r="A7880">
        <v>7819</v>
      </c>
      <c r="B7880" s="1832">
        <f>'PCTC-OEPP 27-28'!F180</f>
        <v>10637.059696969696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 xml:space="preserve">  Winthrop Harbor SD 1</v>
      </c>
      <c r="B7" s="2517"/>
      <c r="C7" s="2517"/>
      <c r="D7" s="2555"/>
      <c r="E7" s="2556">
        <f>COVER!A13</f>
        <v>34049001002</v>
      </c>
      <c r="F7" s="2557"/>
      <c r="G7" s="2523" t="str">
        <f>COVER!T23</f>
        <v>066-003289</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Evoy, Kamschulte, Jacobs &amp; Co. LLP</v>
      </c>
      <c r="H9" s="2530"/>
      <c r="I9" s="2530"/>
      <c r="J9" s="2530"/>
      <c r="K9" s="2530"/>
      <c r="L9" s="2531"/>
    </row>
    <row r="10" spans="1:29" ht="13.5" customHeight="1" x14ac:dyDescent="0.2">
      <c r="A10" s="2513" t="str">
        <f>COVER!A38</f>
        <v>Jeffrey McCartney, Ed.S.</v>
      </c>
      <c r="B10" s="2514"/>
      <c r="C10" s="2514"/>
      <c r="D10" s="2514"/>
      <c r="E10" s="2514"/>
      <c r="F10" s="2515"/>
      <c r="G10" s="2529" t="str">
        <f>COVER!T17</f>
        <v>2122 Yeoman Street</v>
      </c>
      <c r="H10" s="2542"/>
      <c r="I10" s="2542"/>
      <c r="J10" s="2542"/>
      <c r="K10" s="2542"/>
      <c r="L10" s="2543"/>
    </row>
    <row r="11" spans="1:29" ht="13.5" customHeight="1" x14ac:dyDescent="0.2">
      <c r="A11" s="963" t="s">
        <v>1502</v>
      </c>
      <c r="B11" s="964"/>
      <c r="C11" s="965"/>
      <c r="D11" s="970"/>
      <c r="E11" s="965"/>
      <c r="F11" s="969"/>
      <c r="G11" s="2529" t="str">
        <f>COVER!T19</f>
        <v>Waukegan</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jaceto@ekjllp.com</v>
      </c>
      <c r="J13" s="2551"/>
      <c r="K13" s="2551"/>
      <c r="L13" s="2552"/>
    </row>
    <row r="14" spans="1:29" ht="13.5" customHeight="1" x14ac:dyDescent="0.2">
      <c r="A14" s="2529" t="str">
        <f>COVER!A19</f>
        <v>500 NORTH AVENUE</v>
      </c>
      <c r="B14" s="2542"/>
      <c r="C14" s="2542"/>
      <c r="D14" s="2542"/>
      <c r="E14" s="2542"/>
      <c r="F14" s="2543"/>
      <c r="G14" s="974" t="s">
        <v>1175</v>
      </c>
      <c r="H14" s="972"/>
      <c r="I14" s="972"/>
      <c r="J14" s="972"/>
      <c r="K14" s="972"/>
      <c r="L14" s="973"/>
    </row>
    <row r="15" spans="1:29" ht="13.5" customHeight="1" x14ac:dyDescent="0.2">
      <c r="A15" s="2529" t="str">
        <f>COVER!A21</f>
        <v xml:space="preserve">WINTHROP HARBOR   </v>
      </c>
      <c r="B15" s="2542"/>
      <c r="C15" s="2542"/>
      <c r="D15" s="2542"/>
      <c r="E15" s="2542"/>
      <c r="F15" s="2543"/>
      <c r="G15" s="2539" t="str">
        <f>COVER!T15</f>
        <v>John D. Aceto, Jr., CPA</v>
      </c>
      <c r="H15" s="2540"/>
      <c r="I15" s="2540"/>
      <c r="J15" s="2540"/>
      <c r="K15" s="2540"/>
      <c r="L15" s="2541"/>
    </row>
    <row r="16" spans="1:29" ht="12.2" customHeight="1" x14ac:dyDescent="0.2">
      <c r="A16" s="2519">
        <f>COVER!A25</f>
        <v>60096</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847-662-8300</v>
      </c>
      <c r="H18" s="2517"/>
      <c r="I18" s="2517"/>
      <c r="J18" s="2517"/>
      <c r="K18" s="2516" t="str">
        <f>COVER!X21</f>
        <v>847-662-8305</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Winthrop Harbor SD 1</v>
      </c>
      <c r="B1" s="2559"/>
      <c r="C1" s="2559"/>
      <c r="D1" s="2559"/>
    </row>
    <row r="2" spans="1:11" s="991" customFormat="1" ht="12.75" x14ac:dyDescent="0.2">
      <c r="A2" s="2560">
        <f>'Single Audit Cover'!E7</f>
        <v>34049001002</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Winthrop Harbor SD 1</v>
      </c>
      <c r="B1" s="2563"/>
      <c r="C1" s="2563"/>
      <c r="D1" s="2563"/>
      <c r="E1" s="2563"/>
    </row>
    <row r="2" spans="1:5" x14ac:dyDescent="0.2">
      <c r="A2" s="2564">
        <f>'Single Audit Cover'!E7</f>
        <v>34049001002</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246788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-8363</v>
      </c>
    </row>
    <row r="19" spans="1:4" ht="13.5" thickBot="1" x14ac:dyDescent="0.25">
      <c r="A19" s="1041" t="s">
        <v>1224</v>
      </c>
      <c r="D19" s="1042">
        <f>SUM(D10:D17)</f>
        <v>238425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238425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238425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Winthrop Harbor SD 1</v>
      </c>
      <c r="C1" s="2567"/>
      <c r="D1" s="2567"/>
      <c r="E1" s="2567"/>
      <c r="F1" s="2567"/>
      <c r="G1" s="2567"/>
      <c r="H1" s="2567"/>
      <c r="I1" s="2567"/>
      <c r="J1" s="2567"/>
      <c r="K1" s="2567"/>
      <c r="L1" s="2567"/>
      <c r="M1" s="2567"/>
    </row>
    <row r="2" spans="2:14" ht="15" x14ac:dyDescent="0.2">
      <c r="B2" s="2568">
        <f>'Single Audit Cover'!E7</f>
        <v>34049001002</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Winthrop Harbor SD 1</v>
      </c>
      <c r="B1" s="2572"/>
      <c r="C1" s="2572"/>
      <c r="D1" s="2572"/>
      <c r="E1" s="2572"/>
      <c r="F1" s="2572"/>
    </row>
    <row r="2" spans="1:7" ht="13.5" customHeight="1" x14ac:dyDescent="0.2">
      <c r="A2" s="2568">
        <f>'Single Audit Cover'!E7</f>
        <v>34049001002</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1706</v>
      </c>
      <c r="B7" s="2571"/>
      <c r="C7" s="2571"/>
      <c r="D7" s="2571"/>
      <c r="E7" s="2571"/>
      <c r="F7" s="257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1708</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1709</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0"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33604</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2058</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Winthrop Harbor SD 1</v>
      </c>
      <c r="C1" s="2588"/>
      <c r="D1" s="2588"/>
      <c r="E1" s="2588"/>
      <c r="F1" s="2588"/>
      <c r="G1" s="2588"/>
      <c r="H1" s="2588"/>
      <c r="I1" s="2588"/>
      <c r="J1" s="1178"/>
    </row>
    <row r="2" spans="2:10" s="295" customFormat="1" ht="12.75" customHeight="1" x14ac:dyDescent="0.2">
      <c r="B2" s="2589">
        <f>'Single Audit Cover'!E7</f>
        <v>34049001002</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5" t="s">
        <v>1728</v>
      </c>
      <c r="D37" s="2596"/>
      <c r="E37" s="2596"/>
      <c r="F37" s="2597"/>
      <c r="G37" s="2595" t="s">
        <v>1575</v>
      </c>
      <c r="H37" s="2596"/>
      <c r="I37" s="2597"/>
    </row>
    <row r="38" spans="2:9" ht="16.5" customHeight="1" x14ac:dyDescent="0.2">
      <c r="B38" s="1200"/>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7" t="str">
        <f>"Total Federal Expenditures for 7/1/"&amp;MID('AFR20'!E2,3,2)-1&amp;"-6/30/"&amp;MID('AFR20'!E2,3,2)</f>
        <v>Total Federal Expenditures for 7/1/19-6/30/20</v>
      </c>
      <c r="C45" s="1918"/>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7"/>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Winthrop Harbor SD 1</v>
      </c>
      <c r="C1" s="2587"/>
      <c r="D1" s="2587"/>
      <c r="E1" s="2587"/>
      <c r="F1" s="2587"/>
      <c r="G1" s="2587"/>
      <c r="H1" s="2587"/>
      <c r="I1" s="2587"/>
      <c r="J1" s="2587"/>
      <c r="K1" s="2587"/>
      <c r="L1" s="1144"/>
      <c r="M1" s="1144"/>
    </row>
    <row r="2" spans="1:13" ht="12" customHeight="1" x14ac:dyDescent="0.2">
      <c r="B2" s="2589">
        <f>'Single Audit Cover'!E7</f>
        <v>34049001002</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Winthrop Harbor SD 1</v>
      </c>
      <c r="C1" s="2614"/>
      <c r="D1" s="2614"/>
      <c r="E1" s="2614"/>
      <c r="F1" s="2614"/>
      <c r="G1" s="2614"/>
      <c r="H1" s="2614"/>
      <c r="I1" s="2614"/>
      <c r="J1" s="2614"/>
      <c r="K1" s="2614"/>
      <c r="L1" s="1221"/>
    </row>
    <row r="2" spans="1:12" ht="12.75" customHeight="1" x14ac:dyDescent="0.2">
      <c r="B2" s="2615">
        <f>'Single Audit Cover'!E7</f>
        <v>34049001002</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 xml:space="preserve">  Winthrop Harbor SD 1</v>
      </c>
      <c r="C1" s="2587"/>
      <c r="D1" s="2587"/>
      <c r="E1" s="1240"/>
    </row>
    <row r="2" spans="2:5" s="1058" customFormat="1" ht="12.75" customHeight="1" x14ac:dyDescent="0.2">
      <c r="B2" s="2589">
        <f>'Single Audit Cover'!E7</f>
        <v>34049001002</v>
      </c>
      <c r="C2" s="2589"/>
      <c r="D2" s="2589"/>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R17" sqref="R1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122884281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3.2550950000000002E-2</v>
      </c>
      <c r="E10" s="333" t="s">
        <v>998</v>
      </c>
      <c r="F10" s="332">
        <v>4.2758900000000001E-3</v>
      </c>
      <c r="G10" s="333" t="s">
        <v>998</v>
      </c>
      <c r="H10" s="332">
        <v>1.18775E-3</v>
      </c>
      <c r="I10" s="333" t="s">
        <v>999</v>
      </c>
      <c r="J10" s="1424">
        <f>ROUND(D10+F10+H10,5)</f>
        <v>3.8010000000000002E-2</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7203140</v>
      </c>
      <c r="E16" s="1547"/>
      <c r="F16" s="1546">
        <f>SUM('Acct Summary 7-8'!C17,'Acct Summary 7-8'!D17,'Acct Summary 7-8'!F17)</f>
        <v>6823950</v>
      </c>
      <c r="G16" s="1547"/>
      <c r="H16" s="1546">
        <f>SUM(D16-F16)</f>
        <v>379190</v>
      </c>
      <c r="I16" s="1548"/>
      <c r="J16" s="1546">
        <f>SUM('Acct Summary 7-8'!C81,'Acct Summary 7-8'!D81,'Acct Summary 7-8'!F81,'Acct Summary 7-8'!I81)</f>
        <v>7780168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8479015.3890000004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5419319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Winthrop Harbor SD 1</v>
      </c>
      <c r="E7" s="368"/>
      <c r="G7" s="247"/>
      <c r="H7" s="364"/>
      <c r="I7" s="364"/>
      <c r="J7" s="364"/>
      <c r="K7" s="364"/>
      <c r="L7" s="307"/>
      <c r="M7" s="307"/>
      <c r="N7" s="307"/>
      <c r="O7" s="307"/>
      <c r="P7" s="307"/>
    </row>
    <row r="8" spans="1:18" ht="12.75" x14ac:dyDescent="0.2">
      <c r="A8" s="307"/>
      <c r="B8" s="307"/>
      <c r="C8" s="366" t="s">
        <v>1115</v>
      </c>
      <c r="D8" s="369">
        <f>COVER!A13</f>
        <v>34049001002</v>
      </c>
      <c r="E8" s="370"/>
      <c r="G8" s="307"/>
      <c r="H8" s="307"/>
      <c r="I8" s="307"/>
      <c r="J8" s="307"/>
      <c r="K8" s="307"/>
      <c r="L8" s="307"/>
      <c r="M8" s="307"/>
      <c r="N8" s="307"/>
      <c r="O8" s="307"/>
      <c r="P8" s="307"/>
    </row>
    <row r="9" spans="1:18" ht="12.75" x14ac:dyDescent="0.2">
      <c r="A9" s="307"/>
      <c r="B9" s="307"/>
      <c r="C9" s="366" t="s">
        <v>708</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7780168</v>
      </c>
      <c r="I12" s="380"/>
      <c r="J12" s="380"/>
      <c r="K12" s="1559">
        <f>TRUNC((H12/H13*100000),5)/100000</f>
        <v>1.0834741726000001</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7180760</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-22380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6823950</v>
      </c>
      <c r="I17" s="380"/>
      <c r="J17" s="389"/>
      <c r="K17" s="1559">
        <f>TRUNC((H17/H18*100000),5)/100000</f>
        <v>0.95031027350000008</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7180760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-22380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7792510</v>
      </c>
      <c r="I24" s="394"/>
      <c r="J24" s="394"/>
      <c r="K24" s="1555">
        <f>TRUNC(((H24/H25*100000)/100000),2)</f>
        <v>411.09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18955.416669999999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3970206.79269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5419319</v>
      </c>
      <c r="I32" s="392"/>
      <c r="J32" s="392"/>
      <c r="K32" s="1555">
        <f>TRUNC(100-((((H32/H33*100))*100)/100),2)</f>
        <v>36.08</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8479015.3890000004</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4" activePane="bottomLeft" state="frozen"/>
      <selection pane="bottomLeft" activeCell="M18" sqref="M1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6522530</v>
      </c>
      <c r="D4" s="1573">
        <v>938234</v>
      </c>
      <c r="E4" s="1573">
        <v>411339</v>
      </c>
      <c r="F4" s="1573">
        <v>242764</v>
      </c>
      <c r="G4" s="1573">
        <v>423623</v>
      </c>
      <c r="H4" s="1573">
        <v>87963</v>
      </c>
      <c r="I4" s="1573">
        <v>88982</v>
      </c>
      <c r="J4" s="1574"/>
      <c r="K4" s="1573"/>
      <c r="L4" s="1573">
        <v>54282</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6522530</v>
      </c>
      <c r="D13" s="1587">
        <f t="shared" ref="D13:L13" si="0">SUM(D4:D12)</f>
        <v>938234</v>
      </c>
      <c r="E13" s="1587">
        <f t="shared" si="0"/>
        <v>411339</v>
      </c>
      <c r="F13" s="1587">
        <f t="shared" si="0"/>
        <v>242764</v>
      </c>
      <c r="G13" s="1587">
        <f t="shared" si="0"/>
        <v>423623</v>
      </c>
      <c r="H13" s="1587">
        <f t="shared" si="0"/>
        <v>87963</v>
      </c>
      <c r="I13" s="1587">
        <f t="shared" si="0"/>
        <v>88982</v>
      </c>
      <c r="J13" s="1587">
        <f t="shared" si="0"/>
        <v>0</v>
      </c>
      <c r="K13" s="1587">
        <f t="shared" si="0"/>
        <v>0</v>
      </c>
      <c r="L13" s="1587">
        <f t="shared" si="0"/>
        <v>54282</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101187</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14866439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1000022</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2839186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390063</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5029256</v>
      </c>
    </row>
    <row r="23" spans="1:14" ht="13.5" customHeight="1" thickBot="1" x14ac:dyDescent="0.25">
      <c r="A23" s="1426" t="s">
        <v>638</v>
      </c>
      <c r="B23" s="1429"/>
      <c r="C23" s="1575"/>
      <c r="D23" s="1575"/>
      <c r="E23" s="1575"/>
      <c r="F23" s="1575"/>
      <c r="G23" s="1575"/>
      <c r="H23" s="1575"/>
      <c r="I23" s="1575"/>
      <c r="J23" s="1575"/>
      <c r="K23" s="1575"/>
      <c r="L23" s="1575"/>
      <c r="M23" s="1594">
        <f>SUM(M15:M22)</f>
        <v>18806834</v>
      </c>
      <c r="N23" s="1594">
        <f>SUM(N21:N22)</f>
        <v>5419319</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v>21276</v>
      </c>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11659</v>
      </c>
      <c r="D31" s="1574"/>
      <c r="E31" s="1574"/>
      <c r="F31" s="1573">
        <v>683</v>
      </c>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54282</v>
      </c>
      <c r="M33" s="1575"/>
      <c r="N33" s="1576"/>
    </row>
    <row r="34" spans="1:14" ht="13.5" customHeight="1" thickBot="1" x14ac:dyDescent="0.25">
      <c r="A34" s="1427" t="s">
        <v>649</v>
      </c>
      <c r="B34" s="1428"/>
      <c r="C34" s="1600">
        <f>SUM(C25:C33)</f>
        <v>11659</v>
      </c>
      <c r="D34" s="1600">
        <f t="shared" ref="D34:K34" si="1">SUM(D25:D33)</f>
        <v>0</v>
      </c>
      <c r="E34" s="1600">
        <f t="shared" si="1"/>
        <v>21276</v>
      </c>
      <c r="F34" s="1600">
        <f t="shared" si="1"/>
        <v>683</v>
      </c>
      <c r="G34" s="1600">
        <f t="shared" si="1"/>
        <v>0</v>
      </c>
      <c r="H34" s="1600">
        <f t="shared" si="1"/>
        <v>0</v>
      </c>
      <c r="I34" s="1600">
        <f t="shared" si="1"/>
        <v>0</v>
      </c>
      <c r="J34" s="1600">
        <f t="shared" si="1"/>
        <v>0</v>
      </c>
      <c r="K34" s="1600">
        <f t="shared" si="1"/>
        <v>0</v>
      </c>
      <c r="L34" s="1601">
        <f>SUM(L33)</f>
        <v>54282</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5419319</v>
      </c>
    </row>
    <row r="37" spans="1:14" ht="13.5" thickBot="1" x14ac:dyDescent="0.25">
      <c r="A37" s="1426" t="s">
        <v>648</v>
      </c>
      <c r="B37" s="1429"/>
      <c r="C37" s="1582"/>
      <c r="D37" s="1582"/>
      <c r="E37" s="1582"/>
      <c r="F37" s="1582"/>
      <c r="G37" s="1582"/>
      <c r="H37" s="1582"/>
      <c r="I37" s="1582"/>
      <c r="J37" s="1582"/>
      <c r="K37" s="1582"/>
      <c r="L37" s="1585"/>
      <c r="M37" s="1575"/>
      <c r="N37" s="1594">
        <f>SUM(N36:N36)</f>
        <v>5419319</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6510871</v>
      </c>
      <c r="D39" s="1573">
        <v>938234</v>
      </c>
      <c r="E39" s="1573">
        <v>390063</v>
      </c>
      <c r="F39" s="1573">
        <v>242081</v>
      </c>
      <c r="G39" s="1573">
        <v>423623</v>
      </c>
      <c r="H39" s="1573">
        <v>87963</v>
      </c>
      <c r="I39" s="1573">
        <v>88982</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18806834</v>
      </c>
      <c r="N40" s="1604"/>
    </row>
    <row r="41" spans="1:14" ht="13.5" customHeight="1" thickBot="1" x14ac:dyDescent="0.25">
      <c r="A41" s="1426" t="s">
        <v>650</v>
      </c>
      <c r="B41" s="1405"/>
      <c r="C41" s="1594">
        <f>(SUM(C34,C37,C38,C39))</f>
        <v>6522530</v>
      </c>
      <c r="D41" s="1594">
        <f t="shared" ref="D41:L41" si="2">SUM(D34,D37,D38:D39)</f>
        <v>938234</v>
      </c>
      <c r="E41" s="1594">
        <f t="shared" si="2"/>
        <v>411339</v>
      </c>
      <c r="F41" s="1594">
        <f t="shared" si="2"/>
        <v>242764</v>
      </c>
      <c r="G41" s="1594">
        <f t="shared" si="2"/>
        <v>423623</v>
      </c>
      <c r="H41" s="1594">
        <f t="shared" si="2"/>
        <v>87963</v>
      </c>
      <c r="I41" s="1594">
        <f t="shared" si="2"/>
        <v>88982</v>
      </c>
      <c r="J41" s="1594">
        <f t="shared" si="2"/>
        <v>0</v>
      </c>
      <c r="K41" s="1594">
        <f t="shared" si="2"/>
        <v>0</v>
      </c>
      <c r="L41" s="1594">
        <f t="shared" si="2"/>
        <v>54282</v>
      </c>
      <c r="M41" s="1594">
        <f>SUM(M40)</f>
        <v>18806834</v>
      </c>
      <c r="N41" s="1594">
        <f>SUM(N37)</f>
        <v>5419319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4314111</v>
      </c>
      <c r="D4" s="1606">
        <f>'Revenues 9-14'!D109</f>
        <v>507274</v>
      </c>
      <c r="E4" s="1606">
        <f>'Revenues 9-14'!E109</f>
        <v>449656</v>
      </c>
      <c r="F4" s="1606">
        <f>'Revenues 9-14'!F109</f>
        <v>144334</v>
      </c>
      <c r="G4" s="1606">
        <f>'Revenues 9-14'!G109</f>
        <v>199566</v>
      </c>
      <c r="H4" s="1606">
        <f>'Revenues 9-14'!H109</f>
        <v>6022</v>
      </c>
      <c r="I4" s="1606">
        <f>'Revenues 9-14'!I109</f>
        <v>58345</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1635790</v>
      </c>
      <c r="D6" s="1607">
        <f>'Revenues 9-14'!D170</f>
        <v>0</v>
      </c>
      <c r="E6" s="1607">
        <f>'Revenues 9-14'!E170</f>
        <v>0</v>
      </c>
      <c r="F6" s="1607">
        <f>'Revenues 9-14'!F170</f>
        <v>296498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246788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6196689</v>
      </c>
      <c r="D8" s="1594">
        <f t="shared" ref="D8:K8" si="0">SUM(D4:D7)</f>
        <v>507274</v>
      </c>
      <c r="E8" s="1594">
        <f t="shared" si="0"/>
        <v>449656</v>
      </c>
      <c r="F8" s="1594">
        <f t="shared" si="0"/>
        <v>440832</v>
      </c>
      <c r="G8" s="1594">
        <f t="shared" si="0"/>
        <v>199566</v>
      </c>
      <c r="H8" s="1594">
        <f t="shared" si="0"/>
        <v>6022</v>
      </c>
      <c r="I8" s="1594">
        <f t="shared" si="0"/>
        <v>58345</v>
      </c>
      <c r="J8" s="1594">
        <f t="shared" si="0"/>
        <v>0</v>
      </c>
      <c r="K8" s="1594">
        <f t="shared" si="0"/>
        <v>0</v>
      </c>
      <c r="L8" s="325"/>
    </row>
    <row r="9" spans="1:13" ht="15.75" thickTop="1" x14ac:dyDescent="0.2">
      <c r="A9" s="449" t="s">
        <v>1634</v>
      </c>
      <c r="B9" s="450">
        <v>3998</v>
      </c>
      <c r="C9" s="1586">
        <v>2495032</v>
      </c>
      <c r="D9" s="1613"/>
      <c r="E9" s="1586"/>
      <c r="F9" s="1586"/>
      <c r="G9" s="1614"/>
      <c r="H9" s="1586"/>
      <c r="I9" s="1609" t="s">
        <v>1159</v>
      </c>
      <c r="J9" s="1583"/>
      <c r="K9" s="1586"/>
      <c r="L9" s="325"/>
    </row>
    <row r="10" spans="1:13" s="452" customFormat="1" ht="13.5" thickBot="1" x14ac:dyDescent="0.25">
      <c r="A10" s="1426" t="s">
        <v>1163</v>
      </c>
      <c r="B10" s="1407"/>
      <c r="C10" s="1594">
        <f>SUM(C8:C9)</f>
        <v>8691721</v>
      </c>
      <c r="D10" s="1594">
        <f t="shared" ref="D10:K10" si="1">SUM(D8:D9)</f>
        <v>507274</v>
      </c>
      <c r="E10" s="1594">
        <f t="shared" si="1"/>
        <v>449656</v>
      </c>
      <c r="F10" s="1594">
        <f t="shared" si="1"/>
        <v>440832</v>
      </c>
      <c r="G10" s="1594">
        <f t="shared" si="1"/>
        <v>199566</v>
      </c>
      <c r="H10" s="1594">
        <f t="shared" si="1"/>
        <v>6022</v>
      </c>
      <c r="I10" s="1594">
        <f t="shared" si="1"/>
        <v>58345</v>
      </c>
      <c r="J10" s="1594">
        <f t="shared" si="1"/>
        <v>0</v>
      </c>
      <c r="K10" s="1594">
        <f t="shared" si="1"/>
        <v>0</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3363818</v>
      </c>
      <c r="D12" s="1616" t="s">
        <v>1159</v>
      </c>
      <c r="E12" s="1575" t="s">
        <v>1159</v>
      </c>
      <c r="F12" s="1575" t="s">
        <v>1159</v>
      </c>
      <c r="G12" s="1606">
        <f>'Expenditures 15-22'!K229</f>
        <v>62119</v>
      </c>
      <c r="H12" s="1617"/>
      <c r="I12" s="1575" t="s">
        <v>1159</v>
      </c>
      <c r="J12" s="1575" t="s">
        <v>1159</v>
      </c>
      <c r="K12" s="1617" t="s">
        <v>1159</v>
      </c>
      <c r="L12" s="325"/>
    </row>
    <row r="13" spans="1:13" ht="15.75" customHeight="1" x14ac:dyDescent="0.2">
      <c r="A13" s="1314" t="s">
        <v>454</v>
      </c>
      <c r="B13" s="1316">
        <v>2000</v>
      </c>
      <c r="C13" s="1607">
        <f>'Expenditures 15-22'!K74</f>
        <v>1518534</v>
      </c>
      <c r="D13" s="1607">
        <f>'Expenditures 15-22'!K129</f>
        <v>391415</v>
      </c>
      <c r="E13" s="1576" t="s">
        <v>1159</v>
      </c>
      <c r="F13" s="1607">
        <f>'Expenditures 15-22'!K184</f>
        <v>582941</v>
      </c>
      <c r="G13" s="1607">
        <f>'Expenditures 15-22'!K279</f>
        <v>74783</v>
      </c>
      <c r="H13" s="1607">
        <f>'Expenditures 15-22'!K303</f>
        <v>18260</v>
      </c>
      <c r="I13" s="1575" t="s">
        <v>1159</v>
      </c>
      <c r="J13" s="1607">
        <f>'Expenditures 15-22'!K330</f>
        <v>0</v>
      </c>
      <c r="K13" s="1618">
        <f>'Expenditures 15-22'!K352</f>
        <v>0</v>
      </c>
      <c r="L13" s="325"/>
    </row>
    <row r="14" spans="1:13" ht="15.75" customHeight="1" x14ac:dyDescent="0.2">
      <c r="A14" s="1314" t="s">
        <v>446</v>
      </c>
      <c r="B14" s="1316">
        <v>3000</v>
      </c>
      <c r="C14" s="1607">
        <f>'Expenditures 15-22'!K75</f>
        <v>6419</v>
      </c>
      <c r="D14" s="1607">
        <f>'Expenditures 15-22'!K130</f>
        <v>0</v>
      </c>
      <c r="E14" s="1616" t="s">
        <v>1159</v>
      </c>
      <c r="F14" s="1607">
        <f>'Expenditures 15-22'!K185</f>
        <v>0</v>
      </c>
      <c r="G14" s="1607">
        <f>'Expenditures 15-22'!K280</f>
        <v>49</v>
      </c>
      <c r="H14" s="1612"/>
      <c r="I14" s="1575" t="s">
        <v>1159</v>
      </c>
      <c r="J14" s="1575" t="s">
        <v>1159</v>
      </c>
      <c r="K14" s="1612" t="s">
        <v>1159</v>
      </c>
      <c r="L14" s="325"/>
    </row>
    <row r="15" spans="1:13" ht="15.75" customHeight="1" x14ac:dyDescent="0.2">
      <c r="A15" s="1314" t="s">
        <v>107</v>
      </c>
      <c r="B15" s="1316">
        <v>4000</v>
      </c>
      <c r="C15" s="1607">
        <f>'Expenditures 15-22'!K102</f>
        <v>960823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496405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5849594</v>
      </c>
      <c r="D17" s="1594">
        <f t="shared" si="2"/>
        <v>391415</v>
      </c>
      <c r="E17" s="1594">
        <f t="shared" si="2"/>
        <v>496405</v>
      </c>
      <c r="F17" s="1594">
        <f t="shared" si="2"/>
        <v>582941</v>
      </c>
      <c r="G17" s="1594">
        <f t="shared" si="2"/>
        <v>136951</v>
      </c>
      <c r="H17" s="1594">
        <f t="shared" si="2"/>
        <v>18260</v>
      </c>
      <c r="I17" s="1575"/>
      <c r="J17" s="1594">
        <f>SUM(J12:J16)</f>
        <v>0</v>
      </c>
      <c r="K17" s="1594">
        <f>SUM(K12:K16)</f>
        <v>0</v>
      </c>
      <c r="L17" s="325"/>
    </row>
    <row r="18" spans="1:12" ht="15" customHeight="1" thickTop="1" x14ac:dyDescent="0.2">
      <c r="A18" s="1430" t="s">
        <v>1635</v>
      </c>
      <c r="B18" s="1431">
        <v>4180</v>
      </c>
      <c r="C18" s="1606">
        <f t="shared" ref="C18:H18" si="3">C9</f>
        <v>2495032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8344626</v>
      </c>
      <c r="D19" s="1594">
        <f t="shared" si="4"/>
        <v>391415</v>
      </c>
      <c r="E19" s="1594">
        <f t="shared" si="4"/>
        <v>496405</v>
      </c>
      <c r="F19" s="1594">
        <f t="shared" si="4"/>
        <v>582941</v>
      </c>
      <c r="G19" s="1594">
        <f t="shared" si="4"/>
        <v>136951</v>
      </c>
      <c r="H19" s="1594">
        <f t="shared" si="4"/>
        <v>18260</v>
      </c>
      <c r="I19" s="1575"/>
      <c r="J19" s="1594">
        <f>SUM(J17:J18)</f>
        <v>0</v>
      </c>
      <c r="K19" s="1594">
        <f>SUM(K17:K18)</f>
        <v>0</v>
      </c>
      <c r="L19" s="325"/>
    </row>
    <row r="20" spans="1:12" ht="16.5" thickTop="1" thickBot="1" x14ac:dyDescent="0.25">
      <c r="A20" s="2232" t="s">
        <v>1636</v>
      </c>
      <c r="B20" s="2233"/>
      <c r="C20" s="1622">
        <f>C8-C17</f>
        <v>347095</v>
      </c>
      <c r="D20" s="1622">
        <f t="shared" ref="D20:K20" si="5">D8-D17</f>
        <v>115859</v>
      </c>
      <c r="E20" s="1622">
        <f t="shared" si="5"/>
        <v>-46749</v>
      </c>
      <c r="F20" s="1622">
        <f t="shared" si="5"/>
        <v>-142109</v>
      </c>
      <c r="G20" s="1622">
        <f t="shared" si="5"/>
        <v>62615</v>
      </c>
      <c r="H20" s="1622">
        <f t="shared" si="5"/>
        <v>-12238</v>
      </c>
      <c r="I20" s="1622">
        <f t="shared" si="5"/>
        <v>58345</v>
      </c>
      <c r="J20" s="1622">
        <f t="shared" si="5"/>
        <v>0</v>
      </c>
      <c r="K20" s="1622">
        <f t="shared" si="5"/>
        <v>0</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15197</v>
      </c>
      <c r="F37" s="1580"/>
      <c r="G37" s="1580"/>
      <c r="H37" s="1580"/>
      <c r="I37" s="1582"/>
      <c r="J37" s="1580"/>
      <c r="K37" s="1580"/>
      <c r="L37" s="453"/>
    </row>
    <row r="38" spans="1:12" s="433" customFormat="1" x14ac:dyDescent="0.2">
      <c r="A38" s="1260" t="s">
        <v>439</v>
      </c>
      <c r="B38" s="454">
        <v>7500</v>
      </c>
      <c r="C38" s="1582"/>
      <c r="D38" s="1582"/>
      <c r="E38" s="1607">
        <f>SUM(C58:D61,H58:H61)</f>
        <v>7183</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22380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v>15197</v>
      </c>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v>7183</v>
      </c>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22380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-22380</v>
      </c>
      <c r="D77" s="1624">
        <f t="shared" si="8"/>
        <v>0</v>
      </c>
      <c r="E77" s="1624">
        <f t="shared" si="8"/>
        <v>22380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324715</v>
      </c>
      <c r="D78" s="1629">
        <f t="shared" si="9"/>
        <v>115859</v>
      </c>
      <c r="E78" s="1629">
        <f t="shared" si="9"/>
        <v>-24369</v>
      </c>
      <c r="F78" s="1629">
        <f t="shared" si="9"/>
        <v>-142109</v>
      </c>
      <c r="G78" s="1629">
        <f t="shared" si="9"/>
        <v>62615</v>
      </c>
      <c r="H78" s="1629">
        <f t="shared" si="9"/>
        <v>-12238</v>
      </c>
      <c r="I78" s="1629">
        <f t="shared" si="9"/>
        <v>58345</v>
      </c>
      <c r="J78" s="1629">
        <f t="shared" si="9"/>
        <v>0</v>
      </c>
      <c r="K78" s="1629">
        <f t="shared" si="9"/>
        <v>0</v>
      </c>
      <c r="L78" s="457"/>
    </row>
    <row r="79" spans="1:12" ht="13.5" thickTop="1" x14ac:dyDescent="0.2">
      <c r="A79" s="1844" t="str">
        <f>"Fund Balances - July 1, "&amp;'AFR20'!E2-1</f>
        <v>Fund Balances - July 1, 2019</v>
      </c>
      <c r="B79" s="458"/>
      <c r="C79" s="1583">
        <v>6186156</v>
      </c>
      <c r="D79" s="1630">
        <v>822375</v>
      </c>
      <c r="E79" s="1630">
        <v>414432</v>
      </c>
      <c r="F79" s="1630">
        <v>384190</v>
      </c>
      <c r="G79" s="1630">
        <v>361008</v>
      </c>
      <c r="H79" s="1630">
        <v>100201</v>
      </c>
      <c r="I79" s="1630">
        <v>30637</v>
      </c>
      <c r="J79" s="1630"/>
      <c r="K79" s="1630"/>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6510871</v>
      </c>
      <c r="D81" s="1594">
        <f>SUM(D78:D80)</f>
        <v>938234</v>
      </c>
      <c r="E81" s="1594">
        <f t="shared" ref="E81:K81" si="10">SUM(E78:E80)</f>
        <v>390063</v>
      </c>
      <c r="F81" s="1594">
        <f t="shared" si="10"/>
        <v>242081</v>
      </c>
      <c r="G81" s="1594">
        <f t="shared" si="10"/>
        <v>423623</v>
      </c>
      <c r="H81" s="1594">
        <f t="shared" si="10"/>
        <v>87963</v>
      </c>
      <c r="I81" s="1594">
        <f t="shared" si="10"/>
        <v>88982</v>
      </c>
      <c r="J81" s="1594">
        <f t="shared" si="10"/>
        <v>0</v>
      </c>
      <c r="K81" s="1594">
        <f t="shared" si="10"/>
        <v>0</v>
      </c>
      <c r="L81" s="325"/>
    </row>
    <row r="82" spans="1:12" ht="0.75" customHeight="1" thickTop="1" thickBot="1" x14ac:dyDescent="0.25">
      <c r="A82" s="459" t="s">
        <v>340</v>
      </c>
      <c r="B82" s="460"/>
      <c r="C82" s="461">
        <f>(C81-C79)</f>
        <v>324715</v>
      </c>
      <c r="D82" s="461">
        <f t="shared" ref="D82:K82" si="11">(D81-D79)</f>
        <v>115859</v>
      </c>
      <c r="E82" s="461">
        <f t="shared" si="11"/>
        <v>-24369</v>
      </c>
      <c r="F82" s="461">
        <f t="shared" si="11"/>
        <v>-142109</v>
      </c>
      <c r="G82" s="461">
        <f t="shared" si="11"/>
        <v>62615</v>
      </c>
      <c r="H82" s="461">
        <f t="shared" si="11"/>
        <v>-12238</v>
      </c>
      <c r="I82" s="461">
        <f t="shared" si="11"/>
        <v>58345</v>
      </c>
      <c r="J82" s="461">
        <f t="shared" si="11"/>
        <v>0</v>
      </c>
      <c r="K82" s="461">
        <f t="shared" si="11"/>
        <v>0</v>
      </c>
    </row>
    <row r="83" spans="1:12" ht="14.25" hidden="1" thickTop="1" thickBot="1" x14ac:dyDescent="0.25">
      <c r="A83" s="462" t="s">
        <v>341</v>
      </c>
      <c r="B83" s="428"/>
      <c r="C83" s="463">
        <f>C82/C81</f>
        <v>4.9872743600664182E-2</v>
      </c>
      <c r="D83" s="463">
        <f t="shared" ref="D83:K83" si="12">D82/D81</f>
        <v>0.12348625183056679</v>
      </c>
      <c r="E83" s="463">
        <f t="shared" si="12"/>
        <v>-6.2474523346228689E-2</v>
      </c>
      <c r="F83" s="463">
        <f t="shared" si="12"/>
        <v>-0.58703078721584923</v>
      </c>
      <c r="G83" s="463">
        <f t="shared" si="12"/>
        <v>0.14780831069134584</v>
      </c>
      <c r="H83" s="463">
        <f t="shared" si="12"/>
        <v>-0.13912667826245126</v>
      </c>
      <c r="I83" s="463">
        <f t="shared" si="12"/>
        <v>0.65569441010541463</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3" activePane="bottomLeft" state="frozen"/>
      <selection pane="bottomLeft" activeCell="C99" sqref="C9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3759950</v>
      </c>
      <c r="D5" s="1586">
        <v>500757</v>
      </c>
      <c r="E5" s="1573">
        <v>444491</v>
      </c>
      <c r="F5" s="1631">
        <v>139099</v>
      </c>
      <c r="G5" s="1573">
        <v>83937</v>
      </c>
      <c r="H5" s="1573"/>
      <c r="I5" s="1573">
        <v>57651</v>
      </c>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385482</v>
      </c>
      <c r="D7" s="1573"/>
      <c r="E7" s="1575"/>
      <c r="F7" s="1574"/>
      <c r="G7" s="1574"/>
      <c r="H7" s="1574"/>
      <c r="I7" s="1575"/>
      <c r="J7" s="1575"/>
      <c r="K7" s="1575"/>
    </row>
    <row r="8" spans="1:12" x14ac:dyDescent="0.2">
      <c r="A8" s="427" t="s">
        <v>410</v>
      </c>
      <c r="B8" s="429">
        <v>1150</v>
      </c>
      <c r="C8" s="1580"/>
      <c r="D8" s="1580"/>
      <c r="E8" s="1582"/>
      <c r="F8" s="1582"/>
      <c r="G8" s="1586">
        <v>83937</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v>6742</v>
      </c>
      <c r="H11" s="1573"/>
      <c r="I11" s="1573"/>
      <c r="J11" s="1574"/>
      <c r="K11" s="1573"/>
      <c r="L11" s="473"/>
    </row>
    <row r="12" spans="1:12" ht="12.75" customHeight="1" thickBot="1" x14ac:dyDescent="0.25">
      <c r="A12" s="1404" t="s">
        <v>29</v>
      </c>
      <c r="B12" s="1405"/>
      <c r="C12" s="1633">
        <f t="shared" ref="C12:K12" si="0">SUM(C5:C11)</f>
        <v>4145432</v>
      </c>
      <c r="D12" s="1633">
        <f t="shared" si="0"/>
        <v>500757</v>
      </c>
      <c r="E12" s="1633">
        <f t="shared" si="0"/>
        <v>444491</v>
      </c>
      <c r="F12" s="1633">
        <f t="shared" si="0"/>
        <v>139099</v>
      </c>
      <c r="G12" s="1633">
        <f t="shared" si="0"/>
        <v>174616</v>
      </c>
      <c r="H12" s="1633">
        <f t="shared" si="0"/>
        <v>0</v>
      </c>
      <c r="I12" s="1633">
        <f t="shared" si="0"/>
        <v>57651</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21440</v>
      </c>
      <c r="D16" s="1573"/>
      <c r="E16" s="1573"/>
      <c r="F16" s="1573"/>
      <c r="G16" s="1573">
        <v>1779</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21440</v>
      </c>
      <c r="D18" s="1635">
        <f t="shared" ref="D18:K18" si="1">SUM(D14:D17)</f>
        <v>0</v>
      </c>
      <c r="E18" s="1635">
        <f t="shared" si="1"/>
        <v>0</v>
      </c>
      <c r="F18" s="1635">
        <f t="shared" si="1"/>
        <v>0</v>
      </c>
      <c r="G18" s="1635">
        <f t="shared" si="1"/>
        <v>1779</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68764</v>
      </c>
      <c r="D65" s="1573">
        <v>6109</v>
      </c>
      <c r="E65" s="1573">
        <v>5165</v>
      </c>
      <c r="F65" s="1574">
        <v>5235</v>
      </c>
      <c r="G65" s="1573">
        <v>23171</v>
      </c>
      <c r="H65" s="1573">
        <v>6022</v>
      </c>
      <c r="I65" s="1573">
        <v>694</v>
      </c>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68764</v>
      </c>
      <c r="D67" s="1594">
        <f t="shared" ref="D67:K67" si="2">SUM(D65:D66)</f>
        <v>6109</v>
      </c>
      <c r="E67" s="1594">
        <f t="shared" si="2"/>
        <v>5165</v>
      </c>
      <c r="F67" s="1594">
        <f t="shared" si="2"/>
        <v>5235</v>
      </c>
      <c r="G67" s="1594">
        <f t="shared" si="2"/>
        <v>23171</v>
      </c>
      <c r="H67" s="1594">
        <f t="shared" si="2"/>
        <v>6022</v>
      </c>
      <c r="I67" s="1594">
        <f t="shared" si="2"/>
        <v>694</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16302</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16302</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f>29200+19886</f>
        <v>49086</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49086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408</v>
      </c>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9539</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2455</v>
      </c>
      <c r="D106" s="1598"/>
      <c r="E106" s="1574"/>
      <c r="F106" s="1574"/>
      <c r="G106" s="1574"/>
      <c r="H106" s="1574"/>
      <c r="I106" s="1617"/>
      <c r="J106" s="1574"/>
      <c r="K106" s="1574"/>
    </row>
    <row r="107" spans="1:12" ht="12.75" customHeight="1" x14ac:dyDescent="0.2">
      <c r="A107" s="427" t="s">
        <v>78</v>
      </c>
      <c r="B107" s="429">
        <v>1999</v>
      </c>
      <c r="C107" s="1632">
        <v>1093</v>
      </c>
      <c r="D107" s="1573"/>
      <c r="E107" s="1573"/>
      <c r="F107" s="1573"/>
      <c r="G107" s="1573"/>
      <c r="H107" s="1573"/>
      <c r="I107" s="1573"/>
      <c r="J107" s="1574"/>
      <c r="K107" s="1573"/>
    </row>
    <row r="108" spans="1:12" ht="12.75" customHeight="1" thickBot="1" x14ac:dyDescent="0.25">
      <c r="A108" s="1406" t="s">
        <v>484</v>
      </c>
      <c r="B108" s="1408"/>
      <c r="C108" s="1633">
        <f>SUM(C95:C107)</f>
        <v>13087</v>
      </c>
      <c r="D108" s="1633">
        <f t="shared" ref="D108:K108" si="3">SUM(D95:D107)</f>
        <v>408</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4314111</v>
      </c>
      <c r="D109" s="1641">
        <f t="shared" si="4"/>
        <v>507274</v>
      </c>
      <c r="E109" s="1641">
        <f t="shared" si="4"/>
        <v>449656</v>
      </c>
      <c r="F109" s="1641">
        <f t="shared" si="4"/>
        <v>144334</v>
      </c>
      <c r="G109" s="1641">
        <f t="shared" si="4"/>
        <v>199566</v>
      </c>
      <c r="H109" s="1641">
        <f t="shared" si="4"/>
        <v>6022</v>
      </c>
      <c r="I109" s="1641">
        <f t="shared" si="4"/>
        <v>58345</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1430394</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1430394</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54608</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31026</v>
      </c>
      <c r="D128" s="1640"/>
      <c r="E128" s="1575"/>
      <c r="F128" s="1573"/>
      <c r="G128" s="1575"/>
      <c r="H128" s="1575"/>
      <c r="I128" s="1575"/>
      <c r="J128" s="1575"/>
      <c r="K128" s="1575"/>
    </row>
    <row r="129" spans="1:11" ht="12.75" customHeight="1" x14ac:dyDescent="0.2">
      <c r="A129" s="427" t="s">
        <v>1430</v>
      </c>
      <c r="B129" s="478">
        <v>3130</v>
      </c>
      <c r="C129" s="1573">
        <v>2355</v>
      </c>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87989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785</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v>296498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296498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115122</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f>1500</f>
        <v>1500</v>
      </c>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205396</v>
      </c>
      <c r="D169" s="1658">
        <f t="shared" si="6"/>
        <v>0</v>
      </c>
      <c r="E169" s="1658">
        <f t="shared" si="6"/>
        <v>0</v>
      </c>
      <c r="F169" s="1658">
        <f t="shared" si="6"/>
        <v>296498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1635790</v>
      </c>
      <c r="D170" s="1641">
        <f t="shared" si="7"/>
        <v>0</v>
      </c>
      <c r="E170" s="1641">
        <f t="shared" si="7"/>
        <v>0</v>
      </c>
      <c r="F170" s="1641">
        <f t="shared" si="7"/>
        <v>296498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50600</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3487</v>
      </c>
      <c r="D193" s="1575"/>
      <c r="E193" s="1640"/>
      <c r="F193" s="1575"/>
      <c r="G193" s="1664"/>
      <c r="H193" s="1575"/>
      <c r="I193" s="1575"/>
      <c r="J193" s="1575"/>
      <c r="K193" s="1575"/>
    </row>
    <row r="194" spans="1:11" ht="12.75" customHeight="1" x14ac:dyDescent="0.2">
      <c r="A194" s="427" t="s">
        <v>1434</v>
      </c>
      <c r="B194" s="429">
        <v>4225</v>
      </c>
      <c r="C194" s="1632">
        <v>21809</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75896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60231</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60231</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86289</v>
      </c>
      <c r="D213" s="1573"/>
      <c r="E213" s="1575"/>
      <c r="F213" s="1573"/>
      <c r="G213" s="1573"/>
      <c r="H213" s="1575"/>
      <c r="I213" s="1575"/>
      <c r="J213" s="1575"/>
      <c r="K213" s="1575"/>
    </row>
    <row r="214" spans="1:11" ht="12.75" customHeight="1" x14ac:dyDescent="0.2">
      <c r="A214" s="427" t="s">
        <v>1045</v>
      </c>
      <c r="B214" s="429">
        <v>4625</v>
      </c>
      <c r="C214" s="1632">
        <v>8509</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94798</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7500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v>8363</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246788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246788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6196689</v>
      </c>
      <c r="D268" s="1641">
        <f t="shared" si="12"/>
        <v>507274</v>
      </c>
      <c r="E268" s="1641">
        <f t="shared" si="12"/>
        <v>449656</v>
      </c>
      <c r="F268" s="1641">
        <f t="shared" si="12"/>
        <v>440832</v>
      </c>
      <c r="G268" s="1641">
        <f t="shared" si="12"/>
        <v>199566</v>
      </c>
      <c r="H268" s="1641">
        <f t="shared" si="12"/>
        <v>6022</v>
      </c>
      <c r="I268" s="1641">
        <f t="shared" si="12"/>
        <v>58345</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2" activePane="bottomLeft" state="frozen"/>
      <selection pane="bottomLeft" activeCell="H52" sqref="H5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1791171</v>
      </c>
      <c r="D5" s="1573">
        <v>492573</v>
      </c>
      <c r="E5" s="1573">
        <v>36273</v>
      </c>
      <c r="F5" s="1573">
        <v>223739</v>
      </c>
      <c r="G5" s="1573">
        <v>11006</v>
      </c>
      <c r="H5" s="1573"/>
      <c r="I5" s="1574"/>
      <c r="J5" s="1574"/>
      <c r="K5" s="1672">
        <f>SUM(C5:J5)</f>
        <v>2554762</v>
      </c>
      <c r="L5" s="1573">
        <v>2431195</v>
      </c>
    </row>
    <row r="6" spans="1:14" x14ac:dyDescent="0.2">
      <c r="A6" s="1274" t="s">
        <v>1416</v>
      </c>
      <c r="B6" s="503" t="s">
        <v>1414</v>
      </c>
      <c r="C6" s="1582"/>
      <c r="D6" s="1582"/>
      <c r="E6" s="1573"/>
      <c r="F6" s="1582"/>
      <c r="G6" s="1582"/>
      <c r="H6" s="1582"/>
      <c r="I6" s="1582"/>
      <c r="J6" s="1582"/>
      <c r="K6" s="1672">
        <f>SUM(C6,E6)</f>
        <v>0</v>
      </c>
      <c r="L6" s="1573">
        <v>21000</v>
      </c>
    </row>
    <row r="7" spans="1:14" x14ac:dyDescent="0.2">
      <c r="A7" s="1274" t="s">
        <v>162</v>
      </c>
      <c r="B7" s="503" t="s">
        <v>961</v>
      </c>
      <c r="C7" s="1574"/>
      <c r="D7" s="1574"/>
      <c r="E7" s="1574"/>
      <c r="F7" s="1574"/>
      <c r="G7" s="1574"/>
      <c r="H7" s="1574"/>
      <c r="I7" s="1574"/>
      <c r="J7" s="1574"/>
      <c r="K7" s="1672">
        <f t="shared" ref="K7:K32" si="0">SUM(C7:J7)</f>
        <v>0</v>
      </c>
      <c r="L7" s="1573">
        <v>535675</v>
      </c>
    </row>
    <row r="8" spans="1:14" x14ac:dyDescent="0.2">
      <c r="A8" s="1274" t="s">
        <v>163</v>
      </c>
      <c r="B8" s="503">
        <v>1200</v>
      </c>
      <c r="C8" s="1573">
        <v>515322</v>
      </c>
      <c r="D8" s="1573">
        <v>131338</v>
      </c>
      <c r="E8" s="1573">
        <v>9438</v>
      </c>
      <c r="F8" s="1573">
        <v>7276</v>
      </c>
      <c r="G8" s="1573"/>
      <c r="H8" s="1573"/>
      <c r="I8" s="1574"/>
      <c r="J8" s="1574"/>
      <c r="K8" s="1672">
        <f t="shared" si="0"/>
        <v>663374</v>
      </c>
      <c r="L8" s="1573">
        <v>660900</v>
      </c>
    </row>
    <row r="9" spans="1:14" x14ac:dyDescent="0.2">
      <c r="A9" s="1274" t="s">
        <v>716</v>
      </c>
      <c r="B9" s="503" t="s">
        <v>962</v>
      </c>
      <c r="C9" s="1574">
        <v>31523</v>
      </c>
      <c r="D9" s="1574">
        <v>7745</v>
      </c>
      <c r="E9" s="1574"/>
      <c r="F9" s="1574"/>
      <c r="G9" s="1574"/>
      <c r="H9" s="1574"/>
      <c r="I9" s="1574"/>
      <c r="J9" s="1574"/>
      <c r="K9" s="1672">
        <f t="shared" si="0"/>
        <v>39268</v>
      </c>
      <c r="L9" s="1573">
        <v>46150</v>
      </c>
    </row>
    <row r="10" spans="1:14" x14ac:dyDescent="0.2">
      <c r="A10" s="1274" t="s">
        <v>717</v>
      </c>
      <c r="B10" s="503">
        <v>1250</v>
      </c>
      <c r="C10" s="1573"/>
      <c r="D10" s="1573"/>
      <c r="E10" s="1573">
        <v>25730</v>
      </c>
      <c r="F10" s="1573"/>
      <c r="G10" s="1573">
        <v>14161</v>
      </c>
      <c r="H10" s="1573"/>
      <c r="I10" s="1574"/>
      <c r="J10" s="1574"/>
      <c r="K10" s="1672">
        <f t="shared" si="0"/>
        <v>39891</v>
      </c>
      <c r="L10" s="1573">
        <v>61275</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58965</v>
      </c>
      <c r="D14" s="1573">
        <v>7558</v>
      </c>
      <c r="E14" s="1573"/>
      <c r="F14" s="1573"/>
      <c r="G14" s="1573"/>
      <c r="H14" s="1573"/>
      <c r="I14" s="1574"/>
      <c r="J14" s="1574"/>
      <c r="K14" s="1672">
        <f t="shared" si="0"/>
        <v>66523</v>
      </c>
      <c r="L14" s="1573">
        <v>71550</v>
      </c>
    </row>
    <row r="15" spans="1:14" x14ac:dyDescent="0.2">
      <c r="A15" s="1274" t="s">
        <v>958</v>
      </c>
      <c r="B15" s="503">
        <v>1600</v>
      </c>
      <c r="C15" s="1573"/>
      <c r="D15" s="1573"/>
      <c r="E15" s="1573"/>
      <c r="F15" s="1573"/>
      <c r="G15" s="1573"/>
      <c r="H15" s="1573"/>
      <c r="I15" s="1574"/>
      <c r="J15" s="1574"/>
      <c r="K15" s="1672">
        <f t="shared" si="0"/>
        <v>0</v>
      </c>
      <c r="L15" s="1573">
        <v>100</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2396981</v>
      </c>
      <c r="D33" s="1674">
        <f t="shared" ref="D33:L33" si="1">SUM(D5:D32)</f>
        <v>639214</v>
      </c>
      <c r="E33" s="1674">
        <f t="shared" si="1"/>
        <v>71441</v>
      </c>
      <c r="F33" s="1674">
        <f t="shared" si="1"/>
        <v>231015</v>
      </c>
      <c r="G33" s="1674">
        <f t="shared" si="1"/>
        <v>25167</v>
      </c>
      <c r="H33" s="1674">
        <f t="shared" si="1"/>
        <v>0</v>
      </c>
      <c r="I33" s="1674">
        <f t="shared" si="1"/>
        <v>0</v>
      </c>
      <c r="J33" s="1674">
        <f t="shared" si="1"/>
        <v>0</v>
      </c>
      <c r="K33" s="1674">
        <f t="shared" si="1"/>
        <v>3363818</v>
      </c>
      <c r="L33" s="1674">
        <f t="shared" si="1"/>
        <v>3827845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77859</v>
      </c>
      <c r="D36" s="1586">
        <v>22323</v>
      </c>
      <c r="E36" s="1586"/>
      <c r="F36" s="1586"/>
      <c r="G36" s="1586"/>
      <c r="H36" s="1586"/>
      <c r="I36" s="1574"/>
      <c r="J36" s="1574"/>
      <c r="K36" s="1672">
        <f t="shared" ref="K36:K41" si="2">SUM(C36:J36)</f>
        <v>100182</v>
      </c>
      <c r="L36" s="1573">
        <v>107750</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18165</v>
      </c>
      <c r="D38" s="1573"/>
      <c r="E38" s="1573">
        <v>40540</v>
      </c>
      <c r="F38" s="1573">
        <v>1439</v>
      </c>
      <c r="G38" s="1573"/>
      <c r="H38" s="1573"/>
      <c r="I38" s="1574"/>
      <c r="J38" s="1574"/>
      <c r="K38" s="1672">
        <f t="shared" si="2"/>
        <v>60144</v>
      </c>
      <c r="L38" s="1573">
        <v>61000</v>
      </c>
    </row>
    <row r="39" spans="1:14" x14ac:dyDescent="0.2">
      <c r="A39" s="1274" t="s">
        <v>197</v>
      </c>
      <c r="B39" s="503">
        <v>2140</v>
      </c>
      <c r="C39" s="1573"/>
      <c r="D39" s="1573"/>
      <c r="E39" s="1573">
        <v>266</v>
      </c>
      <c r="F39" s="1573"/>
      <c r="G39" s="1573"/>
      <c r="H39" s="1573"/>
      <c r="I39" s="1574"/>
      <c r="J39" s="1574"/>
      <c r="K39" s="1672">
        <f t="shared" si="2"/>
        <v>266</v>
      </c>
      <c r="L39" s="1573">
        <v>1750</v>
      </c>
    </row>
    <row r="40" spans="1:14" x14ac:dyDescent="0.2">
      <c r="A40" s="1274" t="s">
        <v>198</v>
      </c>
      <c r="B40" s="503">
        <v>2150</v>
      </c>
      <c r="C40" s="1573"/>
      <c r="D40" s="1573"/>
      <c r="E40" s="1573"/>
      <c r="F40" s="1573">
        <v>80</v>
      </c>
      <c r="G40" s="1573"/>
      <c r="H40" s="1573"/>
      <c r="I40" s="1574"/>
      <c r="J40" s="1574"/>
      <c r="K40" s="1672">
        <f t="shared" si="2"/>
        <v>80</v>
      </c>
      <c r="L40" s="1573">
        <v>106500</v>
      </c>
    </row>
    <row r="41" spans="1:14" x14ac:dyDescent="0.2">
      <c r="A41" s="1274" t="s">
        <v>1650</v>
      </c>
      <c r="B41" s="503">
        <v>2190</v>
      </c>
      <c r="C41" s="1573"/>
      <c r="D41" s="1573"/>
      <c r="E41" s="1573"/>
      <c r="F41" s="1573"/>
      <c r="G41" s="1573"/>
      <c r="H41" s="1573">
        <v>1970</v>
      </c>
      <c r="I41" s="1574"/>
      <c r="J41" s="1574"/>
      <c r="K41" s="1672">
        <f t="shared" si="2"/>
        <v>1970</v>
      </c>
      <c r="L41" s="1573">
        <v>500</v>
      </c>
    </row>
    <row r="42" spans="1:14" ht="12.75" customHeight="1" thickBot="1" x14ac:dyDescent="0.25">
      <c r="A42" s="1380" t="s">
        <v>556</v>
      </c>
      <c r="B42" s="1381" t="s">
        <v>711</v>
      </c>
      <c r="C42" s="1674">
        <f>SUM(C36:C41)</f>
        <v>96024</v>
      </c>
      <c r="D42" s="1674">
        <f t="shared" ref="D42:L42" si="3">SUM(D36:D41)</f>
        <v>22323</v>
      </c>
      <c r="E42" s="1674">
        <f t="shared" si="3"/>
        <v>40806</v>
      </c>
      <c r="F42" s="1674">
        <f t="shared" si="3"/>
        <v>1519</v>
      </c>
      <c r="G42" s="1674">
        <f t="shared" si="3"/>
        <v>0</v>
      </c>
      <c r="H42" s="1674">
        <f t="shared" si="3"/>
        <v>1970</v>
      </c>
      <c r="I42" s="1674">
        <f t="shared" si="3"/>
        <v>0</v>
      </c>
      <c r="J42" s="1674">
        <f t="shared" si="3"/>
        <v>0</v>
      </c>
      <c r="K42" s="1674">
        <f t="shared" si="3"/>
        <v>162642</v>
      </c>
      <c r="L42" s="1674">
        <f t="shared" si="3"/>
        <v>277500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4760</v>
      </c>
      <c r="F44" s="1586"/>
      <c r="G44" s="1586"/>
      <c r="H44" s="1586"/>
      <c r="I44" s="1574"/>
      <c r="J44" s="1574"/>
      <c r="K44" s="1678">
        <f>SUM(C44:J44)</f>
        <v>4760</v>
      </c>
      <c r="L44" s="1586">
        <v>24611</v>
      </c>
    </row>
    <row r="45" spans="1:14" x14ac:dyDescent="0.2">
      <c r="A45" s="1274" t="s">
        <v>810</v>
      </c>
      <c r="B45" s="503">
        <v>2220</v>
      </c>
      <c r="C45" s="1573">
        <v>89243</v>
      </c>
      <c r="D45" s="1573">
        <v>11890</v>
      </c>
      <c r="E45" s="1573"/>
      <c r="F45" s="1573">
        <v>6056</v>
      </c>
      <c r="G45" s="1573"/>
      <c r="H45" s="1573"/>
      <c r="I45" s="1574"/>
      <c r="J45" s="1574"/>
      <c r="K45" s="1678">
        <f>SUM(C45:J45)</f>
        <v>107189</v>
      </c>
      <c r="L45" s="1573">
        <v>107800</v>
      </c>
    </row>
    <row r="46" spans="1:14" x14ac:dyDescent="0.2">
      <c r="A46" s="1274" t="s">
        <v>811</v>
      </c>
      <c r="B46" s="503">
        <v>2230</v>
      </c>
      <c r="C46" s="1573">
        <v>124834</v>
      </c>
      <c r="D46" s="1573">
        <v>23819</v>
      </c>
      <c r="E46" s="1573">
        <f>14450+33506</f>
        <v>47956</v>
      </c>
      <c r="F46" s="1573">
        <v>21378</v>
      </c>
      <c r="G46" s="1573">
        <v>27359</v>
      </c>
      <c r="H46" s="1573"/>
      <c r="I46" s="1574"/>
      <c r="J46" s="1574"/>
      <c r="K46" s="1678">
        <f>SUM(C46:J46)</f>
        <v>245346</v>
      </c>
      <c r="L46" s="1573">
        <v>374000</v>
      </c>
    </row>
    <row r="47" spans="1:14" ht="12.75" customHeight="1" thickBot="1" x14ac:dyDescent="0.25">
      <c r="A47" s="1380" t="s">
        <v>557</v>
      </c>
      <c r="B47" s="1381" t="s">
        <v>32</v>
      </c>
      <c r="C47" s="1674">
        <f>SUM(C44:C46)</f>
        <v>214077</v>
      </c>
      <c r="D47" s="1674">
        <f t="shared" ref="D47:K47" si="4">SUM(D44:D46)</f>
        <v>35709</v>
      </c>
      <c r="E47" s="1674">
        <f t="shared" si="4"/>
        <v>52716</v>
      </c>
      <c r="F47" s="1674">
        <f t="shared" si="4"/>
        <v>27434</v>
      </c>
      <c r="G47" s="1674">
        <f t="shared" si="4"/>
        <v>27359</v>
      </c>
      <c r="H47" s="1674">
        <f t="shared" si="4"/>
        <v>0</v>
      </c>
      <c r="I47" s="1674">
        <f t="shared" si="4"/>
        <v>0</v>
      </c>
      <c r="J47" s="1674">
        <f t="shared" si="4"/>
        <v>0</v>
      </c>
      <c r="K47" s="1674">
        <f t="shared" si="4"/>
        <v>357295</v>
      </c>
      <c r="L47" s="1674">
        <f>SUM(L44:L46)</f>
        <v>506411</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27659</v>
      </c>
      <c r="D49" s="1586"/>
      <c r="E49" s="1586">
        <v>77731</v>
      </c>
      <c r="F49" s="1586">
        <v>5321</v>
      </c>
      <c r="G49" s="1586"/>
      <c r="H49" s="1586">
        <v>2994</v>
      </c>
      <c r="I49" s="1574"/>
      <c r="J49" s="1574"/>
      <c r="K49" s="1678">
        <f>SUM(C49:J49)</f>
        <v>113705</v>
      </c>
      <c r="L49" s="1586">
        <v>213500</v>
      </c>
    </row>
    <row r="50" spans="1:14" x14ac:dyDescent="0.2">
      <c r="A50" s="1274" t="s">
        <v>813</v>
      </c>
      <c r="B50" s="503">
        <v>2320</v>
      </c>
      <c r="C50" s="1573">
        <v>152512</v>
      </c>
      <c r="D50" s="1573">
        <v>61349</v>
      </c>
      <c r="E50" s="1573">
        <v>6060</v>
      </c>
      <c r="F50" s="1573">
        <v>32</v>
      </c>
      <c r="G50" s="1573"/>
      <c r="H50" s="1573">
        <v>2764</v>
      </c>
      <c r="I50" s="1574"/>
      <c r="J50" s="1574"/>
      <c r="K50" s="1678">
        <f>SUM(C50:J50)</f>
        <v>222717</v>
      </c>
      <c r="L50" s="1573">
        <v>263050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180171</v>
      </c>
      <c r="D53" s="1674">
        <f t="shared" ref="D53:L53" si="5">SUM(D49:D52)</f>
        <v>61349</v>
      </c>
      <c r="E53" s="1674">
        <f t="shared" si="5"/>
        <v>83791</v>
      </c>
      <c r="F53" s="1674">
        <f t="shared" si="5"/>
        <v>5353</v>
      </c>
      <c r="G53" s="1674">
        <f t="shared" si="5"/>
        <v>0</v>
      </c>
      <c r="H53" s="1674">
        <f t="shared" si="5"/>
        <v>5758</v>
      </c>
      <c r="I53" s="1674">
        <f t="shared" si="5"/>
        <v>0</v>
      </c>
      <c r="J53" s="1674">
        <f t="shared" si="5"/>
        <v>0</v>
      </c>
      <c r="K53" s="1674">
        <f t="shared" si="5"/>
        <v>336422</v>
      </c>
      <c r="L53" s="1674">
        <f t="shared" si="5"/>
        <v>476550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251895</v>
      </c>
      <c r="D55" s="1586">
        <v>86352</v>
      </c>
      <c r="E55" s="1586">
        <v>31180</v>
      </c>
      <c r="F55" s="1586">
        <v>590</v>
      </c>
      <c r="G55" s="1586"/>
      <c r="H55" s="1586"/>
      <c r="I55" s="1574"/>
      <c r="J55" s="1574"/>
      <c r="K55" s="1678">
        <f>SUM(C55:J55)</f>
        <v>370017</v>
      </c>
      <c r="L55" s="1586">
        <v>407121</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251895</v>
      </c>
      <c r="D57" s="1679">
        <f t="shared" ref="D57:K57" si="6">SUM(D55:D56)</f>
        <v>86352</v>
      </c>
      <c r="E57" s="1679">
        <f t="shared" si="6"/>
        <v>31180</v>
      </c>
      <c r="F57" s="1679">
        <f t="shared" si="6"/>
        <v>590</v>
      </c>
      <c r="G57" s="1679">
        <f t="shared" si="6"/>
        <v>0</v>
      </c>
      <c r="H57" s="1679">
        <f t="shared" si="6"/>
        <v>0</v>
      </c>
      <c r="I57" s="1679">
        <f t="shared" si="6"/>
        <v>0</v>
      </c>
      <c r="J57" s="1679">
        <f t="shared" si="6"/>
        <v>0</v>
      </c>
      <c r="K57" s="1679">
        <f t="shared" si="6"/>
        <v>370017</v>
      </c>
      <c r="L57" s="1674">
        <f>SUM(L55:L56)</f>
        <v>407121</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85180</v>
      </c>
      <c r="D60" s="1573">
        <v>19770</v>
      </c>
      <c r="E60" s="1573">
        <v>12321</v>
      </c>
      <c r="F60" s="1573">
        <v>13576</v>
      </c>
      <c r="G60" s="1573"/>
      <c r="H60" s="1573"/>
      <c r="I60" s="1574"/>
      <c r="J60" s="1574"/>
      <c r="K60" s="1678">
        <f t="shared" si="7"/>
        <v>130847</v>
      </c>
      <c r="L60" s="1573">
        <v>134000</v>
      </c>
      <c r="M60" s="501"/>
      <c r="N60" s="501"/>
    </row>
    <row r="61" spans="1:14" s="321" customFormat="1" x14ac:dyDescent="0.2">
      <c r="A61" s="1274" t="s">
        <v>195</v>
      </c>
      <c r="B61" s="503">
        <v>2540</v>
      </c>
      <c r="C61" s="1573"/>
      <c r="D61" s="1573"/>
      <c r="E61" s="1573">
        <f>6899+20321</f>
        <v>27220</v>
      </c>
      <c r="F61" s="1573"/>
      <c r="G61" s="1573"/>
      <c r="H61" s="1573"/>
      <c r="I61" s="1574"/>
      <c r="J61" s="1574"/>
      <c r="K61" s="1678">
        <f t="shared" si="7"/>
        <v>27220</v>
      </c>
      <c r="L61" s="1573">
        <v>34200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32916</v>
      </c>
      <c r="D63" s="1573">
        <v>2662</v>
      </c>
      <c r="E63" s="1573">
        <v>80703</v>
      </c>
      <c r="F63" s="1573">
        <v>17810</v>
      </c>
      <c r="G63" s="1573"/>
      <c r="H63" s="1573"/>
      <c r="I63" s="1574"/>
      <c r="J63" s="1574"/>
      <c r="K63" s="1678">
        <f t="shared" si="7"/>
        <v>134091</v>
      </c>
      <c r="L63" s="1573">
        <v>221700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118096</v>
      </c>
      <c r="D65" s="1674">
        <f t="shared" ref="D65:L65" si="8">SUM(D59:D64)</f>
        <v>22432</v>
      </c>
      <c r="E65" s="1674">
        <f t="shared" si="8"/>
        <v>120244</v>
      </c>
      <c r="F65" s="1674">
        <f t="shared" si="8"/>
        <v>31386</v>
      </c>
      <c r="G65" s="1674">
        <f t="shared" si="8"/>
        <v>0</v>
      </c>
      <c r="H65" s="1674">
        <f t="shared" si="8"/>
        <v>0</v>
      </c>
      <c r="I65" s="1674">
        <f t="shared" si="8"/>
        <v>0</v>
      </c>
      <c r="J65" s="1674">
        <f t="shared" si="8"/>
        <v>0</v>
      </c>
      <c r="K65" s="1674">
        <f t="shared" si="8"/>
        <v>292158</v>
      </c>
      <c r="L65" s="1674">
        <f t="shared" si="8"/>
        <v>389900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860263</v>
      </c>
      <c r="D74" s="1681">
        <f t="shared" ref="D74:K74" si="10">SUM(D42,D47,D53,D57,D65,D72,D73)</f>
        <v>228165</v>
      </c>
      <c r="E74" s="1681">
        <f t="shared" si="10"/>
        <v>328737</v>
      </c>
      <c r="F74" s="1681">
        <f t="shared" si="10"/>
        <v>66282</v>
      </c>
      <c r="G74" s="1681">
        <f t="shared" si="10"/>
        <v>27359</v>
      </c>
      <c r="H74" s="1681">
        <f t="shared" si="10"/>
        <v>7728</v>
      </c>
      <c r="I74" s="1681">
        <f t="shared" si="10"/>
        <v>0</v>
      </c>
      <c r="J74" s="1681">
        <f t="shared" si="10"/>
        <v>0</v>
      </c>
      <c r="K74" s="1681">
        <f t="shared" si="10"/>
        <v>1518534</v>
      </c>
      <c r="L74" s="1681">
        <f>SUM(L42,L47,L53,L57,L65,L72,L73)</f>
        <v>2057482</v>
      </c>
    </row>
    <row r="75" spans="1:14" s="254" customFormat="1" ht="15.75" customHeight="1" thickTop="1" thickBot="1" x14ac:dyDescent="0.25">
      <c r="A75" s="1348" t="s">
        <v>47</v>
      </c>
      <c r="B75" s="1349" t="s">
        <v>571</v>
      </c>
      <c r="C75" s="1649">
        <v>3000</v>
      </c>
      <c r="D75" s="1649">
        <v>422</v>
      </c>
      <c r="E75" s="1649">
        <v>2280</v>
      </c>
      <c r="F75" s="1649">
        <v>717</v>
      </c>
      <c r="G75" s="1649"/>
      <c r="H75" s="1649"/>
      <c r="I75" s="1627"/>
      <c r="J75" s="1627"/>
      <c r="K75" s="1674">
        <f>SUM(C75:J75)</f>
        <v>6419</v>
      </c>
      <c r="L75" s="1651">
        <v>5930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960823</v>
      </c>
      <c r="F79" s="1673"/>
      <c r="G79" s="1673"/>
      <c r="H79" s="1573"/>
      <c r="I79" s="1582"/>
      <c r="J79" s="1582"/>
      <c r="K79" s="1672">
        <f t="shared" si="11"/>
        <v>960823</v>
      </c>
      <c r="L79" s="1573">
        <v>500000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960823</v>
      </c>
      <c r="F84" s="1673"/>
      <c r="G84" s="1673"/>
      <c r="H84" s="1674">
        <f>SUM(H78:H83)</f>
        <v>0</v>
      </c>
      <c r="I84" s="1582"/>
      <c r="J84" s="1582"/>
      <c r="K84" s="1674">
        <f>SUM(K78:K83)</f>
        <v>960823</v>
      </c>
      <c r="L84" s="1674">
        <f>SUM(L78:L83)</f>
        <v>500000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960823</v>
      </c>
      <c r="F102" s="1673"/>
      <c r="G102" s="1673"/>
      <c r="H102" s="1681">
        <f>SUM(H84,H92,H100,H101)</f>
        <v>0</v>
      </c>
      <c r="I102" s="1582"/>
      <c r="J102" s="1582"/>
      <c r="K102" s="1681">
        <f>SUM(K84,K92,K100,K101)</f>
        <v>960823</v>
      </c>
      <c r="L102" s="1681">
        <f>SUM(L84,L92,L100,L101)</f>
        <v>500000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3260244</v>
      </c>
      <c r="D114" s="1674">
        <f t="shared" ref="D114:K114" si="13">SUM(D33,D74,D75,D102,D112,D113)</f>
        <v>867801</v>
      </c>
      <c r="E114" s="1674">
        <f t="shared" si="13"/>
        <v>1363281</v>
      </c>
      <c r="F114" s="1674">
        <f t="shared" si="13"/>
        <v>298014</v>
      </c>
      <c r="G114" s="1674">
        <f t="shared" si="13"/>
        <v>52526</v>
      </c>
      <c r="H114" s="1674">
        <f>SUM(H33,H74,H75,H102,H112,H113)</f>
        <v>7728</v>
      </c>
      <c r="I114" s="1674">
        <f t="shared" si="13"/>
        <v>0</v>
      </c>
      <c r="J114" s="1674">
        <f t="shared" si="13"/>
        <v>0</v>
      </c>
      <c r="K114" s="1674">
        <f t="shared" si="13"/>
        <v>5849594</v>
      </c>
      <c r="L114" s="1674">
        <f>SUM(L33,L74,L75,L102,L112,L113)</f>
        <v>6391257</v>
      </c>
    </row>
    <row r="115" spans="1:14" ht="13.5" thickTop="1" x14ac:dyDescent="0.2">
      <c r="A115" s="2262" t="s">
        <v>989</v>
      </c>
      <c r="B115" s="2263"/>
      <c r="C115" s="1675"/>
      <c r="D115" s="1675"/>
      <c r="E115" s="1675"/>
      <c r="F115" s="1675"/>
      <c r="G115" s="1675"/>
      <c r="H115" s="1675"/>
      <c r="I115" s="1675"/>
      <c r="J115" s="1675"/>
      <c r="K115" s="1689">
        <f>'Revenues 9-14'!C268-'Expenditures 15-22'!K114</f>
        <v>347095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132638</v>
      </c>
      <c r="F123" s="1573"/>
      <c r="G123" s="1573">
        <v>22525</v>
      </c>
      <c r="H123" s="1573"/>
      <c r="I123" s="1574"/>
      <c r="J123" s="1574"/>
      <c r="K123" s="1674">
        <f>SUM(C123:J123)</f>
        <v>155163</v>
      </c>
      <c r="L123" s="1573">
        <v>276500</v>
      </c>
    </row>
    <row r="124" spans="1:14" ht="14.25" thickTop="1" thickBot="1" x14ac:dyDescent="0.25">
      <c r="A124" s="1274" t="s">
        <v>195</v>
      </c>
      <c r="B124" s="503">
        <v>2540</v>
      </c>
      <c r="C124" s="1573">
        <v>77477</v>
      </c>
      <c r="D124" s="1573">
        <v>4887</v>
      </c>
      <c r="E124" s="1573">
        <v>47706</v>
      </c>
      <c r="F124" s="1573">
        <v>106182</v>
      </c>
      <c r="G124" s="1573"/>
      <c r="H124" s="1573"/>
      <c r="I124" s="1574"/>
      <c r="J124" s="1574"/>
      <c r="K124" s="1674">
        <f>SUM(C124:J124)</f>
        <v>236252</v>
      </c>
      <c r="L124" s="1573">
        <v>293500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77477</v>
      </c>
      <c r="D127" s="1674">
        <f t="shared" ref="D127:L127" si="14">SUM(D122:D126)</f>
        <v>4887</v>
      </c>
      <c r="E127" s="1674">
        <f t="shared" si="14"/>
        <v>180344</v>
      </c>
      <c r="F127" s="1674">
        <f t="shared" si="14"/>
        <v>106182</v>
      </c>
      <c r="G127" s="1674">
        <f t="shared" si="14"/>
        <v>22525</v>
      </c>
      <c r="H127" s="1674">
        <f t="shared" si="14"/>
        <v>0</v>
      </c>
      <c r="I127" s="1674">
        <f t="shared" si="14"/>
        <v>0</v>
      </c>
      <c r="J127" s="1674">
        <f t="shared" si="14"/>
        <v>0</v>
      </c>
      <c r="K127" s="1674">
        <f t="shared" si="14"/>
        <v>391415</v>
      </c>
      <c r="L127" s="1674">
        <f t="shared" si="14"/>
        <v>570000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77477</v>
      </c>
      <c r="D129" s="1681">
        <f t="shared" ref="D129:L129" si="15">SUM(D120,D127,D128)</f>
        <v>4887</v>
      </c>
      <c r="E129" s="1681">
        <f t="shared" si="15"/>
        <v>180344</v>
      </c>
      <c r="F129" s="1681">
        <f t="shared" si="15"/>
        <v>106182</v>
      </c>
      <c r="G129" s="1681">
        <f t="shared" si="15"/>
        <v>22525</v>
      </c>
      <c r="H129" s="1681">
        <f t="shared" si="15"/>
        <v>0</v>
      </c>
      <c r="I129" s="1681">
        <f t="shared" si="15"/>
        <v>0</v>
      </c>
      <c r="J129" s="1681">
        <f t="shared" si="15"/>
        <v>0</v>
      </c>
      <c r="K129" s="1681">
        <f t="shared" si="15"/>
        <v>391415</v>
      </c>
      <c r="L129" s="1681">
        <f t="shared" si="15"/>
        <v>570000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59"/>
      <c r="C151" s="1674">
        <f>SUM(C129,C130,C139,C149,C150)</f>
        <v>77477</v>
      </c>
      <c r="D151" s="1674">
        <f t="shared" ref="D151:K151" si="16">SUM(D129,D130,D139,D149,D150)</f>
        <v>4887</v>
      </c>
      <c r="E151" s="1674">
        <f t="shared" si="16"/>
        <v>180344</v>
      </c>
      <c r="F151" s="1674">
        <f t="shared" si="16"/>
        <v>106182</v>
      </c>
      <c r="G151" s="1674">
        <f t="shared" si="16"/>
        <v>22525</v>
      </c>
      <c r="H151" s="1674">
        <f t="shared" si="16"/>
        <v>0</v>
      </c>
      <c r="I151" s="1674">
        <f t="shared" si="16"/>
        <v>0</v>
      </c>
      <c r="J151" s="1674">
        <f t="shared" si="16"/>
        <v>0</v>
      </c>
      <c r="K151" s="1674">
        <f t="shared" si="16"/>
        <v>391415</v>
      </c>
      <c r="L151" s="1674">
        <f>SUM(L129,L130,L139,L149,L150)</f>
        <v>570000</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115859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f>208575+7183</f>
        <v>215758</v>
      </c>
      <c r="I169" s="1673"/>
      <c r="J169" s="1673"/>
      <c r="K169" s="1672">
        <f>SUM(C169:H169)</f>
        <v>215758</v>
      </c>
      <c r="L169" s="1695">
        <v>535000</v>
      </c>
    </row>
    <row r="170" spans="1:14" ht="33.75" customHeight="1" x14ac:dyDescent="0.2">
      <c r="A170" s="543" t="s">
        <v>1651</v>
      </c>
      <c r="B170" s="545" t="s">
        <v>31</v>
      </c>
      <c r="C170" s="1673"/>
      <c r="D170" s="1673"/>
      <c r="E170" s="1673"/>
      <c r="F170" s="1673"/>
      <c r="G170" s="1673"/>
      <c r="H170" s="1646">
        <f>265000+15197</f>
        <v>280197</v>
      </c>
      <c r="I170" s="1673"/>
      <c r="J170" s="1673"/>
      <c r="K170" s="1672">
        <f>SUM(C170:J170)</f>
        <v>280197</v>
      </c>
      <c r="L170" s="1646">
        <v>96000</v>
      </c>
    </row>
    <row r="171" spans="1:14" ht="15.75" customHeight="1" x14ac:dyDescent="0.2">
      <c r="A171" s="507" t="s">
        <v>761</v>
      </c>
      <c r="B171" s="546" t="s">
        <v>84</v>
      </c>
      <c r="C171" s="1673"/>
      <c r="D171" s="1673"/>
      <c r="E171" s="1573"/>
      <c r="F171" s="1673"/>
      <c r="G171" s="1673"/>
      <c r="H171" s="1646">
        <v>450</v>
      </c>
      <c r="I171" s="1582"/>
      <c r="J171" s="1673"/>
      <c r="K171" s="1672">
        <f>SUM(C171:J171)</f>
        <v>450</v>
      </c>
      <c r="L171" s="1646"/>
    </row>
    <row r="172" spans="1:14" ht="12.75" customHeight="1" thickBot="1" x14ac:dyDescent="0.25">
      <c r="A172" s="1380" t="s">
        <v>633</v>
      </c>
      <c r="B172" s="1381" t="s">
        <v>489</v>
      </c>
      <c r="C172" s="1673"/>
      <c r="D172" s="1673"/>
      <c r="E172" s="1681">
        <f>SUM(E168,E169,E170,E171)</f>
        <v>0</v>
      </c>
      <c r="F172" s="1673"/>
      <c r="G172" s="1673"/>
      <c r="H172" s="1681">
        <f>SUM(H168,H169,H170,H171)</f>
        <v>496405</v>
      </c>
      <c r="I172" s="1684"/>
      <c r="J172" s="1673"/>
      <c r="K172" s="1681">
        <f>SUM(K168,K169,K170,K171)</f>
        <v>496405</v>
      </c>
      <c r="L172" s="1681">
        <f>SUM(L168,L169,L170,L171)</f>
        <v>631000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496405</v>
      </c>
      <c r="I174" s="1684"/>
      <c r="J174" s="1673"/>
      <c r="K174" s="1681">
        <f>SUM(K160,K172,K173)</f>
        <v>496405</v>
      </c>
      <c r="L174" s="1681">
        <f>SUM(L160,L172,L173)</f>
        <v>631000</v>
      </c>
    </row>
    <row r="175" spans="1:14" ht="13.5" thickTop="1" x14ac:dyDescent="0.2">
      <c r="A175" s="2262" t="s">
        <v>989</v>
      </c>
      <c r="B175" s="2263"/>
      <c r="C175" s="1673"/>
      <c r="D175" s="1673"/>
      <c r="E175" s="1673"/>
      <c r="F175" s="1673"/>
      <c r="G175" s="1673"/>
      <c r="H175" s="1675"/>
      <c r="I175" s="1673"/>
      <c r="J175" s="1673"/>
      <c r="K175" s="1689">
        <f>'Revenues 9-14'!E268-'Expenditures 15-22'!K174</f>
        <v>-46749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28024</v>
      </c>
      <c r="D182" s="1573">
        <v>2449</v>
      </c>
      <c r="E182" s="1573">
        <v>550790</v>
      </c>
      <c r="F182" s="1573">
        <v>1678</v>
      </c>
      <c r="G182" s="1573"/>
      <c r="H182" s="1573"/>
      <c r="I182" s="1574"/>
      <c r="J182" s="1574"/>
      <c r="K182" s="1672">
        <f>SUM(C182:J182)</f>
        <v>582941</v>
      </c>
      <c r="L182" s="1573">
        <v>355610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28024</v>
      </c>
      <c r="D184" s="1681">
        <f t="shared" ref="D184:J184" si="17">SUM(D180,D182,D183)</f>
        <v>2449</v>
      </c>
      <c r="E184" s="1681">
        <f t="shared" si="17"/>
        <v>550790</v>
      </c>
      <c r="F184" s="1681">
        <f t="shared" si="17"/>
        <v>1678</v>
      </c>
      <c r="G184" s="1681">
        <f t="shared" si="17"/>
        <v>0</v>
      </c>
      <c r="H184" s="1681">
        <f t="shared" si="17"/>
        <v>0</v>
      </c>
      <c r="I184" s="1681">
        <f t="shared" si="17"/>
        <v>0</v>
      </c>
      <c r="J184" s="1681">
        <f t="shared" si="17"/>
        <v>0</v>
      </c>
      <c r="K184" s="1681">
        <f>SUM(K180,K182,K183)</f>
        <v>582941</v>
      </c>
      <c r="L184" s="1681">
        <f>SUM(L180, L182:L183)</f>
        <v>355610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28024</v>
      </c>
      <c r="D210" s="1674">
        <f>SUM(D184,D185)</f>
        <v>2449</v>
      </c>
      <c r="E210" s="1674">
        <f>SUM(E184,E185,E196)</f>
        <v>550790</v>
      </c>
      <c r="F210" s="1674">
        <f>SUM(F184,F185)</f>
        <v>1678</v>
      </c>
      <c r="G210" s="1674">
        <f>SUM(G184,G185)</f>
        <v>0</v>
      </c>
      <c r="H210" s="1674">
        <f>SUM(H184,H185,H196,H208,H209)</f>
        <v>0</v>
      </c>
      <c r="I210" s="1674">
        <f>SUM(I184,I185)</f>
        <v>0</v>
      </c>
      <c r="J210" s="1674">
        <f>SUM(J184,J185)</f>
        <v>0</v>
      </c>
      <c r="K210" s="1672">
        <f>SUM(K184,K185,K196,K208,K209)</f>
        <v>582941</v>
      </c>
      <c r="L210" s="1674">
        <f>SUM(L184,L185,L196,L208,L209)</f>
        <v>355610</v>
      </c>
    </row>
    <row r="211" spans="1:14" ht="13.5" thickTop="1" x14ac:dyDescent="0.2">
      <c r="A211" s="2262" t="s">
        <v>989</v>
      </c>
      <c r="B211" s="2263"/>
      <c r="C211" s="1675"/>
      <c r="D211" s="1675"/>
      <c r="E211" s="1675"/>
      <c r="F211" s="1675"/>
      <c r="G211" s="1675"/>
      <c r="H211" s="1675"/>
      <c r="I211" s="1673"/>
      <c r="J211" s="1673"/>
      <c r="K211" s="1689">
        <f>'Revenues 9-14'!F268-'Expenditures 15-22'!K210</f>
        <v>-142109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f>35536+4987</f>
        <v>40523</v>
      </c>
      <c r="E215" s="1673"/>
      <c r="F215" s="1673"/>
      <c r="G215" s="1673"/>
      <c r="H215" s="1673"/>
      <c r="I215" s="1673"/>
      <c r="J215" s="1673"/>
      <c r="K215" s="1672">
        <f>D215</f>
        <v>40523</v>
      </c>
      <c r="L215" s="1573">
        <v>38750</v>
      </c>
    </row>
    <row r="216" spans="1:14" x14ac:dyDescent="0.2">
      <c r="A216" s="1274" t="s">
        <v>162</v>
      </c>
      <c r="B216" s="503" t="s">
        <v>961</v>
      </c>
      <c r="C216" s="1673"/>
      <c r="D216" s="1574"/>
      <c r="E216" s="1673"/>
      <c r="F216" s="1673"/>
      <c r="G216" s="1673"/>
      <c r="H216" s="1673"/>
      <c r="I216" s="1673"/>
      <c r="J216" s="1673"/>
      <c r="K216" s="1672">
        <f t="shared" ref="K216:K228" si="19">D216</f>
        <v>0</v>
      </c>
      <c r="L216" s="1573">
        <v>8900</v>
      </c>
    </row>
    <row r="217" spans="1:14" x14ac:dyDescent="0.2">
      <c r="A217" s="1274" t="s">
        <v>163</v>
      </c>
      <c r="B217" s="503">
        <v>1200</v>
      </c>
      <c r="C217" s="1673"/>
      <c r="D217" s="1573">
        <v>19966</v>
      </c>
      <c r="E217" s="1673"/>
      <c r="F217" s="1673"/>
      <c r="G217" s="1673"/>
      <c r="H217" s="1673"/>
      <c r="I217" s="1673"/>
      <c r="J217" s="1673"/>
      <c r="K217" s="1672">
        <f t="shared" si="19"/>
        <v>19966</v>
      </c>
      <c r="L217" s="1573">
        <v>18000</v>
      </c>
    </row>
    <row r="218" spans="1:14" x14ac:dyDescent="0.2">
      <c r="A218" s="1274" t="s">
        <v>276</v>
      </c>
      <c r="B218" s="503" t="s">
        <v>962</v>
      </c>
      <c r="C218" s="1673"/>
      <c r="D218" s="1574">
        <v>559</v>
      </c>
      <c r="E218" s="1673"/>
      <c r="F218" s="1673"/>
      <c r="G218" s="1673"/>
      <c r="H218" s="1673"/>
      <c r="I218" s="1673"/>
      <c r="J218" s="1673"/>
      <c r="K218" s="1672">
        <f t="shared" si="19"/>
        <v>559</v>
      </c>
      <c r="L218" s="1573">
        <v>250</v>
      </c>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1071</v>
      </c>
      <c r="E223" s="1673"/>
      <c r="F223" s="1673"/>
      <c r="G223" s="1673"/>
      <c r="H223" s="1673"/>
      <c r="I223" s="1673"/>
      <c r="J223" s="1673"/>
      <c r="K223" s="1672">
        <f t="shared" si="19"/>
        <v>1071</v>
      </c>
      <c r="L223" s="1573">
        <v>1400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62119</v>
      </c>
      <c r="E229" s="1673"/>
      <c r="F229" s="1673"/>
      <c r="G229" s="1673"/>
      <c r="H229" s="1673"/>
      <c r="I229" s="1673"/>
      <c r="J229" s="1673"/>
      <c r="K229" s="1674">
        <f>SUM(K215:K228)</f>
        <v>62119</v>
      </c>
      <c r="L229" s="1674">
        <f>SUM(L215:L228)</f>
        <v>67300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1259</v>
      </c>
      <c r="E232" s="1673"/>
      <c r="F232" s="1673"/>
      <c r="G232" s="1673"/>
      <c r="H232" s="1673"/>
      <c r="I232" s="1673"/>
      <c r="J232" s="1673"/>
      <c r="K232" s="1672">
        <f t="shared" ref="K232:K237" si="20">D232</f>
        <v>1259</v>
      </c>
      <c r="L232" s="1573">
        <v>850</v>
      </c>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f>2921</f>
        <v>2921</v>
      </c>
      <c r="E234" s="1673"/>
      <c r="F234" s="1673"/>
      <c r="G234" s="1673"/>
      <c r="H234" s="1673"/>
      <c r="I234" s="1673"/>
      <c r="J234" s="1673"/>
      <c r="K234" s="1672">
        <f t="shared" si="20"/>
        <v>2921</v>
      </c>
      <c r="L234" s="1573">
        <v>3750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4180</v>
      </c>
      <c r="E238" s="1673"/>
      <c r="F238" s="1673"/>
      <c r="G238" s="1673"/>
      <c r="H238" s="1673"/>
      <c r="I238" s="1673"/>
      <c r="J238" s="1673"/>
      <c r="K238" s="1674">
        <f>SUM(K232:K237)</f>
        <v>4180</v>
      </c>
      <c r="L238" s="1674">
        <f>SUM(L232:L237)</f>
        <v>4600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5001</v>
      </c>
      <c r="E241" s="1673"/>
      <c r="F241" s="1673"/>
      <c r="G241" s="1673"/>
      <c r="H241" s="1673"/>
      <c r="I241" s="1673"/>
      <c r="J241" s="1673"/>
      <c r="K241" s="1678">
        <f>D241</f>
        <v>5001</v>
      </c>
      <c r="L241" s="1573">
        <v>5300</v>
      </c>
    </row>
    <row r="242" spans="1:12" x14ac:dyDescent="0.2">
      <c r="A242" s="1274" t="s">
        <v>811</v>
      </c>
      <c r="B242" s="503">
        <v>2230</v>
      </c>
      <c r="C242" s="1673"/>
      <c r="D242" s="1573">
        <v>11191</v>
      </c>
      <c r="E242" s="1673"/>
      <c r="F242" s="1673"/>
      <c r="G242" s="1673"/>
      <c r="H242" s="1673"/>
      <c r="I242" s="1673"/>
      <c r="J242" s="1673"/>
      <c r="K242" s="1678">
        <f>D242</f>
        <v>11191</v>
      </c>
      <c r="L242" s="1573">
        <v>1250</v>
      </c>
    </row>
    <row r="243" spans="1:12" ht="12.75" customHeight="1" thickBot="1" x14ac:dyDescent="0.25">
      <c r="A243" s="1396" t="s">
        <v>557</v>
      </c>
      <c r="B243" s="1397">
        <v>2200</v>
      </c>
      <c r="C243" s="1673"/>
      <c r="D243" s="1674">
        <f>SUM(D240:D242)</f>
        <v>16192</v>
      </c>
      <c r="E243" s="1673"/>
      <c r="F243" s="1673"/>
      <c r="G243" s="1673"/>
      <c r="H243" s="1673"/>
      <c r="I243" s="1673"/>
      <c r="J243" s="1673"/>
      <c r="K243" s="1674">
        <f>SUM(K240:K242)</f>
        <v>16192</v>
      </c>
      <c r="L243" s="1674">
        <f>SUM(L240:L242)</f>
        <v>6550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4747</v>
      </c>
      <c r="E245" s="1673"/>
      <c r="F245" s="1673"/>
      <c r="G245" s="1673"/>
      <c r="H245" s="1673"/>
      <c r="I245" s="1673"/>
      <c r="J245" s="1673"/>
      <c r="K245" s="1678">
        <f>D245</f>
        <v>4747</v>
      </c>
      <c r="L245" s="1586">
        <v>4850</v>
      </c>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4747</v>
      </c>
      <c r="E257" s="1673"/>
      <c r="F257" s="1673"/>
      <c r="G257" s="1673"/>
      <c r="H257" s="1673"/>
      <c r="I257" s="1673"/>
      <c r="J257" s="1673"/>
      <c r="K257" s="1674">
        <f>SUM(K245:K256)</f>
        <v>4747</v>
      </c>
      <c r="L257" s="1674">
        <f>SUM(L245:L256)</f>
        <v>4850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14929</v>
      </c>
      <c r="E259" s="1673"/>
      <c r="F259" s="1673"/>
      <c r="G259" s="1673"/>
      <c r="H259" s="1673"/>
      <c r="I259" s="1673"/>
      <c r="J259" s="1673"/>
      <c r="K259" s="1678">
        <f>D259</f>
        <v>14929</v>
      </c>
      <c r="L259" s="1586">
        <v>17200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14929</v>
      </c>
      <c r="E261" s="1673"/>
      <c r="F261" s="1673"/>
      <c r="G261" s="1673"/>
      <c r="H261" s="1673"/>
      <c r="I261" s="1673"/>
      <c r="J261" s="1673"/>
      <c r="K261" s="1674">
        <f>SUM(K259:K260)</f>
        <v>14929</v>
      </c>
      <c r="L261" s="1674">
        <f>SUM(L259:L260)</f>
        <v>17200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17469</v>
      </c>
      <c r="E264" s="1673"/>
      <c r="F264" s="1673"/>
      <c r="G264" s="1673"/>
      <c r="H264" s="1673"/>
      <c r="I264" s="1673"/>
      <c r="J264" s="1673"/>
      <c r="K264" s="1678">
        <f t="shared" ref="K264:K269" si="22">D264</f>
        <v>17469</v>
      </c>
      <c r="L264" s="1573">
        <v>16300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13696</v>
      </c>
      <c r="E266" s="1673"/>
      <c r="F266" s="1673"/>
      <c r="G266" s="1673"/>
      <c r="H266" s="1673"/>
      <c r="I266" s="1673"/>
      <c r="J266" s="1673"/>
      <c r="K266" s="1678">
        <f t="shared" si="22"/>
        <v>13696</v>
      </c>
      <c r="L266" s="1573">
        <v>12750</v>
      </c>
    </row>
    <row r="267" spans="1:14" x14ac:dyDescent="0.2">
      <c r="A267" s="1274" t="s">
        <v>947</v>
      </c>
      <c r="B267" s="503">
        <v>2550</v>
      </c>
      <c r="C267" s="1673"/>
      <c r="D267" s="1573">
        <v>1575</v>
      </c>
      <c r="E267" s="1673"/>
      <c r="F267" s="1673"/>
      <c r="G267" s="1673"/>
      <c r="H267" s="1673"/>
      <c r="I267" s="1673"/>
      <c r="J267" s="1673"/>
      <c r="K267" s="1678">
        <f t="shared" si="22"/>
        <v>1575</v>
      </c>
      <c r="L267" s="1573">
        <v>1600</v>
      </c>
    </row>
    <row r="268" spans="1:14" x14ac:dyDescent="0.2">
      <c r="A268" s="1274" t="s">
        <v>100</v>
      </c>
      <c r="B268" s="503">
        <v>2560</v>
      </c>
      <c r="C268" s="1673"/>
      <c r="D268" s="1573">
        <v>1995</v>
      </c>
      <c r="E268" s="1673"/>
      <c r="F268" s="1673"/>
      <c r="G268" s="1673"/>
      <c r="H268" s="1673"/>
      <c r="I268" s="1673"/>
      <c r="J268" s="1673"/>
      <c r="K268" s="1678">
        <f t="shared" si="22"/>
        <v>1995</v>
      </c>
      <c r="L268" s="1573">
        <v>2700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34735</v>
      </c>
      <c r="E270" s="1673"/>
      <c r="F270" s="1673"/>
      <c r="G270" s="1673"/>
      <c r="H270" s="1673"/>
      <c r="I270" s="1673"/>
      <c r="J270" s="1673"/>
      <c r="K270" s="1674">
        <f>SUM(K263:K269)</f>
        <v>34735</v>
      </c>
      <c r="L270" s="1674">
        <f>SUM(L263:L269)</f>
        <v>33350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74783</v>
      </c>
      <c r="E279" s="1673"/>
      <c r="F279" s="1673"/>
      <c r="G279" s="1673"/>
      <c r="H279" s="1673"/>
      <c r="I279" s="1673"/>
      <c r="J279" s="1673"/>
      <c r="K279" s="1681">
        <f>SUM(K238,K243,K257,K261,K270,K277,K278)</f>
        <v>74783</v>
      </c>
      <c r="L279" s="1681">
        <f>SUM(L238,L243,L257,L261,L270,L277,L278)</f>
        <v>66550</v>
      </c>
    </row>
    <row r="280" spans="1:12" ht="15.75" customHeight="1" thickTop="1" thickBot="1" x14ac:dyDescent="0.25">
      <c r="A280" s="1362" t="s">
        <v>870</v>
      </c>
      <c r="B280" s="1351">
        <v>3000</v>
      </c>
      <c r="C280" s="1673"/>
      <c r="D280" s="1651">
        <v>49</v>
      </c>
      <c r="E280" s="1673"/>
      <c r="F280" s="1673"/>
      <c r="G280" s="1673"/>
      <c r="H280" s="1673"/>
      <c r="I280" s="1673"/>
      <c r="J280" s="1673"/>
      <c r="K280" s="1687">
        <f>D280</f>
        <v>49</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136951</v>
      </c>
      <c r="E295" s="1673"/>
      <c r="F295" s="1673"/>
      <c r="G295" s="1673"/>
      <c r="H295" s="1674">
        <f>H293</f>
        <v>0</v>
      </c>
      <c r="I295" s="1673"/>
      <c r="J295" s="1673"/>
      <c r="K295" s="1674">
        <f>SUM(K229,K279,K280,K285,K293,K294)</f>
        <v>136951</v>
      </c>
      <c r="L295" s="1674">
        <f>SUM(L229,L279,L280,L285,L293,L294)</f>
        <v>133850</v>
      </c>
    </row>
    <row r="296" spans="1:14" ht="13.5" thickTop="1" x14ac:dyDescent="0.2">
      <c r="A296" s="2262" t="s">
        <v>989</v>
      </c>
      <c r="B296" s="2263"/>
      <c r="C296" s="1673"/>
      <c r="D296" s="1675"/>
      <c r="E296" s="1673"/>
      <c r="F296" s="1673"/>
      <c r="G296" s="1673"/>
      <c r="H296" s="1707"/>
      <c r="I296" s="1673"/>
      <c r="J296" s="1673"/>
      <c r="K296" s="1689">
        <f>'Revenues 9-14'!G268-'Expenditures 15-22'!K295</f>
        <v>62615</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18260</v>
      </c>
      <c r="H301" s="1573"/>
      <c r="I301" s="1574"/>
      <c r="J301" s="1574"/>
      <c r="K301" s="1672">
        <f>SUM(C301:J301)</f>
        <v>18260</v>
      </c>
      <c r="L301" s="1574">
        <v>192500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18260</v>
      </c>
      <c r="H303" s="1681">
        <f t="shared" si="23"/>
        <v>0</v>
      </c>
      <c r="I303" s="1681">
        <f t="shared" si="23"/>
        <v>0</v>
      </c>
      <c r="J303" s="1681">
        <f t="shared" si="23"/>
        <v>0</v>
      </c>
      <c r="K303" s="1681">
        <f t="shared" si="23"/>
        <v>18260</v>
      </c>
      <c r="L303" s="1681">
        <f t="shared" si="23"/>
        <v>192500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18260</v>
      </c>
      <c r="H312" s="1674">
        <f>SUM(H303,H310)</f>
        <v>0</v>
      </c>
      <c r="I312" s="1674">
        <f>SUM(I303)</f>
        <v>0</v>
      </c>
      <c r="J312" s="1674">
        <f>SUM(J303)</f>
        <v>0</v>
      </c>
      <c r="K312" s="1674">
        <f>SUM(K303,K310,K311)</f>
        <v>18260</v>
      </c>
      <c r="L312" s="1674">
        <f>SUM(L303,L310,L311)</f>
        <v>192500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-12238</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2" t="s">
        <v>989</v>
      </c>
      <c r="B368" s="2263"/>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purl.org/dc/terms/"/>
    <ds:schemaRef ds:uri="http://www.w3.org/XML/1998/namespace"/>
    <ds:schemaRef ds:uri="http://schemas.microsoft.com/office/infopath/2007/PartnerControls"/>
    <ds:schemaRef ds:uri="http://purl.org/dc/elements/1.1/"/>
    <ds:schemaRef ds:uri="http://schemas.microsoft.com/office/2006/documentManagement/types"/>
    <ds:schemaRef ds:uri="http://schemas.microsoft.com/office/2006/metadata/properties"/>
    <ds:schemaRef ds:uri="http://schemas.openxmlformats.org/package/2006/metadata/core-properties"/>
    <ds:schemaRef ds:uri="4d435f69-8686-490b-bd6d-b153bf22ab50"/>
    <ds:schemaRef ds:uri="d21dc803-237d-4c68-8692-8d731fd29118"/>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2020-10-28T20:00:49Z</cp:lastPrinted>
  <dcterms:created xsi:type="dcterms:W3CDTF">2003-10-29T19:06:34Z</dcterms:created>
  <dcterms:modified xsi:type="dcterms:W3CDTF">2020-11-10T02:31:16Z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