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9F1D3C-2D23-4F60-89F7-7C3DFC766691}" xr6:coauthVersionLast="36" xr6:coauthVersionMax="36" xr10:uidLastSave="{00000000-0000-0000-0000-000000000000}"/>
  <bookViews>
    <workbookView xWindow="28680" yWindow="-120" windowWidth="21840" windowHeight="13140" tabRatio="959" xr2:uid="{00000000-000D-0000-FFFF-FFFF00000000}"/>
  </bookViews>
  <sheets>
    <sheet name="COVER" sheetId="24" r:id="rId1"/>
    <sheet name="Sheet1" sheetId="185"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 i="5" l="1"/>
  <c r="C65" i="5"/>
  <c r="C107" i="5"/>
  <c r="F124" i="29" l="1"/>
  <c r="G124" i="29"/>
  <c r="F65" i="5" l="1"/>
  <c r="C5" i="3"/>
  <c r="C9" i="4" l="1"/>
  <c r="E13" i="179" l="1"/>
  <c r="L13" i="179"/>
  <c r="L14" i="179"/>
  <c r="L15" i="179"/>
  <c r="F16" i="179"/>
  <c r="L16" i="179"/>
  <c r="E17" i="179"/>
  <c r="L17" i="179"/>
  <c r="F18" i="179"/>
  <c r="L18" i="179"/>
  <c r="L19" i="179"/>
  <c r="E11" i="179"/>
  <c r="G39" i="3" l="1"/>
  <c r="D16" i="5"/>
  <c r="G4" i="3"/>
  <c r="D4" i="3"/>
  <c r="E124" i="29" l="1"/>
  <c r="I13" i="11"/>
  <c r="I8" i="11"/>
  <c r="M19" i="3" l="1"/>
  <c r="D8" i="11"/>
  <c r="G301" i="29"/>
  <c r="D12" i="11" l="1"/>
  <c r="E322" i="29"/>
  <c r="G322" i="29"/>
  <c r="G182" i="29"/>
  <c r="E182" i="29"/>
  <c r="C200" i="5" l="1"/>
  <c r="D5" i="29" l="1"/>
  <c r="C14" i="29"/>
  <c r="E5" i="29"/>
  <c r="E78" i="29"/>
  <c r="C55" i="29"/>
  <c r="C5" i="29"/>
  <c r="E41" i="29"/>
  <c r="E79" i="29"/>
  <c r="F63" i="29"/>
  <c r="E63" i="29"/>
  <c r="D63" i="29"/>
  <c r="C63" i="29"/>
  <c r="E61" i="29"/>
  <c r="D61" i="29"/>
  <c r="C61" i="29"/>
  <c r="E60" i="29"/>
  <c r="F55" i="29"/>
  <c r="E55" i="29"/>
  <c r="D55" i="29"/>
  <c r="F50" i="29"/>
  <c r="D50" i="29"/>
  <c r="C50" i="29"/>
  <c r="E49" i="29"/>
  <c r="F45" i="29"/>
  <c r="D45" i="29"/>
  <c r="C45" i="29"/>
  <c r="E44" i="29"/>
  <c r="D44" i="29"/>
  <c r="C44" i="29"/>
  <c r="D41" i="29"/>
  <c r="C41" i="29"/>
  <c r="D37" i="29"/>
  <c r="C36" i="29"/>
  <c r="D36" i="29"/>
  <c r="D17" i="29"/>
  <c r="F14" i="29"/>
  <c r="E14" i="29"/>
  <c r="D14" i="29"/>
  <c r="F13" i="29"/>
  <c r="D13" i="29"/>
  <c r="C13" i="29"/>
  <c r="D10" i="29"/>
  <c r="C10" i="29"/>
  <c r="D8" i="29"/>
  <c r="C8" i="29"/>
  <c r="D7" i="29"/>
  <c r="C7" i="29"/>
  <c r="F5" i="29"/>
  <c r="D267" i="29"/>
  <c r="D278" i="29"/>
  <c r="D268" i="29"/>
  <c r="D266" i="29"/>
  <c r="D264" i="29"/>
  <c r="D259" i="29"/>
  <c r="D245" i="29"/>
  <c r="D241" i="29"/>
  <c r="D237" i="29"/>
  <c r="D234" i="29"/>
  <c r="D232" i="29"/>
  <c r="D223" i="29"/>
  <c r="D217" i="29"/>
  <c r="D216" i="29"/>
  <c r="D215" i="29"/>
  <c r="K4" i="3" l="1"/>
  <c r="J4" i="3"/>
  <c r="F4" i="3"/>
  <c r="F182" i="29"/>
  <c r="D182" i="29"/>
  <c r="C182" i="29"/>
  <c r="C124" i="29"/>
  <c r="K79" i="4"/>
  <c r="J79" i="4"/>
  <c r="I79" i="4"/>
  <c r="H79" i="4"/>
  <c r="G79" i="4"/>
  <c r="F79" i="4"/>
  <c r="D79" i="4"/>
  <c r="C79" i="4"/>
  <c r="K5" i="5"/>
  <c r="J5" i="5"/>
  <c r="I5" i="5"/>
  <c r="G5" i="5"/>
  <c r="G8" i="5"/>
  <c r="F5" i="5"/>
  <c r="E79" i="4"/>
  <c r="E5" i="5"/>
  <c r="D5" i="5"/>
  <c r="C77" i="5" l="1"/>
  <c r="C84" i="5"/>
  <c r="C69" i="5"/>
  <c r="I4" i="3"/>
  <c r="C30" i="3"/>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10" i="106"/>
  <c r="D910"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80" i="106"/>
  <c r="D7180" i="106" s="1"/>
  <c r="E63" i="184"/>
  <c r="N63" i="184" s="1"/>
  <c r="B7162" i="106"/>
  <c r="D7162" i="106" s="1"/>
  <c r="E61" i="184"/>
  <c r="N61" i="184" s="1"/>
  <c r="B7126" i="106"/>
  <c r="D7126" i="106" s="1"/>
  <c r="E57" i="184"/>
  <c r="N57" i="184" s="1"/>
  <c r="G33" i="108"/>
  <c r="E17" i="184"/>
  <c r="H17" i="184" s="1"/>
  <c r="D68" i="36"/>
  <c r="H28" i="118"/>
  <c r="F77" i="4"/>
  <c r="B3255" i="106" s="1"/>
  <c r="D3255" i="106" s="1"/>
  <c r="C342" i="29"/>
  <c r="B7216" i="106" s="1"/>
  <c r="D7216" i="106" s="1"/>
  <c r="J210" i="29"/>
  <c r="B7072" i="106" s="1"/>
  <c r="D7072" i="106" s="1"/>
  <c r="H365" i="29"/>
  <c r="B7242" i="106" s="1"/>
  <c r="D7242" i="106" s="1"/>
  <c r="I210" i="29"/>
  <c r="B7071" i="106" s="1"/>
  <c r="D7071" i="106" s="1"/>
  <c r="C352" i="29"/>
  <c r="C129" i="29"/>
  <c r="H33" i="118"/>
  <c r="G30" i="108"/>
  <c r="H12" i="184"/>
  <c r="H19" i="184" s="1"/>
  <c r="L20" i="184" s="1"/>
  <c r="E19" i="184"/>
  <c r="F34" i="34"/>
  <c r="B7826" i="106" s="1"/>
  <c r="D7826" i="106" s="1"/>
  <c r="B7198" i="106"/>
  <c r="D7198" i="106" s="1"/>
  <c r="E65" i="184"/>
  <c r="N65" i="184" s="1"/>
  <c r="B7153" i="106"/>
  <c r="D7153" i="106" s="1"/>
  <c r="E60" i="184"/>
  <c r="N60" i="184" s="1"/>
  <c r="H342" i="29"/>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D74" i="29"/>
  <c r="B211" i="106"/>
  <c r="D211" i="106" s="1"/>
  <c r="H41" i="3"/>
  <c r="B188" i="106"/>
  <c r="D188" i="106" s="1"/>
  <c r="G41" i="3"/>
  <c r="B139" i="106"/>
  <c r="D139" i="106" s="1"/>
  <c r="E41" i="3"/>
  <c r="L151" i="29"/>
  <c r="C266" i="5"/>
  <c r="J24" i="12"/>
  <c r="B7730" i="106"/>
  <c r="D7730" i="106" s="1"/>
  <c r="B5770" i="106" l="1"/>
  <c r="D5770" i="106" s="1"/>
  <c r="B7222" i="106"/>
  <c r="D7222" i="106" s="1"/>
  <c r="F76" i="34"/>
  <c r="B7887" i="106" s="1"/>
  <c r="D7887" i="106" s="1"/>
  <c r="I7" i="4"/>
  <c r="B4444" i="106" s="1"/>
  <c r="D4444" i="106" s="1"/>
  <c r="K28" i="118"/>
  <c r="O27" i="118" s="1"/>
  <c r="O29" i="118" s="1"/>
  <c r="B6216" i="106"/>
  <c r="D6216" i="106" s="1"/>
  <c r="L114" i="29"/>
  <c r="F41" i="108"/>
  <c r="G43" i="108" s="1"/>
  <c r="B7220" i="106"/>
  <c r="D7220" i="106" s="1"/>
  <c r="F75" i="34"/>
  <c r="B7886" i="106" s="1"/>
  <c r="D7886" i="106" s="1"/>
  <c r="L16" i="11"/>
  <c r="B2061" i="106" s="1"/>
  <c r="D2061" i="106" s="1"/>
  <c r="B2031" i="106"/>
  <c r="D2031" i="106" s="1"/>
  <c r="K342" i="29"/>
  <c r="F13" i="34" s="1"/>
  <c r="N58" i="184"/>
  <c r="N68" i="184" s="1"/>
  <c r="E68" i="184"/>
  <c r="E367" i="29"/>
  <c r="B3636" i="106" s="1"/>
  <c r="D3636" i="106" s="1"/>
  <c r="B3635" i="106"/>
  <c r="D3635"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87" i="106"/>
  <c r="D987" i="106" s="1"/>
  <c r="G114" i="29"/>
  <c r="B1115" i="106"/>
  <c r="D1115" i="106" s="1"/>
  <c r="G21" i="108"/>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J17" i="4"/>
  <c r="J19" i="4" s="1"/>
  <c r="B6229" i="106" s="1"/>
  <c r="D6229"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F77" i="34" l="1"/>
  <c r="B7834" i="106" s="1"/>
  <c r="D7834" i="106" s="1"/>
  <c r="B6227" i="106"/>
  <c r="D6227" i="106" s="1"/>
  <c r="J20" i="4"/>
  <c r="J78" i="4" s="1"/>
  <c r="B6223" i="106"/>
  <c r="D6223" i="106" s="1"/>
  <c r="D8" i="146"/>
  <c r="B2595" i="106"/>
  <c r="D2595" i="106" s="1"/>
  <c r="D8" i="4"/>
  <c r="C8" i="146" s="1"/>
  <c r="D10" i="171"/>
  <c r="D19" i="171" s="1"/>
  <c r="D32" i="171" s="1"/>
  <c r="D49" i="171"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H18" i="118"/>
  <c r="C10" i="4"/>
  <c r="B4122" i="106" s="1"/>
  <c r="D4122" i="106" s="1"/>
  <c r="B8" i="146"/>
  <c r="F8" i="146" s="1"/>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B3588" i="106"/>
  <c r="D3588" i="106" s="1"/>
  <c r="K81" i="4"/>
  <c r="F78" i="4"/>
  <c r="B2601" i="106"/>
  <c r="D2601" i="106" s="1"/>
  <c r="B3320" i="106"/>
  <c r="D3320" i="106" s="1"/>
  <c r="I81" i="4"/>
  <c r="B3300" i="106"/>
  <c r="D3300" i="106" s="1"/>
  <c r="H81" i="4"/>
  <c r="B7631" i="106"/>
  <c r="F177" i="34"/>
  <c r="A7262" i="106"/>
  <c r="D7261" i="106"/>
  <c r="G78" i="4"/>
  <c r="B2613" i="106"/>
  <c r="D2613" i="106" s="1"/>
  <c r="E78" i="4"/>
  <c r="B2636" i="106"/>
  <c r="D2636" i="106" s="1"/>
  <c r="D64" i="36"/>
  <c r="J82" i="4"/>
  <c r="B6266" i="106"/>
  <c r="D6266" i="106" s="1"/>
  <c r="D81" i="4" l="1"/>
  <c r="D82" i="4" s="1"/>
  <c r="B3278" i="106"/>
  <c r="D3278" i="106" s="1"/>
  <c r="E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B6275" i="106"/>
  <c r="D6275" i="106" s="1"/>
  <c r="K83" i="4"/>
  <c r="B6284" i="106" s="1"/>
  <c r="D6284" i="106" s="1"/>
  <c r="H83" i="4"/>
  <c r="B6281" i="106" s="1"/>
  <c r="D6281" i="106" s="1"/>
  <c r="B6272" i="106"/>
  <c r="D6272"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A7265" i="106" l="1"/>
  <c r="D7264" i="106"/>
  <c r="B6269" i="106"/>
  <c r="D6269" i="106" s="1"/>
  <c r="E83" i="4"/>
  <c r="B6278" i="106" s="1"/>
  <c r="D6278" i="106" s="1"/>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F57" i="29"/>
  <c r="F74" i="29" s="1"/>
  <c r="K55" i="29"/>
  <c r="B1123" i="106" s="1"/>
  <c r="D1123" i="106" s="1"/>
  <c r="B909" i="106"/>
  <c r="D909" i="106" s="1"/>
  <c r="B929" i="106" l="1"/>
  <c r="D929" i="106" s="1"/>
  <c r="F114" i="29"/>
  <c r="B931" i="106" s="1"/>
  <c r="D931" i="106" s="1"/>
  <c r="B911" i="106"/>
  <c r="D911" i="106" s="1"/>
  <c r="K57" i="29"/>
  <c r="K74" i="29" l="1"/>
  <c r="B1125" i="106"/>
  <c r="D1125" i="106" s="1"/>
  <c r="E24" i="108"/>
  <c r="E41" i="108" s="1"/>
  <c r="E44" i="108" s="1"/>
  <c r="E45" i="108" s="1"/>
  <c r="G24" i="108"/>
  <c r="G41" i="108" s="1"/>
  <c r="G44" i="108" s="1"/>
  <c r="G45" i="108" s="1"/>
  <c r="C13" i="4" l="1"/>
  <c r="K114" i="29"/>
  <c r="B1143" i="106"/>
  <c r="D1143" i="106" s="1"/>
  <c r="F8" i="34" l="1"/>
  <c r="F14" i="34" s="1"/>
  <c r="K115" i="29"/>
  <c r="B1153" i="106" s="1"/>
  <c r="D1153" i="106" s="1"/>
  <c r="B1152" i="106"/>
  <c r="D1152" i="106" s="1"/>
  <c r="B2557" i="106"/>
  <c r="D2557" i="106" s="1"/>
  <c r="C17" i="4"/>
  <c r="C20" i="4" l="1"/>
  <c r="H17" i="118"/>
  <c r="C19" i="4"/>
  <c r="B4136" i="106" s="1"/>
  <c r="D4136" i="106" s="1"/>
  <c r="B9" i="146"/>
  <c r="B2561" i="106"/>
  <c r="D2561" i="106" s="1"/>
  <c r="F16" i="37"/>
  <c r="H16" i="37" s="1"/>
  <c r="B7822" i="106"/>
  <c r="F78" i="34"/>
  <c r="F80" i="34" s="1"/>
  <c r="B7837" i="106" s="1"/>
  <c r="D7837" i="106" s="1"/>
  <c r="B7835" i="106" l="1"/>
  <c r="D7835" i="106" s="1"/>
  <c r="F176" i="34"/>
  <c r="H25" i="118"/>
  <c r="K24" i="118" s="1"/>
  <c r="O23" i="118" s="1"/>
  <c r="O25" i="118" s="1"/>
  <c r="K17" i="118"/>
  <c r="F9" i="146"/>
  <c r="F10" i="146" s="1"/>
  <c r="B10" i="146"/>
  <c r="C78" i="4"/>
  <c r="B2562" i="106"/>
  <c r="D2562" i="106" s="1"/>
  <c r="O16" i="118" l="1"/>
  <c r="J20" i="118"/>
  <c r="K20" i="118"/>
  <c r="C81" i="4"/>
  <c r="B3233" i="106"/>
  <c r="D3233" i="106" s="1"/>
  <c r="B7878" i="106"/>
  <c r="D7878" i="106" s="1"/>
  <c r="F178" i="34"/>
  <c r="B11" i="146" l="1"/>
  <c r="F11" i="146" s="1"/>
  <c r="H12" i="118"/>
  <c r="K12" i="118" s="1"/>
  <c r="O11" i="118" s="1"/>
  <c r="O13" i="118" s="1"/>
  <c r="B1630" i="106"/>
  <c r="D1630" i="106" s="1"/>
  <c r="D57" i="36"/>
  <c r="C82" i="4"/>
  <c r="J16" i="37"/>
  <c r="B4269" i="106" s="1"/>
  <c r="D4269" i="106" s="1"/>
  <c r="F180" i="34"/>
  <c r="B7880" i="106" s="1"/>
  <c r="D7880" i="106" s="1"/>
  <c r="B7879" i="106"/>
  <c r="D7879" i="106" s="1"/>
  <c r="O17" i="118"/>
  <c r="O20" i="118" s="1"/>
  <c r="O35" i="118" l="1"/>
  <c r="O37" i="118" s="1"/>
  <c r="B6267" i="106"/>
  <c r="D6267" i="106" s="1"/>
  <c r="C83" i="4"/>
  <c r="B6276" i="106" s="1"/>
  <c r="D6276" i="106" s="1"/>
  <c r="D29" i="36"/>
  <c r="J24" i="24" s="1"/>
  <c r="C1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<sst xmlns="http://schemas.openxmlformats.org/spreadsheetml/2006/main" count="5213" uniqueCount="2121">
  <si>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</si>
  <si>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</si>
  <si>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</si>
  <si>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</si>
  <si>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</si>
  <si>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</si>
  <si>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</si>
  <si>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</si>
  <si>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</si>
  <si>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</si>
  <si>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</si>
  <si>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</si>
  <si>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</si>
  <si>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</si>
  <si>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</si>
  <si>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</si>
  <si>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</si>
  <si>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</si>
  <si>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</si>
  <si>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</si>
  <si>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</si>
  <si>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</si>
  <si>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</si>
  <si>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</si>
  <si>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</si>
  <si>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</si>
  <si>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</si>
  <si>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</si>
  <si>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</si>
  <si>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</si>
  <si>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</si>
  <si>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</si>
  <si>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</si>
  <si>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</si>
  <si>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</si>
  <si>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</si>
  <si>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</si>
  <si>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</si>
  <si>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</si>
  <si>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</si>
  <si>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</si>
  <si>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</si>
  <si>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</si>
  <si>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</si>
  <si>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</si>
  <si>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</si>
  <si>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</si>
  <si>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</si>
  <si>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</si>
  <si>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</si>
  <si>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</si>
  <si>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</si>
  <si>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</si>
  <si>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</si>
  <si>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</si>
  <si>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</si>
  <si>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</si>
  <si>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</si>
  <si>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</si>
  <si>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</si>
  <si>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</si>
  <si>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</si>
  <si>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</si>
  <si>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</si>
  <si>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</si>
  <si>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</si>
  <si>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</si>
  <si>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</si>
  <si>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</si>
  <si>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</si>
  <si>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</si>
  <si>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</si>
  <si>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</si>
  <si>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</si>
  <si>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</si>
  <si>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</si>
  <si>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</si>
  <si>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</si>
  <si>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</si>
  <si>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</si>
  <si>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</si>
  <si>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</si>
  <si>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</si>
  <si>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</si>
  <si>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</si>
  <si>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</si>
  <si>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</si>
  <si>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</si>
  <si>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</si>
  <si>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</si>
  <si>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</si>
  <si>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</si>
  <si>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</si>
  <si>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</si>
  <si>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</si>
  <si>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</si>
  <si>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</si>
  <si>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</si>
  <si>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</si>
  <si>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</si>
  <si>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</si>
  <si>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</si>
  <si>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</si>
  <si>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</si>
  <si>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</si>
  <si>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</si>
  <si>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</si>
  <si>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</si>
  <si>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</si>
  <si>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</si>
  <si>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</si>
  <si>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</si>
  <si>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</si>
  <si>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</si>
  <si>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</si>
  <si>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</si>
  <si>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</si>
  <si>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</si>
  <si>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</si>
  <si>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</si>
  <si>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</si>
  <si>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</si>
  <si>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</si>
  <si>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</si>
  <si>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</si>
  <si>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</si>
  <si>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</si>
  <si>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</si>
  <si>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</si>
  <si>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</si>
  <si>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</si>
  <si>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</si>
  <si>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</si>
  <si>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</si>
  <si>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</si>
  <si>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</si>
  <si>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</si>
  <si>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</si>
  <si>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</si>
  <si>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</si>
  <si>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</si>
  <si>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</si>
  <si>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</si>
  <si>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</si>
  <si>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</si>
  <si>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</si>
  <si>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</si>
  <si>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</si>
  <si>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</si>
  <si>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</si>
  <si>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</si>
  <si>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</si>
  <si>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</si>
  <si>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</si>
  <si>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</si>
  <si>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</si>
  <si>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</si>
  <si>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</si>
  <si>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</si>
  <si>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</si>
  <si>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</si>
  <si>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</si>
  <si>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</si>
  <si>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</si>
  <si>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</si>
  <si>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</si>
  <si>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</si>
  <si>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</si>
  <si>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</si>
  <si>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</si>
  <si>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</si>
  <si>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</si>
  <si>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</si>
  <si>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</si>
  <si>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</si>
  <si>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</si>
  <si>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</si>
  <si>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</si>
  <si>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</si>
  <si>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</si>
  <si>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</si>
  <si>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</si>
  <si>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</si>
  <si>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</si>
  <si>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</si>
  <si>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</si>
  <si>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</si>
  <si>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</si>
  <si>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</si>
  <si>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</si>
  <si>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</si>
  <si>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</si>
  <si>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</si>
  <si>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</si>
  <si>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</si>
  <si>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</si>
  <si>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</si>
  <si>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</si>
  <si>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</si>
  <si>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</si>
  <si>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</si>
  <si>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</si>
  <si>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</si>
  <si>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</si>
  <si>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</si>
  <si>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</si>
  <si>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</si>
  <si>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</si>
  <si>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</si>
  <si>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</si>
  <si>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</si>
  <si>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</si>
  <si>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</si>
  <si>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</si>
  <si>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</si>
  <si>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</si>
  <si>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</si>
  <si>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</si>
  <si>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</si>
  <si>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</si>
  <si>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</si>
  <si>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</si>
  <si>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</si>
  <si>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</si>
  <si>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</si>
  <si>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</si>
  <si>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</si>
  <si>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</si>
  <si>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</si>
  <si>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</si>
  <si>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</si>
  <si>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</si>
  <si>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</si>
  <si>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</si>
  <si>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</si>
  <si>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</si>
  <si>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</si>
  <si>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</si>
  <si>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</si>
  <si>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</si>
  <si>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</si>
  <si>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</si>
  <si>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</si>
  <si>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</si>
  <si>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</si>
  <si>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</si>
  <si>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</si>
  <si>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</si>
  <si>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</si>
  <si>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</si>
  <si>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</si>
  <si>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</si>
  <si>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</si>
  <si>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</si>
  <si>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</si>
  <si>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</si>
  <si>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</si>
  <si>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</si>
  <si>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</si>
  <si>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</si>
  <si>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</si>
  <si>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</si>
  <si>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</si>
  <si>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</si>
  <si>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</si>
  <si>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</si>
  <si>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</si>
  <si>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</si>
  <si>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</si>
  <si>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</si>
  <si>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</si>
  <si>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</si>
  <si>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</si>
  <si>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</si>
  <si>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</si>
  <si>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</si>
  <si>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</si>
  <si>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</si>
  <si>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</si>
  <si>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</si>
  <si>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</si>
  <si>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</si>
  <si>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</si>
  <si>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</si>
  <si>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</si>
  <si>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</si>
  <si>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</si>
  <si>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</si>
  <si>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</si>
  <si>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</si>
  <si>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</si>
  <si>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</si>
  <si>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</si>
  <si>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</si>
  <si>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</si>
  <si>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</si>
  <si>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</si>
  <si>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</si>
  <si>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</si>
  <si>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</si>
  <si>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</si>
  <si>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</si>
  <si>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</si>
  <si>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</si>
  <si>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</si>
  <si>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</si>
  <si>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</si>
  <si>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</si>
  <si>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</si>
  <si>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</si>
  <si>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</si>
  <si>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</si>
  <si>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</si>
  <si>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</si>
  <si>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</si>
  <si>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</si>
  <si>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</si>
  <si>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</si>
  <si>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</si>
  <si>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</si>
  <si>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</si>
  <si>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</si>
  <si>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</si>
  <si>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</si>
  <si>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</si>
  <si>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</si>
  <si>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</si>
  <si>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</si>
  <si>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</si>
  <si>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</si>
  <si>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</si>
  <si>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</si>
  <si>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</si>
  <si>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</si>
  <si>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</si>
  <si>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</si>
  <si>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</si>
  <si>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</si>
  <si>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</si>
  <si>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</si>
  <si>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</si>
  <si>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</si>
  <si>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</si>
  <si>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</si>
  <si>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</si>
  <si>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</si>
  <si>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</si>
  <si>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</si>
  <si>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</si>
  <si>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</si>
  <si>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</si>
  <si>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</si>
  <si>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</si>
  <si>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</si>
  <si>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</si>
  <si>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</si>
  <si>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</si>
  <si>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</si>
  <si>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</si>
  <si>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</si>
  <si>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</si>
  <si>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</si>
  <si>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</si>
  <si>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</si>
  <si>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</si>
  <si>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</si>
  <si>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</si>
  <si>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</si>
  <si>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</si>
  <si>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</si>
  <si>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</si>
  <si>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</si>
  <si>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</si>
  <si>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</si>
  <si>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</si>
  <si>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</si>
  <si>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</si>
  <si>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</si>
  <si>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</si>
  <si>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</si>
  <si>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</si>
  <si>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</si>
  <si>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</si>
  <si>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</si>
  <si>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</si>
  <si>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</si>
  <si>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</si>
  <si>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</si>
  <si>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</si>
  <si>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</si>
  <si>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</si>
  <si>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</si>
  <si>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</si>
  <si>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</si>
  <si>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</si>
  <si>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</si>
  <si>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</si>
  <si>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</si>
  <si>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</si>
  <si>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</si>
  <si>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</si>
  <si>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</si>
  <si>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</si>
  <si>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</si>
  <si>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</si>
  <si>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</si>
  <si>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</si>
  <si>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</si>
  <si>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</si>
  <si>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</si>
  <si>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</si>
  <si>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</si>
  <si>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</si>
  <si>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</si>
  <si>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</si>
  <si>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</si>
  <si>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</si>
  <si>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</si>
  <si>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</si>
  <si>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</si>
  <si>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</si>
  <si>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</si>
  <si>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</si>
  <si>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</si>
  <si>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</si>
  <si>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</si>
  <si>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</si>
  <si>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</si>
  <si>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</si>
  <si>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</si>
  <si>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</si>
  <si>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</si>
  <si>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</si>
  <si>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</si>
  <si>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</si>
  <si>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</si>
  <si>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</si>
  <si>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</si>
  <si>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</si>
  <si>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</si>
  <si>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</si>
  <si>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</si>
  <si>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</si>
  <si>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</si>
  <si>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</si>
  <si>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</si>
  <si>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</si>
  <si>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</si>
  <si>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</si>
  <si>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</si>
  <si>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</si>
  <si>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</si>
  <si>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</si>
  <si>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</si>
  <si>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</si>
  <si>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</si>
  <si>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</si>
  <si>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</si>
  <si>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</si>
  <si>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</si>
  <si>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</si>
  <si>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</si>
  <si>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</si>
  <si>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</si>
  <si>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</si>
  <si>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</si>
  <si>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</si>
  <si>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</si>
  <si>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</si>
  <si>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</si>
  <si>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</si>
  <si>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</si>
  <si>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</si>
  <si>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</si>
  <si>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</si>
  <si>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</si>
  <si>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</si>
  <si>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</si>
  <si>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</si>
  <si>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</si>
  <si>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</si>
  <si>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</si>
  <si>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</si>
  <si>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</si>
  <si>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</si>
  <si>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</si>
  <si>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</si>
  <si>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</si>
  <si>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</si>
  <si>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</si>
  <si>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</si>
  <si>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</si>
  <si>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</si>
  <si>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</si>
  <si>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</si>
  <si>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</si>
  <si>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</si>
  <si>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</si>
  <si>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</si>
  <si>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</si>
  <si>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</si>
  <si>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</si>
  <si>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</si>
  <si>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</si>
  <si>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</si>
  <si>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</si>
  <si>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</si>
  <si>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</si>
  <si>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</si>
  <si>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</si>
  <si>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</si>
  <si>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</si>
  <si>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</si>
  <si>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</si>
  <si>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</si>
  <si>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</si>
  <si>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</si>
  <si>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</si>
  <si>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</si>
  <si>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</si>
  <si>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</si>
  <si>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</si>
  <si>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</si>
  <si>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</si>
  <si>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</si>
  <si>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</si>
  <si>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</si>
  <si>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</si>
  <si>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</si>
  <si>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</si>
  <si>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</si>
  <si>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</si>
  <si>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</si>
  <si>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</si>
  <si>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</si>
  <si>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</si>
  <si>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</si>
  <si>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</si>
  <si>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</si>
  <si>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</si>
  <si>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</si>
  <si>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</si>
  <si>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</si>
  <si>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</si>
  <si>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</si>
  <si>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</si>
  <si>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</si>
  <si>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</si>
  <si>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</si>
  <si>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</si>
  <si>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</si>
  <si>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</si>
  <si>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</si>
  <si>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</si>
  <si>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</si>
  <si>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</si>
  <si>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</si>
  <si>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</si>
  <si>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</si>
  <si>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</si>
  <si>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</si>
  <si>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</si>
  <si>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</si>
  <si>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</si>
  <si>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</si>
  <si>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</si>
  <si>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</si>
  <si>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</si>
  <si>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</si>
  <si>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</si>
  <si>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</si>
  <si>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</si>
  <si>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</si>
  <si>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</si>
  <si>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</si>
  <si>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</si>
  <si>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</si>
  <si>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</si>
  <si>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</si>
  <si>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</si>
  <si>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</si>
  <si>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</si>
  <si>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</si>
  <si>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</si>
  <si>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</si>
  <si>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</si>
  <si>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</si>
  <si>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</si>
  <si>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</si>
  <si>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</si>
  <si>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</si>
  <si>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</si>
  <si>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</si>
  <si>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</si>
  <si>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</si>
  <si>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</si>
  <si>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</si>
  <si>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</si>
  <si>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</si>
  <si>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</si>
  <si>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</si>
  <si>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</si>
  <si>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</si>
  <si>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</si>
  <si>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</si>
  <si>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</si>
  <si>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</si>
  <si>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</si>
  <si>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</si>
  <si>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</si>
  <si>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</si>
  <si>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</si>
  <si>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</si>
  <si>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</si>
  <si>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</si>
  <si>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</si>
  <si>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</si>
  <si>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</si>
  <si>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</si>
  <si>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</si>
  <si>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</si>
  <si>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</si>
  <si>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</si>
  <si>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</si>
  <si>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</si>
  <si>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</si>
  <si>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</si>
  <si>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</si>
  <si>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</si>
  <si>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</si>
  <si>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</si>
  <si>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</si>
  <si>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</si>
  <si>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</si>
  <si>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</si>
  <si>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</si>
  <si>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</si>
  <si>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</si>
  <si>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</si>
  <si>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</si>
  <si>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</si>
  <si>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</si>
  <si>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</si>
  <si>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</si>
  <si>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</si>
  <si>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</si>
  <si>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</si>
  <si>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</si>
  <si>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</si>
  <si>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</si>
  <si>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</si>
  <si>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</si>
  <si>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</si>
  <si>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</si>
  <si>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</si>
  <si>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</si>
  <si>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</si>
  <si>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</si>
  <si>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</si>
  <si>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</si>
  <si>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</si>
  <si>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</si>
  <si>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</si>
  <si>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</si>
  <si>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</si>
  <si>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</si>
  <si>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</si>
  <si>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</si>
  <si>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</si>
  <si>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</si>
  <si>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</si>
  <si>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</si>
  <si>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</si>
  <si>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</si>
  <si>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</si>
  <si>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</si>
  <si>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</si>
  <si>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</si>
  <si>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</si>
  <si>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</si>
  <si>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</si>
  <si>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</si>
  <si>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</si>
  <si>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</si>
  <si>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</si>
  <si>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</si>
  <si>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</si>
  <si>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</si>
  <si>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</si>
  <si>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</si>
  <si>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</si>
  <si>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</si>
  <si>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</si>
  <si>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</si>
  <si>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</si>
  <si>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</si>
  <si>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</si>
  <si>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</si>
  <si>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</si>
  <si>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</si>
  <si>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</si>
  <si>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</si>
  <si>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</si>
  <si>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</si>
  <si>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</si>
  <si>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</si>
  <si>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</si>
  <si>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</si>
  <si>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</si>
  <si>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</si>
  <si>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</si>
  <si>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</si>
  <si>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</si>
  <si>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</si>
  <si>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</si>
  <si>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</si>
  <si>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</si>
  <si>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</si>
  <si>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</si>
  <si>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</si>
  <si>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</si>
  <si>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</si>
  <si>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</si>
  <si>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</si>
  <si>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</si>
  <si>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</si>
  <si>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</si>
  <si>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</si>
  <si>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</si>
  <si>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</si>
  <si>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</si>
  <si>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</si>
  <si>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</si>
  <si>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</si>
  <si>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</si>
  <si>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</si>
  <si>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</si>
  <si>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</si>
  <si>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</si>
  <si>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</si>
  <si>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</si>
  <si>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</si>
  <si>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</si>
  <si>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</si>
  <si>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</si>
  <si>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</si>
  <si>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</si>
  <si>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</si>
  <si>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</si>
  <si>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</si>
  <si>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</si>
  <si>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</si>
  <si>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</si>
  <si>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</si>
  <si>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</si>
  <si>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</si>
  <si>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</si>
  <si>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</si>
  <si>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</si>
  <si>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</si>
  <si>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</si>
  <si>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</si>
  <si>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</si>
  <si>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</si>
  <si>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</si>
  <si>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</si>
  <si>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</si>
  <si>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</si>
  <si>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</si>
  <si>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</si>
  <si>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</si>
  <si>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</si>
  <si>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</si>
  <si>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</si>
  <si>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</si>
  <si>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</si>
  <si>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</si>
  <si>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</si>
  <si>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</si>
  <si>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</si>
  <si>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</si>
  <si>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</si>
  <si>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</si>
  <si>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</si>
  <si>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</si>
  <si>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</si>
  <si>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</si>
  <si>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</si>
  <si>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</si>
  <si>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</si>
  <si>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</si>
  <si>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</si>
  <si>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</si>
  <si>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</si>
  <si>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</si>
  <si>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</si>
  <si>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</si>
  <si>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</si>
  <si>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</si>
  <si>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</si>
  <si>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</si>
  <si>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</si>
  <si>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</si>
  <si>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</si>
  <si>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</si>
  <si>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</si>
  <si>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</si>
  <si>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</si>
  <si>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</si>
  <si>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</si>
  <si>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</si>
  <si>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</si>
  <si>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</si>
  <si>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</si>
  <si>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</si>
  <si>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</si>
  <si>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</si>
  <si>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</si>
  <si>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</si>
  <si>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</si>
  <si>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</si>
  <si>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</si>
  <si>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</si>
  <si>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</si>
  <si>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</si>
  <si>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</si>
  <si>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</si>
  <si>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</si>
  <si>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</si>
  <si>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</si>
  <si>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</si>
  <si>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</si>
  <si>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</si>
  <si>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</si>
  <si>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</si>
  <si>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</si>
  <si>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</si>
  <si>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</si>
  <si>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</si>
  <si>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</si>
  <si>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</si>
  <si>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</si>
  <si>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</si>
  <si>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</si>
  <si>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</si>
  <si>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</si>
  <si>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</si>
  <si>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</si>
  <si>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</si>
  <si>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</si>
  <si>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</si>
  <si>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</si>
  <si>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</si>
  <si>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</si>
  <si>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</si>
  <si>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</si>
  <si>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</si>
  <si>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</si>
  <si>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</si>
  <si>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</si>
  <si>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</si>
  <si>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</si>
  <si>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</si>
  <si>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</si>
  <si>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</si>
  <si>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</si>
  <si>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</si>
  <si>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</si>
  <si>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</si>
  <si>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</si>
  <si>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</si>
  <si>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</si>
  <si>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</si>
  <si>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</si>
  <si>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</si>
  <si>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</si>
  <si>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</si>
  <si>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</si>
  <si>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</si>
  <si>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</si>
  <si>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</si>
  <si>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</si>
  <si>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</si>
  <si>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</si>
  <si>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</si>
  <si>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</si>
  <si>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</si>
  <si>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</si>
  <si>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</si>
  <si>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</si>
  <si>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</si>
  <si>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</si>
  <si>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</si>
  <si>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</si>
  <si>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</si>
  <si>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</si>
  <si>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</si>
  <si>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</si>
  <si>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</si>
  <si>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</si>
  <si>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</si>
  <si>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</si>
  <si>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</si>
  <si>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</si>
  <si>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</si>
  <si>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</si>
  <si>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</si>
  <si>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</si>
  <si>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</si>
  <si>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</si>
  <si>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</si>
  <si>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</si>
  <si>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</si>
  <si>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</si>
  <si>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</si>
  <si>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</si>
  <si>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</si>
  <si>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</si>
  <si>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</si>
  <si>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</si>
  <si>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</si>
  <si>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</si>
  <si>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</si>
  <si>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</si>
  <si>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</si>
  <si>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</si>
  <si>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</si>
  <si>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</si>
  <si>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</si>
  <si>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</si>
  <si>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</si>
  <si>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</si>
  <si>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</si>
  <si>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</si>
  <si>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</si>
  <si>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</si>
  <si>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</si>
  <si>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</si>
  <si>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</si>
  <si>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</si>
  <si>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</si>
  <si>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</si>
  <si>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</si>
  <si>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</si>
  <si>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</si>
  <si>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</si>
  <si>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</si>
  <si>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</si>
  <si>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</si>
  <si>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</si>
  <si>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</si>
  <si>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</si>
  <si>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</si>
  <si>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</si>
  <si>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</si>
  <si>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</si>
  <si>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</si>
  <si>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</si>
  <si>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</si>
  <si>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</si>
  <si>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</si>
  <si>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</si>
  <si>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</si>
  <si>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</si>
  <si>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</si>
  <si>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</si>
  <si>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</si>
  <si>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</si>
  <si>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</si>
  <si>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</si>
  <si>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</si>
  <si>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</si>
  <si>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</si>
  <si>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</si>
  <si>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</si>
  <si>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</si>
  <si>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</si>
  <si>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</si>
  <si>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</si>
  <si>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</si>
  <si>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</si>
  <si>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</si>
  <si>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</si>
  <si>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</si>
  <si>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</si>
  <si>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</si>
  <si>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</si>
  <si>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</si>
  <si>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</si>
  <si>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</si>
  <si>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</si>
  <si>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</si>
  <si>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</si>
  <si>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</si>
  <si>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</si>
  <si>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</si>
  <si>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</si>
  <si>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</si>
  <si>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</si>
  <si>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</si>
  <si>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</si>
  <si>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</si>
  <si>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</si>
  <si>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</si>
  <si>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</si>
  <si>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</si>
  <si>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</si>
  <si>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</si>
  <si>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</si>
  <si>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</si>
  <si>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</si>
  <si>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</si>
  <si>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</si>
  <si>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</si>
  <si>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</si>
  <si>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</si>
  <si>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</si>
  <si>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</si>
  <si>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</si>
  <si>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</si>
  <si>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</si>
  <si>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</si>
  <si>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</si>
  <si>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</si>
  <si>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</si>
  <si>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</si>
  <si>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</si>
  <si>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</si>
  <si>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</si>
  <si>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</si>
  <si>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</si>
  <si>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</si>
  <si>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</si>
  <si>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</si>
  <si>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</si>
  <si>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</si>
  <si>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</si>
  <si>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</si>
  <si>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</si>
  <si>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</si>
  <si>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</si>
  <si>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</si>
  <si>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</si>
  <si>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</si>
  <si>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</si>
  <si>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</si>
  <si>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</si>
  <si>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</si>
  <si>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</si>
  <si>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</si>
  <si>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</si>
  <si>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</si>
  <si>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</si>
  <si>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</si>
  <si>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</si>
  <si>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</si>
  <si>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</si>
  <si>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</si>
  <si>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</si>
  <si>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</si>
  <si>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</si>
  <si>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</si>
  <si>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</si>
  <si>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</si>
  <si>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</si>
  <si>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</si>
  <si>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</si>
  <si>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</si>
  <si>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</si>
  <si>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</si>
  <si>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</si>
  <si>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</si>
  <si>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</si>
  <si>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</si>
  <si>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</si>
  <si>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</si>
  <si>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</si>
  <si>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</si>
  <si>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</si>
  <si>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</si>
  <si>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</si>
  <si>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</si>
  <si>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</si>
  <si>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</si>
  <si>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</si>
  <si>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</si>
  <si>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</si>
  <si>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</si>
  <si>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</si>
  <si>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</si>
  <si>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</si>
  <si>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</si>
  <si>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</si>
  <si>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</si>
  <si>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</si>
  <si>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</si>
  <si>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</si>
  <si>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</si>
  <si>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</si>
  <si>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</si>
  <si>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</si>
  <si>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</si>
  <si>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</si>
  <si>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</si>
  <si>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</si>
  <si>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</si>
  <si>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</si>
  <si>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</si>
  <si>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</si>
  <si>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</si>
  <si>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</si>
  <si>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</si>
  <si>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</si>
  <si>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</si>
  <si>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</si>
  <si>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</si>
  <si>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</si>
  <si>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</si>
  <si>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</si>
  <si>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</si>
  <si>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</si>
  <si>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</si>
  <si>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</si>
  <si>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</si>
  <si>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</si>
  <si>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</si>
  <si>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</si>
  <si>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</si>
  <si>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</si>
  <si>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</si>
  <si>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</si>
  <si>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</si>
  <si>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</si>
  <si>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</si>
  <si>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</si>
  <si>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</si>
  <si>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</si>
  <si>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</si>
  <si>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</si>
  <si>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</si>
  <si>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</si>
  <si>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</si>
  <si>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</si>
  <si>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</si>
  <si>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</si>
  <si>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</si>
  <si>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</si>
  <si>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</si>
  <si>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</si>
  <si>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</si>
  <si>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</si>
  <si>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</si>
  <si>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</si>
  <si>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</si>
  <si>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</si>
  <si>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</si>
  <si>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</si>
  <si>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</si>
  <si>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</si>
  <si>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</si>
  <si>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</si>
  <si>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</si>
  <si>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</si>
  <si>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</si>
  <si>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</si>
  <si>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</si>
  <si>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</si>
  <si>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</si>
  <si>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</si>
  <si>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</si>
  <si>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</si>
  <si>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</si>
  <si>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</si>
  <si>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</si>
  <si>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</si>
  <si>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</si>
  <si>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</si>
  <si>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</si>
  <si>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</si>
  <si>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</si>
  <si>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</si>
  <si>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</si>
  <si>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</si>
  <si>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</si>
  <si>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</si>
  <si>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</si>
  <si>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</si>
  <si>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</si>
  <si>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</si>
  <si>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</si>
  <si>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</si>
  <si>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</si>
  <si>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</si>
  <si>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</si>
  <si>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</si>
  <si>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</si>
  <si>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</si>
  <si>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</si>
  <si>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</si>
  <si>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</si>
  <si>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</si>
  <si>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</si>
  <si>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</si>
  <si>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</si>
  <si>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</si>
  <si>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</si>
  <si>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</si>
  <si>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</si>
  <si>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</si>
  <si>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</si>
  <si>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</si>
  <si>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</si>
  <si>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</si>
  <si>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</si>
  <si>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</si>
  <si>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</si>
  <si>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</si>
  <si>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</si>
  <si>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</si>
  <si>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</si>
  <si>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</si>
  <si>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</si>
  <si>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</si>
  <si>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</si>
  <si>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</si>
  <si>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</si>
  <si>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</si>
  <si>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</si>
  <si>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</si>
  <si>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</si>
  <si>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</si>
  <si>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</si>
  <si>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</si>
  <si>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</si>
  <si>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</si>
  <si>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</si>
  <si>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</si>
  <si>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</si>
  <si>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</si>
  <si>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</si>
  <si>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</si>
  <si>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</si>
  <si>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</si>
  <si>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</si>
  <si>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</si>
  <si>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</si>
  <si>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</si>
  <si>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</si>
  <si>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</si>
  <si>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</si>
  <si>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</si>
  <si>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</si>
  <si>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</si>
  <si>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</si>
  <si>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</si>
  <si>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</si>
  <si>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</si>
  <si>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</si>
  <si>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</si>
  <si>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</si>
  <si>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</si>
  <si>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</si>
  <si>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</si>
  <si>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</si>
  <si>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</si>
  <si>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</si>
  <si>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</si>
  <si>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</si>
  <si>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</si>
  <si>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</si>
  <si>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</si>
  <si>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</si>
  <si>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</si>
  <si>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</si>
  <si>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</si>
  <si>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</si>
  <si>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</si>
  <si>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</si>
  <si>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</si>
  <si>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</si>
  <si>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</si>
  <si>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</si>
  <si>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</si>
  <si>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</si>
  <si>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</si>
  <si>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</si>
  <si>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</si>
  <si>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</si>
  <si>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</si>
  <si>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</si>
  <si>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</si>
  <si>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</si>
  <si>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</si>
  <si>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</si>
  <si>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</si>
  <si>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</si>
  <si>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</si>
  <si>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</si>
  <si>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</si>
  <si>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</si>
  <si>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</si>
  <si>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</si>
  <si>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</si>
  <si>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</si>
  <si>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</si>
  <si>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</si>
  <si>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</si>
  <si>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</si>
  <si>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</si>
  <si>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</si>
  <si>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</si>
  <si>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</si>
  <si>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</si>
  <si>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</si>
  <si>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</si>
  <si>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</si>
  <si>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</si>
  <si>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</si>
  <si>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</si>
  <si>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</si>
  <si>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</si>
  <si>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</si>
  <si>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</si>
  <si>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</si>
  <si>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</si>
  <si>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</si>
  <si>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</si>
  <si>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</si>
  <si>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</si>
  <si>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</si>
  <si>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</si>
  <si>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</si>
  <si>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</si>
  <si>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</si>
  <si>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</si>
  <si>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</si>
  <si>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</si>
  <si>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</si>
  <si>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</si>
  <si>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</si>
  <si>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</si>
  <si>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</si>
  <si>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</si>
  <si>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</si>
  <si>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</si>
  <si>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</si>
  <si>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</si>
  <si>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</si>
  <si>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</si>
  <si>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</si>
  <si>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</si>
  <si>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</si>
  <si>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</si>
  <si>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</si>
  <si>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</si>
  <si>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</si>
  <si>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</si>
  <si>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</si>
  <si>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</si>
  <si>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</si>
  <si>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</si>
  <si>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</si>
  <si>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</si>
  <si>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</si>
  <si>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</si>
  <si>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</si>
  <si>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</si>
  <si>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</si>
  <si>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</si>
  <si>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</si>
  <si>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</si>
  <si>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</si>
  <si>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</si>
  <si>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</si>
  <si>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</si>
  <si>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</si>
  <si>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</si>
  <si>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</si>
  <si>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</si>
  <si>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</si>
  <si>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</si>
  <si>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</si>
  <si>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</si>
  <si>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</si>
  <si>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</si>
  <si>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</si>
  <si>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</si>
  <si>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</si>
  <si>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</si>
  <si>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</si>
  <si>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</si>
  <si>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</si>
  <si>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</si>
  <si>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</si>
  <si>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</si>
  <si>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</si>
  <si>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</si>
  <si>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</si>
  <si>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</si>
  <si>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</si>
  <si>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</si>
  <si>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</si>
  <si>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</si>
  <si>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</si>
  <si>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</si>
  <si>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</si>
  <si>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</si>
  <si>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</si>
  <si>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</si>
  <si>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</si>
  <si>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</si>
  <si>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</si>
  <si>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</si>
  <si>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</si>
  <si>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</si>
  <si>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</si>
  <si>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</si>
  <si>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</si>
  <si>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</si>
  <si>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</si>
  <si>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</si>
  <si>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</si>
  <si>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</si>
  <si>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</si>
  <si>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</si>
  <si>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</si>
  <si>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</si>
  <si>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</si>
  <si>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</si>
  <si>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</si>
  <si>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</si>
  <si>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</si>
  <si>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</si>
  <si>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</si>
  <si>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</si>
  <si>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</si>
  <si>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</si>
  <si>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</si>
  <si>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</si>
  <si>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</si>
  <si>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</si>
  <si>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</si>
  <si>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</si>
  <si>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</si>
  <si>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</si>
  <si>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</si>
  <si>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</si>
  <si>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</si>
  <si>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</si>
  <si>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</si>
  <si>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</si>
  <si>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</si>
  <si>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</si>
  <si>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</si>
  <si>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</si>
  <si>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</si>
  <si>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</si>
  <si>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</si>
  <si>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</si>
  <si>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</si>
  <si>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</si>
  <si>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</si>
  <si>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</si>
  <si>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</si>
  <si>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</si>
  <si>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</si>
  <si>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</si>
  <si>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</si>
  <si>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</si>
  <si>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</si>
  <si>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</si>
  <si>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</si>
  <si>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</si>
  <si>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</si>
  <si>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</si>
  <si>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</si>
  <si>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</si>
  <si>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</si>
  <si>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</si>
  <si>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</si>
  <si>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</si>
  <si>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</si>
  <si>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</si>
  <si>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</si>
  <si>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</si>
  <si>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</si>
  <si>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</si>
  <si>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</si>
  <si>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</si>
  <si>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</si>
  <si>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</si>
  <si>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</si>
  <si>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</si>
  <si>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</si>
  <si>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</si>
  <si>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</si>
  <si>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</si>
  <si>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</si>
  <si>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</si>
  <si>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</si>
  <si>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</si>
  <si>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</si>
  <si>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</si>
  <si>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</si>
  <si>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</si>
  <si>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</si>
  <si>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</si>
  <si>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</si>
  <si>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</si>
  <si>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</si>
  <si>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</si>
  <si>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</si>
  <si>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</si>
  <si>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</si>
  <si>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</si>
  <si>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</si>
  <si>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</si>
  <si>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</si>
  <si>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</si>
  <si>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</si>
  <si>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</si>
  <si>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</si>
  <si>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</si>
  <si>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</si>
  <si>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</si>
  <si>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</si>
  <si>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</si>
  <si>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</si>
  <si>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</si>
  <si>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</si>
  <si>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</si>
  <si>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</si>
  <si>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</si>
  <si>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</si>
  <si>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</si>
  <si>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</si>
  <si>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</si>
  <si>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</si>
  <si>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</si>
  <si>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</si>
  <si>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</si>
  <si>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</si>
  <si>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</si>
  <si>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</si>
  <si>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</si>
  <si>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</si>
  <si>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</si>
  <si>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</si>
  <si>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</si>
  <si>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</si>
  <si>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</si>
  <si>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</si>
  <si>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</si>
  <si>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</si>
  <si>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</si>
  <si>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</si>
  <si>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</si>
  <si>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</si>
  <si>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</si>
  <si>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</si>
  <si>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</si>
  <si>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</si>
  <si>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</si>
  <si>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</si>
  <si>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</si>
  <si>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</si>
  <si>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</si>
  <si>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</si>
  <si>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</si>
  <si>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</si>
  <si>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</si>
  <si>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</si>
  <si>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</si>
  <si>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</si>
  <si>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</si>
  <si>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</si>
  <si>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</si>
  <si>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</si>
  <si>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</si>
  <si>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</si>
  <si>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</si>
  <si>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</si>
  <si>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</si>
  <si>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</si>
  <si>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</si>
  <si>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</si>
  <si>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</si>
  <si>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</si>
  <si>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</si>
  <si>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</si>
  <si>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</si>
  <si>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</si>
  <si>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</si>
  <si>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</si>
  <si>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</si>
  <si>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</si>
  <si>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</si>
  <si>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</si>
  <si>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</si>
  <si>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</si>
  <si>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</si>
  <si>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</si>
  <si>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</si>
  <si>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</si>
  <si>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</si>
  <si>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</si>
  <si>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</si>
  <si>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</si>
  <si>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</si>
  <si>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</si>
  <si>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</si>
  <si>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</si>
  <si>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</si>
  <si>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</si>
  <si>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</si>
  <si>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</si>
  <si>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</si>
  <si>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</si>
  <si>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</si>
  <si>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</si>
  <si>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</si>
  <si>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</si>
  <si>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</si>
  <si>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</si>
  <si>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</si>
  <si>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</si>
  <si>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</si>
  <si>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</si>
  <si>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</si>
  <si>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</si>
  <si>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</si>
  <si>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</si>
  <si>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</si>
  <si>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</si>
  <si>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</si>
  <si>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</si>
  <si>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</si>
  <si>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</si>
  <si>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</si>
  <si>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</si>
  <si>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</si>
  <si>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</si>
  <si>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</si>
  <si>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</si>
  <si>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</si>
  <si>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</si>
  <si>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</si>
  <si>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</si>
  <si>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</si>
  <si>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</si>
  <si>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</si>
  <si>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</si>
  <si>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</si>
  <si>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</si>
  <si>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</si>
  <si>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</si>
  <si>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</si>
  <si>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</si>
  <si>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</si>
  <si>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</si>
  <si>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</si>
  <si>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</si>
  <si>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</si>
  <si>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</si>
  <si>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</si>
  <si>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</si>
  <si>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</si>
  <si>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</si>
  <si>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</si>
  <si>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</si>
  <si>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</si>
  <si>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</si>
  <si>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</si>
  <si>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</si>
  <si>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</si>
  <si>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</si>
  <si>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</si>
  <si>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</si>
  <si>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</si>
  <si>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</si>
  <si>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</si>
  <si>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</si>
  <si>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</si>
  <si>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</si>
  <si>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</si>
  <si>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</si>
  <si>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</si>
  <si>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</si>
  <si>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</si>
  <si>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</si>
  <si>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</si>
  <si>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</si>
  <si>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</si>
  <si>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</si>
  <si>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</si>
  <si>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</si>
  <si>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</si>
  <si>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</si>
  <si>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</si>
  <si>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</si>
  <si>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</si>
  <si>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</si>
  <si>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</si>
  <si>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</si>
  <si>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</si>
  <si>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</si>
  <si>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</si>
  <si>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</si>
  <si>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</si>
  <si>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</si>
  <si>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</si>
  <si>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</si>
  <si>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</si>
  <si>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</si>
  <si>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</si>
  <si>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</si>
  <si>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</si>
  <si>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</si>
  <si>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</si>
  <si>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</si>
  <si>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</si>
  <si>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</si>
  <si>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</si>
  <si>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</si>
  <si>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</si>
  <si>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</si>
  <si>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</si>
  <si>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</si>
  <si>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</si>
  <si>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</si>
  <si>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</si>
  <si>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</si>
  <si>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</si>
  <si>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</si>
  <si>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</si>
  <si>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</si>
  <si>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</si>
  <si>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</si>
  <si>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</si>
  <si>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</si>
  <si>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</si>
  <si>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</si>
  <si>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</si>
  <si>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</si>
  <si>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</si>
  <si>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</si>
  <si>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</si>
  <si>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</si>
  <si>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</si>
  <si>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</si>
  <si>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</si>
  <si>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</si>
  <si>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</si>
  <si>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</si>
  <si>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</si>
  <si>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</si>
  <si>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</si>
  <si>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</si>
  <si>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</si>
  <si>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</si>
  <si>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</si>
  <si>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</si>
  <si>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</si>
  <si>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</si>
  <si>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</si>
  <si>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</si>
  <si>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</si>
  <si>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</si>
  <si>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</si>
  <si>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</si>
  <si>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</si>
  <si>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</si>
  <si>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</si>
  <si>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</si>
  <si>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</si>
  <si>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</si>
  <si>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</si>
  <si>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</si>
  <si>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</si>
  <si>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</si>
  <si>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</si>
  <si>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</si>
  <si>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</si>
  <si>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</si>
  <si>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</si>
  <si>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</si>
  <si>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</si>
  <si>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</si>
  <si>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</si>
  <si>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</si>
  <si>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</si>
  <si>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</si>
  <si>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</si>
  <si>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</si>
  <si>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</si>
  <si>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</si>
  <si>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</si>
  <si>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</si>
  <si>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</si>
  <si>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</si>
  <si>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</si>
  <si>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</si>
  <si>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</si>
  <si>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</si>
  <si>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</si>
  <si>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</si>
  <si>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</si>
  <si>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</si>
  <si>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</si>
  <si>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</si>
  <si>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</si>
  <si>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</si>
  <si>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</si>
  <si>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</si>
  <si>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</si>
  <si>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</si>
  <si>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</si>
  <si>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</si>
  <si>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</si>
  <si>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</si>
  <si>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</si>
  <si>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</si>
  <si>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</si>
  <si>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</si>
  <si>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</si>
  <si>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</si>
  <si>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</si>
  <si>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</si>
  <si>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</si>
  <si>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</si>
  <si>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</si>
  <si>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</si>
  <si>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</si>
  <si>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</si>
  <si>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</si>
  <si>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</si>
  <si>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</si>
  <si>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</si>
  <si>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</si>
  <si>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</si>
  <si>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</si>
  <si>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</si>
  <si>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</si>
  <si>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</si>
  <si>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</si>
  <si>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</si>
  <si>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</si>
  <si>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</si>
  <si>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</si>
  <si>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</si>
  <si>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</si>
  <si>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</si>
  <si>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</si>
  <si>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</si>
  <si>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</si>
  <si>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</si>
  <si>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</si>
  <si>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</si>
  <si>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</si>
  <si>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</si>
  <si>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</si>
  <si>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</si>
  <si>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</si>
  <si>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</si>
  <si>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</si>
  <si>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</si>
  <si>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</si>
  <si>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</si>
  <si>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</si>
  <si>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</si>
  <si>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</si>
  <si>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</si>
  <si>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</si>
  <si>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</si>
  <si>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</si>
  <si>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</si>
  <si>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</si>
  <si>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</si>
  <si>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</si>
  <si>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</si>
  <si>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</si>
  <si>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</si>
  <si>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</si>
  <si>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</si>
  <si>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</si>
  <si>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</si>
  <si>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</si>
  <si>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</si>
  <si>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</si>
  <si>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</si>
  <si>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</si>
  <si>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</si>
  <si>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</si>
  <si>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</si>
  <si>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</si>
  <si>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</si>
  <si>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</si>
  <si>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</si>
  <si>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</si>
  <si>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</si>
  <si>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</si>
  <si>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</si>
  <si>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</si>
  <si>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</si>
  <si>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</si>
  <si>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</si>
  <si>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</si>
  <si>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</si>
  <si>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</si>
  <si>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</si>
  <si>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</si>
  <si>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</si>
  <si>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</si>
  <si>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</si>
  <si>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</si>
  <si>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</si>
  <si>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</si>
  <si>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</si>
  <si>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</si>
  <si>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</si>
  <si>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</si>
  <si>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</si>
  <si>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</si>
  <si>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</si>
  <si>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</si>
  <si>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</si>
  <si>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</si>
  <si>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</si>
  <si>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</si>
  <si>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</si>
  <si>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</si>
  <si>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</si>
  <si>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</si>
  <si>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</si>
  <si>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</si>
  <si>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</si>
  <si>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</si>
  <si>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</si>
  <si>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</si>
  <si>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</si>
  <si>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</si>
  <si>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</si>
  <si>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</si>
  <si>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</si>
  <si>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</si>
  <si>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</si>
  <si>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</si>
  <si>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</si>
  <si>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</si>
  <si>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</si>
  <si>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</si>
  <si>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</si>
  <si>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</si>
  <si>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</si>
  <si>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</si>
  <si>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</si>
  <si>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</si>
  <si>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</si>
  <si>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</si>
  <si>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</si>
  <si>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</si>
  <si>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</si>
  <si>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</si>
  <si>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</si>
  <si>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</si>
  <si>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</si>
  <si>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</si>
  <si>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</si>
  <si>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</si>
  <si>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</si>
  <si>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</si>
  <si>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</si>
  <si>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</si>
  <si>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</si>
  <si>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</si>
  <si>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</si>
  <si>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</si>
  <si>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</si>
  <si>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</si>
  <si>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</si>
  <si>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</si>
  <si>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</si>
  <si>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</si>
  <si>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</si>
  <si>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</si>
  <si>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</si>
  <si>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</si>
  <si>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</si>
  <si>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</si>
  <si>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</si>
  <si>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</si>
  <si>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</si>
  <si>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</si>
  <si>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</si>
  <si>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</si>
  <si>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</si>
  <si>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</si>
  <si>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</si>
  <si>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</si>
  <si>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</si>
  <si>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</si>
  <si>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</si>
  <si>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</si>
  <si>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</si>
  <si>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</si>
  <si>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</si>
  <si>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</si>
  <si>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</si>
  <si>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</si>
  <si>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</si>
  <si>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</si>
  <si>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</si>
  <si>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</si>
  <si>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</si>
  <si>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</si>
  <si>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</si>
  <si>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</si>
  <si>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</si>
  <si>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</si>
  <si>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</si>
  <si>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</si>
  <si>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</si>
  <si>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</si>
  <si>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</si>
  <si>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</si>
  <si>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</si>
  <si>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</si>
  <si>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</si>
  <si>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</si>
  <si>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</si>
  <si>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</si>
  <si>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</si>
  <si>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</si>
  <si>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</si>
  <si>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</si>
  <si>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</si>
  <si>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</si>
  <si>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</si>
  <si>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</si>
  <si>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</si>
  <si>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</si>
  <si>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</si>
  <si>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</si>
  <si>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</si>
  <si>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</si>
  <si>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</si>
  <si>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</si>
  <si>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</si>
  <si>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</si>
  <si>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Fulton, Knox, and Warren</t>
  </si>
  <si>
    <t>507 N Monroe Street, Ste #3</t>
  </si>
  <si>
    <t>Abingdon</t>
  </si>
  <si>
    <t>mcurry@atown276.net</t>
  </si>
  <si>
    <t>Michael Curry</t>
  </si>
  <si>
    <t>(309)462-2301</t>
  </si>
  <si>
    <t>(309)462-3870</t>
  </si>
  <si>
    <t>Ginoli &amp; Company Ltd</t>
  </si>
  <si>
    <t>Mark D. Reinken</t>
  </si>
  <si>
    <t>7625 N. University Street, Suite A</t>
  </si>
  <si>
    <t>Peoria</t>
  </si>
  <si>
    <t>61614-8303</t>
  </si>
  <si>
    <t>(309)671-2350</t>
  </si>
  <si>
    <t>(309)671-5459</t>
  </si>
  <si>
    <t>066-005055</t>
  </si>
  <si>
    <t>mreinken@ginolicpa.com</t>
  </si>
  <si>
    <t>x</t>
  </si>
  <si>
    <t>Adverse due to regulatory basis of accounting.</t>
  </si>
  <si>
    <t>2019 General Obligation Bonds</t>
  </si>
  <si>
    <t>ISDLAF</t>
  </si>
  <si>
    <t>IASA Job Bank - other school districts</t>
  </si>
  <si>
    <t>Knox-Warren Counties Special Education</t>
  </si>
  <si>
    <t>Delabar Vocational Education System</t>
  </si>
  <si>
    <t>commodities</t>
  </si>
  <si>
    <t>Summer Food Service Program for Children</t>
  </si>
  <si>
    <t>Title V-Rural Education Initiative</t>
  </si>
  <si>
    <t>Title I-School Improvement</t>
  </si>
  <si>
    <t>84.377A</t>
  </si>
  <si>
    <t>Title II-Teacher Quality</t>
  </si>
  <si>
    <t>84.010A</t>
  </si>
  <si>
    <t>N/A</t>
  </si>
  <si>
    <t>UNMODIFIED</t>
  </si>
  <si>
    <t>ADVERSE</t>
  </si>
  <si>
    <t>IDEA_Special Education</t>
  </si>
  <si>
    <t>Internal controls are enhanced when the responsibilities for authorizing, approving, executing, and recording transactions are seperated among employees.  The segregation of these responsibilities also decreases the possibility of fraud, inefficiencies and/or errors</t>
  </si>
  <si>
    <t>Most of the accounting functions, including those related to cash transactions, payroll, and the general ledger, are controlled by a single individual.  Consequently there is an inadequate segregation of duties.</t>
  </si>
  <si>
    <t>None</t>
  </si>
  <si>
    <t>This type of weakness is inherent in school districts with a small number of employees in the business office and may be eliminated only by employing additional staff and segregating duties.  This action is not practical in the circumstances.</t>
  </si>
  <si>
    <t>Due to the size of the District and the number of employees, corrective action is not practical in the circumstances.</t>
  </si>
  <si>
    <t>Constellation Energy</t>
  </si>
  <si>
    <t>Constellation New Gas Division</t>
  </si>
  <si>
    <t>Herr Petroleum</t>
  </si>
  <si>
    <t>OBM-SUPPORT SERVICES-PURCHASED SERVICES</t>
  </si>
  <si>
    <t>TRANS-SUPPORT SERVICES-SUPPLIES</t>
  </si>
  <si>
    <t>ED FUND-SUPPORT SERVICES-PURCHASED SERVICES</t>
  </si>
  <si>
    <t>Prairie Farms</t>
  </si>
  <si>
    <t>TORT-SUPPORT SERVICES-PURCHASED SERVICES</t>
  </si>
  <si>
    <t>ICRMT</t>
  </si>
  <si>
    <t>84.027A</t>
  </si>
  <si>
    <t>Page 10, Line 92, Educational Fund - Technology insurance fees $2,961</t>
  </si>
  <si>
    <t>Page 12, Line 168 - Educational Fund - $24,644 - miscellaneous; Operations &amp; Maintenance Fund - School Maintenace Grant - $25,000</t>
  </si>
  <si>
    <t>Page 19, Line 237, Municipal Retirement/Social Security Fund - Technology benefits - $13,452</t>
  </si>
  <si>
    <t>Page 20, Line 278, Municipal Retirement/Social Security Fund - Title I benefits - $462</t>
  </si>
  <si>
    <t>Transportation Fund - fees from other LEA's - $5,957</t>
  </si>
  <si>
    <t>IDEA Part B Pre-School Flow-through</t>
  </si>
  <si>
    <t>Emergency Relief Grant</t>
  </si>
  <si>
    <t>84.425E</t>
  </si>
  <si>
    <t>GINOLI &amp; COMPANY LTD</t>
  </si>
  <si>
    <t>Page 14, Line 265, Educational Fund - miscellaneous federal grant - $1,446</t>
  </si>
  <si>
    <t>Page 16, Line 73, Educational Fund - Liaison salary $7,027</t>
  </si>
  <si>
    <t>Title I-Low Income</t>
  </si>
  <si>
    <t xml:space="preserve">Page 15, Line 41, Educational Fund - Technology expenses - salary $156,936, benefits $11,076, purchased services $72,956, </t>
  </si>
  <si>
    <t>supplies &amp; materials, $39,527, capital outlay, $5,740</t>
  </si>
  <si>
    <t>IL</t>
  </si>
  <si>
    <t>61410-1285</t>
  </si>
  <si>
    <t xml:space="preserve">Page 11, Line 107 - Educational Fund - E-Rate - $32,160, miscellaneous - $11,773; Operations &amp; Maintenance Fund - CSC Dual Credit - $5,184; </t>
  </si>
  <si>
    <t>(M)Title I - Low Income</t>
  </si>
  <si>
    <t>(M)IDEA Part B Flow-through</t>
  </si>
  <si>
    <r>
      <t>The accompanying Schedule of Expenditures of Federal Awards includes the federal grant activity of Abingdon-Avon Community Unit School District #276 and is presented on the Regulatory</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</si>
  <si>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Abingdon-Avon Community Unit School District #276 provided federal awards to subrecipients as follows:</t>
  </si>
  <si>
    <r>
      <t xml:space="preserve">The following amounts were expended in the form of non-cash assistance by Abingdon-Avon Community Unit School District #276 and </t>
    </r>
    <r>
      <rPr>
        <b/>
        <sz val="9"/>
        <rFont val="Calibri"/>
        <family val="2"/>
        <scheme val="minor"/>
      </rPr>
      <t>should be</t>
    </r>
    <r>
      <rPr>
        <sz val="9"/>
        <rFont val="Calibri"/>
        <family val="2"/>
        <scheme val="minor"/>
      </rPr>
      <t xml:space="preserve"> included in the Schedule of Expenditures of Federal Awards:</t>
    </r>
  </si>
  <si>
    <t xml:space="preserve">  Abingdon-Avon CUSD 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</si>
</sst>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7</xdr:row>
          <xdr:rowOff>19050</xdr:rowOff>
        </xdr:from>
        <xdr:to>
          <xdr:col>1</xdr:col>
          <xdr:colOff>2133600</xdr:colOff>
          <xdr:row>10</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2200275</xdr:colOff>
          <xdr:row>6</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3"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2048</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33048276026</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2049</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2120</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2050</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2112</v>
      </c>
      <c r="Y19" s="2116"/>
      <c r="Z19" s="2113" t="s">
        <v>2060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2051</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2052</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t="s">
        <v>2113</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2053</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2052</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2054</v>
      </c>
      <c r="B42" s="2057"/>
      <c r="C42" s="2058"/>
      <c r="D42" s="2056" t="s">
        <v>2055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X32" sqref="X32"/>
      <selection pane="bottomLeft" activeCell="K50" sqref="K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2892+1482063+70859+48393+307+549588+69543+716+580397+10639+260+13538+397+2692</f>
        <v>2832284</v>
      </c>
      <c r="D5" s="1573">
        <f>308+17+27+898+8802+13955+181276+3469+5501+49144+3514+5571+59630-2</f>
        <v>332110</v>
      </c>
      <c r="E5" s="1573">
        <f>10877+50+100+177+24328+430+620</f>
        <v>36582</v>
      </c>
      <c r="F5" s="1573">
        <f>17775+18122+11672+8829+262+628+29407+13685+2400+868+860+291+352+565+3868+486+581+442+2367+3915</f>
        <v>117375</v>
      </c>
      <c r="G5" s="1573"/>
      <c r="H5" s="1573"/>
      <c r="I5" s="1574"/>
      <c r="J5" s="1574"/>
      <c r="K5" s="1672">
        <f>SUM(C5:J5)</f>
        <v>3318351</v>
      </c>
      <c r="L5" s="1573">
        <v>3517349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f>117443+882+133139</f>
        <v>251464</v>
      </c>
      <c r="D7" s="1574">
        <f>1051+1666+30555</f>
        <v>33272</v>
      </c>
      <c r="E7" s="1574"/>
      <c r="F7" s="1574">
        <v>6728</v>
      </c>
      <c r="G7" s="1574"/>
      <c r="H7" s="1574"/>
      <c r="I7" s="1574"/>
      <c r="J7" s="1574"/>
      <c r="K7" s="1672">
        <f t="shared" ref="K7:K32" si="0">SUM(C7:J7)</f>
        <v>291464</v>
      </c>
      <c r="L7" s="1573">
        <v>335949</v>
      </c>
    </row>
    <row r="8" spans="1:14" x14ac:dyDescent="0.2">
      <c r="A8" s="1274" t="s">
        <v>163</v>
      </c>
      <c r="B8" s="503">
        <v>1200</v>
      </c>
      <c r="C8" s="1573">
        <f>314712+127901+8334+1265+7120+39</f>
        <v>459371</v>
      </c>
      <c r="D8" s="1573">
        <f>1979+3050+53977</f>
        <v>59006</v>
      </c>
      <c r="E8" s="1573"/>
      <c r="F8" s="1573">
        <v>9157</v>
      </c>
      <c r="G8" s="1573"/>
      <c r="H8" s="1573"/>
      <c r="I8" s="1574"/>
      <c r="J8" s="1574"/>
      <c r="K8" s="1672">
        <f t="shared" si="0"/>
        <v>527534</v>
      </c>
      <c r="L8" s="1573">
        <v>556500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f>124574</f>
        <v>124574</v>
      </c>
      <c r="D10" s="1573">
        <f>1510+8474+1983+21113</f>
        <v>33080</v>
      </c>
      <c r="E10" s="1573">
        <v>53500</v>
      </c>
      <c r="F10" s="1573">
        <v>105647</v>
      </c>
      <c r="G10" s="1573">
        <v>44388</v>
      </c>
      <c r="H10" s="1573"/>
      <c r="I10" s="1574"/>
      <c r="J10" s="1574"/>
      <c r="K10" s="1672">
        <f t="shared" si="0"/>
        <v>361189</v>
      </c>
      <c r="L10" s="1573">
        <v>401598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f>169148+2470+658</f>
        <v>172276</v>
      </c>
      <c r="D13" s="1573">
        <f>1006+1595+7202</f>
        <v>9803</v>
      </c>
      <c r="E13" s="1573">
        <v>6881</v>
      </c>
      <c r="F13" s="1573">
        <f>5031+1490+4159</f>
        <v>10680</v>
      </c>
      <c r="G13" s="1573"/>
      <c r="H13" s="1573"/>
      <c r="I13" s="1574"/>
      <c r="J13" s="1574"/>
      <c r="K13" s="1672">
        <f t="shared" si="0"/>
        <v>199640</v>
      </c>
      <c r="L13" s="1573">
        <v>228800</v>
      </c>
    </row>
    <row r="14" spans="1:14" x14ac:dyDescent="0.2">
      <c r="A14" s="1274" t="s">
        <v>957</v>
      </c>
      <c r="B14" s="503">
        <v>1500</v>
      </c>
      <c r="C14" s="1573">
        <f>3816+16430+5512+9646+5512+9646+5959+10688+4240+6996+6996+2435+5878+3710+6000+1086+2120+1749+3498+2544+407+1060+1590+1590+2438+2226+3604+901+2279+1007+10388+5936</f>
        <v>147887</v>
      </c>
      <c r="D14" s="1573">
        <f>85+136+22+34+88+139+25+39+56+89+6+10+30+48+15+24+6+10+18+29+13+20+21+33+18+29+6+9+60+96+34+55</f>
        <v>1303</v>
      </c>
      <c r="E14" s="1573">
        <f>2641+4155+1120+3803+875+1160+3458+1140+2935+1290+4189+1825+720+100</f>
        <v>29411</v>
      </c>
      <c r="F14" s="1573">
        <f>2414+442+11384+522+624+159+676+165+195+1498+1219+23524+4342+1100</f>
        <v>48264</v>
      </c>
      <c r="G14" s="1573"/>
      <c r="H14" s="1573"/>
      <c r="I14" s="1574"/>
      <c r="J14" s="1574"/>
      <c r="K14" s="1672">
        <f t="shared" si="0"/>
        <v>226865</v>
      </c>
      <c r="L14" s="1573">
        <v>262634</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24258</v>
      </c>
      <c r="D17" s="1574">
        <f>141+225+2694</f>
        <v>3060</v>
      </c>
      <c r="E17" s="1574">
        <v>20</v>
      </c>
      <c r="F17" s="1574">
        <v>24</v>
      </c>
      <c r="G17" s="1574"/>
      <c r="H17" s="1574"/>
      <c r="I17" s="1574"/>
      <c r="J17" s="1574"/>
      <c r="K17" s="1672">
        <f t="shared" si="0"/>
        <v>27362</v>
      </c>
      <c r="L17" s="1573">
        <v>27702</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4012114</v>
      </c>
      <c r="D33" s="1674">
        <f t="shared" ref="D33:L33" si="1">SUM(D5:D32)</f>
        <v>471634</v>
      </c>
      <c r="E33" s="1674">
        <f t="shared" si="1"/>
        <v>126394</v>
      </c>
      <c r="F33" s="1674">
        <f t="shared" si="1"/>
        <v>297875</v>
      </c>
      <c r="G33" s="1674">
        <f t="shared" si="1"/>
        <v>44388</v>
      </c>
      <c r="H33" s="1674">
        <f t="shared" si="1"/>
        <v>0</v>
      </c>
      <c r="I33" s="1674">
        <f t="shared" si="1"/>
        <v>0</v>
      </c>
      <c r="J33" s="1674">
        <f t="shared" si="1"/>
        <v>0</v>
      </c>
      <c r="K33" s="1674">
        <f t="shared" si="1"/>
        <v>4952405</v>
      </c>
      <c r="L33" s="1674">
        <f t="shared" si="1"/>
        <v>5330532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f>26220+23814</f>
        <v>50034</v>
      </c>
      <c r="D36" s="1586">
        <f>18+3</f>
        <v>21</v>
      </c>
      <c r="E36" s="1586"/>
      <c r="F36" s="1586"/>
      <c r="G36" s="1586"/>
      <c r="H36" s="1586"/>
      <c r="I36" s="1574"/>
      <c r="J36" s="1574"/>
      <c r="K36" s="1672">
        <f t="shared" ref="K36:K41" si="2">SUM(C36:J36)</f>
        <v>50055</v>
      </c>
      <c r="L36" s="1573">
        <v>57815</v>
      </c>
    </row>
    <row r="37" spans="1:14" x14ac:dyDescent="0.2">
      <c r="A37" s="1274" t="s">
        <v>1081</v>
      </c>
      <c r="B37" s="503">
        <v>2120</v>
      </c>
      <c r="C37" s="1573">
        <v>140245</v>
      </c>
      <c r="D37" s="1573">
        <f>850+1347+9006</f>
        <v>11203</v>
      </c>
      <c r="E37" s="1573"/>
      <c r="F37" s="1573"/>
      <c r="G37" s="1573"/>
      <c r="H37" s="1573"/>
      <c r="I37" s="1574"/>
      <c r="J37" s="1574"/>
      <c r="K37" s="1672">
        <f t="shared" si="2"/>
        <v>151448</v>
      </c>
      <c r="L37" s="1573">
        <v>155150</v>
      </c>
    </row>
    <row r="38" spans="1:14" x14ac:dyDescent="0.2">
      <c r="A38" s="1274" t="s">
        <v>196</v>
      </c>
      <c r="B38" s="503">
        <v>2130</v>
      </c>
      <c r="C38" s="1573">
        <v>41613</v>
      </c>
      <c r="D38" s="1573">
        <v>4057</v>
      </c>
      <c r="E38" s="1573"/>
      <c r="F38" s="1573">
        <v>4315</v>
      </c>
      <c r="G38" s="1573"/>
      <c r="H38" s="1573"/>
      <c r="I38" s="1574"/>
      <c r="J38" s="1574"/>
      <c r="K38" s="1672">
        <f t="shared" si="2"/>
        <v>49985</v>
      </c>
      <c r="L38" s="1573">
        <v>57100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f>82731+41200+33005</f>
        <v>156936</v>
      </c>
      <c r="D41" s="1573">
        <f>11076</f>
        <v>11076</v>
      </c>
      <c r="E41" s="1573">
        <f>3265+39000+29692+999</f>
        <v>72956</v>
      </c>
      <c r="F41" s="1573">
        <v>39527</v>
      </c>
      <c r="G41" s="1573">
        <v>5740</v>
      </c>
      <c r="H41" s="1573"/>
      <c r="I41" s="1574"/>
      <c r="J41" s="1574"/>
      <c r="K41" s="1672">
        <f t="shared" si="2"/>
        <v>286235</v>
      </c>
      <c r="L41" s="1573">
        <v>474000</v>
      </c>
    </row>
    <row r="42" spans="1:14" ht="12.75" customHeight="1" thickBot="1" x14ac:dyDescent="0.25">
      <c r="A42" s="1380" t="s">
        <v>556</v>
      </c>
      <c r="B42" s="1381" t="s">
        <v>711</v>
      </c>
      <c r="C42" s="1674">
        <f>SUM(C36:C41)</f>
        <v>388828</v>
      </c>
      <c r="D42" s="1674">
        <f t="shared" ref="D42:L42" si="3">SUM(D36:D41)</f>
        <v>26357</v>
      </c>
      <c r="E42" s="1674">
        <f t="shared" si="3"/>
        <v>72956</v>
      </c>
      <c r="F42" s="1674">
        <f t="shared" si="3"/>
        <v>43842</v>
      </c>
      <c r="G42" s="1674">
        <f t="shared" si="3"/>
        <v>5740</v>
      </c>
      <c r="H42" s="1674">
        <f t="shared" si="3"/>
        <v>0</v>
      </c>
      <c r="I42" s="1674">
        <f t="shared" si="3"/>
        <v>0</v>
      </c>
      <c r="J42" s="1674">
        <f t="shared" si="3"/>
        <v>0</v>
      </c>
      <c r="K42" s="1674">
        <f t="shared" si="3"/>
        <v>537723</v>
      </c>
      <c r="L42" s="1674">
        <f t="shared" si="3"/>
        <v>744065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121122+5887</f>
        <v>127009</v>
      </c>
      <c r="D44" s="1586">
        <f>568+900+4992+23234</f>
        <v>29694</v>
      </c>
      <c r="E44" s="1586">
        <f>41917+14038</f>
        <v>55955</v>
      </c>
      <c r="F44" s="1586">
        <v>165</v>
      </c>
      <c r="G44" s="1586"/>
      <c r="H44" s="1586"/>
      <c r="I44" s="1574"/>
      <c r="J44" s="1574"/>
      <c r="K44" s="1678">
        <f>SUM(C44:J44)</f>
        <v>212823</v>
      </c>
      <c r="L44" s="1586">
        <v>237116</v>
      </c>
    </row>
    <row r="45" spans="1:14" x14ac:dyDescent="0.2">
      <c r="A45" s="1274" t="s">
        <v>810</v>
      </c>
      <c r="B45" s="503">
        <v>2220</v>
      </c>
      <c r="C45" s="1573">
        <f>733+33953</f>
        <v>34686</v>
      </c>
      <c r="D45" s="1573">
        <f>5397</f>
        <v>5397</v>
      </c>
      <c r="E45" s="1573"/>
      <c r="F45" s="1573">
        <f>820+7023</f>
        <v>7843</v>
      </c>
      <c r="G45" s="1573"/>
      <c r="H45" s="1573"/>
      <c r="I45" s="1574"/>
      <c r="J45" s="1574"/>
      <c r="K45" s="1678">
        <f>SUM(C45:J45)</f>
        <v>47926</v>
      </c>
      <c r="L45" s="1573">
        <v>46370</v>
      </c>
    </row>
    <row r="46" spans="1:14" x14ac:dyDescent="0.2">
      <c r="A46" s="1274" t="s">
        <v>811</v>
      </c>
      <c r="B46" s="503">
        <v>2230</v>
      </c>
      <c r="C46" s="1573"/>
      <c r="D46" s="1573"/>
      <c r="E46" s="1573">
        <v>16918</v>
      </c>
      <c r="F46" s="1573"/>
      <c r="G46" s="1573"/>
      <c r="H46" s="1573"/>
      <c r="I46" s="1574"/>
      <c r="J46" s="1574"/>
      <c r="K46" s="1678">
        <f>SUM(C46:J46)</f>
        <v>16918</v>
      </c>
      <c r="L46" s="1573">
        <v>17326</v>
      </c>
    </row>
    <row r="47" spans="1:14" ht="12.75" customHeight="1" thickBot="1" x14ac:dyDescent="0.25">
      <c r="A47" s="1380" t="s">
        <v>557</v>
      </c>
      <c r="B47" s="1381" t="s">
        <v>32</v>
      </c>
      <c r="C47" s="1674">
        <f>SUM(C44:C46)</f>
        <v>161695</v>
      </c>
      <c r="D47" s="1674">
        <f t="shared" ref="D47:K47" si="4">SUM(D44:D46)</f>
        <v>35091</v>
      </c>
      <c r="E47" s="1674">
        <f t="shared" si="4"/>
        <v>72873</v>
      </c>
      <c r="F47" s="1674">
        <f t="shared" si="4"/>
        <v>8008</v>
      </c>
      <c r="G47" s="1674">
        <f t="shared" si="4"/>
        <v>0</v>
      </c>
      <c r="H47" s="1674">
        <f t="shared" si="4"/>
        <v>0</v>
      </c>
      <c r="I47" s="1674">
        <f t="shared" si="4"/>
        <v>0</v>
      </c>
      <c r="J47" s="1674">
        <f t="shared" si="4"/>
        <v>0</v>
      </c>
      <c r="K47" s="1674">
        <f t="shared" si="4"/>
        <v>277667</v>
      </c>
      <c r="L47" s="1674">
        <f>SUM(L44:L46)</f>
        <v>300812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36594</v>
      </c>
      <c r="D49" s="1586">
        <v>18</v>
      </c>
      <c r="E49" s="1586">
        <f>6975+2348+13845+850</f>
        <v>24018</v>
      </c>
      <c r="F49" s="1586">
        <v>4633</v>
      </c>
      <c r="G49" s="1586"/>
      <c r="H49" s="1586">
        <v>4972</v>
      </c>
      <c r="I49" s="1574"/>
      <c r="J49" s="1574"/>
      <c r="K49" s="1678">
        <f>SUM(C49:J49)</f>
        <v>70235</v>
      </c>
      <c r="L49" s="1586">
        <v>206550</v>
      </c>
    </row>
    <row r="50" spans="1:14" x14ac:dyDescent="0.2">
      <c r="A50" s="1274" t="s">
        <v>813</v>
      </c>
      <c r="B50" s="503">
        <v>2320</v>
      </c>
      <c r="C50" s="1573">
        <f>116223</f>
        <v>116223</v>
      </c>
      <c r="D50" s="1573">
        <f>12591+828+2999+12648</f>
        <v>29066</v>
      </c>
      <c r="E50" s="1573">
        <v>3834</v>
      </c>
      <c r="F50" s="1573">
        <f>1618</f>
        <v>1618</v>
      </c>
      <c r="G50" s="1573"/>
      <c r="H50" s="1573">
        <v>2713</v>
      </c>
      <c r="I50" s="1574"/>
      <c r="J50" s="1574"/>
      <c r="K50" s="1678">
        <f>SUM(C50:J50)</f>
        <v>153454</v>
      </c>
      <c r="L50" s="1573">
        <v>152825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152817</v>
      </c>
      <c r="D53" s="1674">
        <f t="shared" ref="D53:L53" si="5">SUM(D49:D52)</f>
        <v>29084</v>
      </c>
      <c r="E53" s="1674">
        <f t="shared" si="5"/>
        <v>27852</v>
      </c>
      <c r="F53" s="1674">
        <f t="shared" si="5"/>
        <v>6251</v>
      </c>
      <c r="G53" s="1674">
        <f t="shared" si="5"/>
        <v>0</v>
      </c>
      <c r="H53" s="1674">
        <f t="shared" si="5"/>
        <v>7685</v>
      </c>
      <c r="I53" s="1674">
        <f t="shared" si="5"/>
        <v>0</v>
      </c>
      <c r="J53" s="1674">
        <f t="shared" si="5"/>
        <v>0</v>
      </c>
      <c r="K53" s="1674">
        <f t="shared" si="5"/>
        <v>223689</v>
      </c>
      <c r="L53" s="1674">
        <f t="shared" si="5"/>
        <v>359375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107876+47740+577+91000+47741+92700+116841</f>
        <v>504475</v>
      </c>
      <c r="D55" s="1586">
        <f>2438+3866+21759</f>
        <v>28063</v>
      </c>
      <c r="E55" s="1586">
        <f>1027+550</f>
        <v>1577</v>
      </c>
      <c r="F55" s="1586">
        <f>1049+1736</f>
        <v>2785</v>
      </c>
      <c r="G55" s="1586"/>
      <c r="H55" s="1586">
        <v>1651</v>
      </c>
      <c r="I55" s="1574"/>
      <c r="J55" s="1574"/>
      <c r="K55" s="1678">
        <f>SUM(C55:J55)</f>
        <v>538551</v>
      </c>
      <c r="L55" s="1586">
        <v>545693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504475</v>
      </c>
      <c r="D57" s="1679">
        <f t="shared" ref="D57:K57" si="6">SUM(D55:D56)</f>
        <v>28063</v>
      </c>
      <c r="E57" s="1679">
        <f t="shared" si="6"/>
        <v>1577</v>
      </c>
      <c r="F57" s="1679">
        <f t="shared" si="6"/>
        <v>2785</v>
      </c>
      <c r="G57" s="1679">
        <f t="shared" si="6"/>
        <v>0</v>
      </c>
      <c r="H57" s="1679">
        <f t="shared" si="6"/>
        <v>1651</v>
      </c>
      <c r="I57" s="1679">
        <f t="shared" si="6"/>
        <v>0</v>
      </c>
      <c r="J57" s="1679">
        <f t="shared" si="6"/>
        <v>0</v>
      </c>
      <c r="K57" s="1679">
        <f t="shared" si="6"/>
        <v>538551</v>
      </c>
      <c r="L57" s="1674">
        <f>SUM(L55:L56)</f>
        <v>545693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52590</v>
      </c>
      <c r="D60" s="1573">
        <v>5670</v>
      </c>
      <c r="E60" s="1573">
        <f>1000+4584</f>
        <v>5584</v>
      </c>
      <c r="F60" s="1573">
        <v>1207</v>
      </c>
      <c r="G60" s="1573"/>
      <c r="H60" s="1573"/>
      <c r="I60" s="1574"/>
      <c r="J60" s="1574"/>
      <c r="K60" s="1678">
        <f t="shared" si="7"/>
        <v>65051</v>
      </c>
      <c r="L60" s="1573">
        <v>68265</v>
      </c>
      <c r="M60" s="501"/>
      <c r="N60" s="501"/>
    </row>
    <row r="61" spans="1:14" s="321" customFormat="1" x14ac:dyDescent="0.2">
      <c r="A61" s="1274" t="s">
        <v>195</v>
      </c>
      <c r="B61" s="503">
        <v>2540</v>
      </c>
      <c r="C61" s="1573">
        <f>188128+48428+3350</f>
        <v>239906</v>
      </c>
      <c r="D61" s="1573">
        <f>35934</f>
        <v>35934</v>
      </c>
      <c r="E61" s="1573">
        <f>236+10842</f>
        <v>11078</v>
      </c>
      <c r="F61" s="1573"/>
      <c r="G61" s="1573">
        <v>6648</v>
      </c>
      <c r="H61" s="1573"/>
      <c r="I61" s="1574"/>
      <c r="J61" s="1574"/>
      <c r="K61" s="1678">
        <f t="shared" si="7"/>
        <v>293566</v>
      </c>
      <c r="L61" s="1573">
        <v>311725</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f>180226+2328</f>
        <v>182554</v>
      </c>
      <c r="D63" s="1573">
        <f>32772</f>
        <v>32772</v>
      </c>
      <c r="E63" s="1573">
        <f>2946</f>
        <v>2946</v>
      </c>
      <c r="F63" s="1573">
        <f>239081+8534+8260</f>
        <v>255875</v>
      </c>
      <c r="G63" s="1573">
        <v>3044</v>
      </c>
      <c r="H63" s="1573"/>
      <c r="I63" s="1574"/>
      <c r="J63" s="1574"/>
      <c r="K63" s="1678">
        <f t="shared" si="7"/>
        <v>477191</v>
      </c>
      <c r="L63" s="1573">
        <v>540118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475050</v>
      </c>
      <c r="D65" s="1674">
        <f t="shared" ref="D65:L65" si="8">SUM(D59:D64)</f>
        <v>74376</v>
      </c>
      <c r="E65" s="1674">
        <f t="shared" si="8"/>
        <v>19608</v>
      </c>
      <c r="F65" s="1674">
        <f t="shared" si="8"/>
        <v>257082</v>
      </c>
      <c r="G65" s="1674">
        <f t="shared" si="8"/>
        <v>9692</v>
      </c>
      <c r="H65" s="1674">
        <f t="shared" si="8"/>
        <v>0</v>
      </c>
      <c r="I65" s="1674">
        <f t="shared" si="8"/>
        <v>0</v>
      </c>
      <c r="J65" s="1674">
        <f t="shared" si="8"/>
        <v>0</v>
      </c>
      <c r="K65" s="1674">
        <f t="shared" si="8"/>
        <v>835808</v>
      </c>
      <c r="L65" s="1674">
        <f t="shared" si="8"/>
        <v>920108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7027</v>
      </c>
      <c r="D73" s="1649">
        <v>3</v>
      </c>
      <c r="E73" s="1649"/>
      <c r="F73" s="1649"/>
      <c r="G73" s="1649"/>
      <c r="H73" s="1649"/>
      <c r="I73" s="1627"/>
      <c r="J73" s="1627"/>
      <c r="K73" s="1674">
        <f>SUM(C73:J73)</f>
        <v>7030</v>
      </c>
      <c r="L73" s="1651">
        <v>12219</v>
      </c>
      <c r="M73" s="501"/>
      <c r="N73" s="501"/>
    </row>
    <row r="74" spans="1:14" ht="12.75" customHeight="1" thickTop="1" thickBot="1" x14ac:dyDescent="0.25">
      <c r="A74" s="1380" t="s">
        <v>806</v>
      </c>
      <c r="B74" s="1384">
        <v>2000</v>
      </c>
      <c r="C74" s="1681">
        <f>SUM(C42,C47,C53,C57,C65,C72,C73)</f>
        <v>1689892</v>
      </c>
      <c r="D74" s="1681">
        <f t="shared" ref="D74:K74" si="10">SUM(D42,D47,D53,D57,D65,D72,D73)</f>
        <v>192974</v>
      </c>
      <c r="E74" s="1681">
        <f t="shared" si="10"/>
        <v>194866</v>
      </c>
      <c r="F74" s="1681">
        <f t="shared" si="10"/>
        <v>317968</v>
      </c>
      <c r="G74" s="1681">
        <f t="shared" si="10"/>
        <v>15432</v>
      </c>
      <c r="H74" s="1681">
        <f t="shared" si="10"/>
        <v>9336</v>
      </c>
      <c r="I74" s="1681">
        <f t="shared" si="10"/>
        <v>0</v>
      </c>
      <c r="J74" s="1681">
        <f t="shared" si="10"/>
        <v>0</v>
      </c>
      <c r="K74" s="1681">
        <f t="shared" si="10"/>
        <v>2420468</v>
      </c>
      <c r="L74" s="1681">
        <f>SUM(L42,L47,L53,L57,L65,L72,L73)</f>
        <v>2882272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3200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f>1605+232</f>
        <v>1837</v>
      </c>
      <c r="F78" s="1673"/>
      <c r="G78" s="1673"/>
      <c r="H78" s="1682"/>
      <c r="I78" s="1582"/>
      <c r="J78" s="1582"/>
      <c r="K78" s="1672">
        <f t="shared" ref="K78:K83" si="11">SUM(C78:J78)</f>
        <v>1837</v>
      </c>
      <c r="L78" s="1586">
        <v>18963</v>
      </c>
    </row>
    <row r="79" spans="1:14" x14ac:dyDescent="0.2">
      <c r="A79" s="1274" t="s">
        <v>301</v>
      </c>
      <c r="B79" s="503">
        <v>4120</v>
      </c>
      <c r="C79" s="1673"/>
      <c r="D79" s="1673"/>
      <c r="E79" s="1573">
        <f>239957+620034+69053</f>
        <v>929044</v>
      </c>
      <c r="F79" s="1673"/>
      <c r="G79" s="1673"/>
      <c r="H79" s="1573"/>
      <c r="I79" s="1582"/>
      <c r="J79" s="1582"/>
      <c r="K79" s="1672">
        <f t="shared" si="11"/>
        <v>929044</v>
      </c>
      <c r="L79" s="1573">
        <v>925000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15102</v>
      </c>
      <c r="F81" s="1673"/>
      <c r="G81" s="1673"/>
      <c r="H81" s="1573"/>
      <c r="I81" s="1582"/>
      <c r="J81" s="1582"/>
      <c r="K81" s="1672">
        <f t="shared" si="11"/>
        <v>15102</v>
      </c>
      <c r="L81" s="1573">
        <v>20000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945983</v>
      </c>
      <c r="F84" s="1673"/>
      <c r="G84" s="1673"/>
      <c r="H84" s="1674">
        <f>SUM(H78:H83)</f>
        <v>0</v>
      </c>
      <c r="I84" s="1582"/>
      <c r="J84" s="1582"/>
      <c r="K84" s="1674">
        <f>SUM(K78:K83)</f>
        <v>945983</v>
      </c>
      <c r="L84" s="1674">
        <f>SUM(L78:L83)</f>
        <v>963963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945983</v>
      </c>
      <c r="F102" s="1673"/>
      <c r="G102" s="1673"/>
      <c r="H102" s="1681">
        <f>SUM(H84,H92,H100,H101)</f>
        <v>0</v>
      </c>
      <c r="I102" s="1582"/>
      <c r="J102" s="1582"/>
      <c r="K102" s="1681">
        <f>SUM(K84,K92,K100,K101)</f>
        <v>945983</v>
      </c>
      <c r="L102" s="1681">
        <f>SUM(L84,L92,L100,L101)</f>
        <v>963963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150000</v>
      </c>
      <c r="M113" s="502"/>
      <c r="N113" s="502"/>
    </row>
    <row r="114" spans="1:14" ht="12.75" customHeight="1" thickTop="1" thickBot="1" x14ac:dyDescent="0.25">
      <c r="A114" s="1380" t="s">
        <v>48</v>
      </c>
      <c r="B114" s="1388"/>
      <c r="C114" s="1674">
        <f>SUM(C33,C74,C75,C102,C112,C113)</f>
        <v>5702006</v>
      </c>
      <c r="D114" s="1674">
        <f t="shared" ref="D114:K114" si="13">SUM(D33,D74,D75,D102,D112,D113)</f>
        <v>664608</v>
      </c>
      <c r="E114" s="1674">
        <f t="shared" si="13"/>
        <v>1267243</v>
      </c>
      <c r="F114" s="1674">
        <f t="shared" si="13"/>
        <v>615843</v>
      </c>
      <c r="G114" s="1674">
        <f t="shared" si="13"/>
        <v>59820</v>
      </c>
      <c r="H114" s="1674">
        <f>SUM(H33,H74,H75,H102,H112,H113)</f>
        <v>9336</v>
      </c>
      <c r="I114" s="1674">
        <f t="shared" si="13"/>
        <v>0</v>
      </c>
      <c r="J114" s="1674">
        <f t="shared" si="13"/>
        <v>0</v>
      </c>
      <c r="K114" s="1674">
        <f t="shared" si="13"/>
        <v>8318856</v>
      </c>
      <c r="L114" s="1674">
        <f>SUM(L33,L74,L75,L102,L112,L113)</f>
        <v>9329967</v>
      </c>
    </row>
    <row r="115" spans="1:14" ht="13.5" thickTop="1" x14ac:dyDescent="0.2">
      <c r="A115" s="2261" t="s">
        <v>989</v>
      </c>
      <c r="B115" s="2262"/>
      <c r="C115" s="1675"/>
      <c r="D115" s="1675"/>
      <c r="E115" s="1675"/>
      <c r="F115" s="1675"/>
      <c r="G115" s="1675"/>
      <c r="H115" s="1675"/>
      <c r="I115" s="1675"/>
      <c r="J115" s="1675"/>
      <c r="K115" s="1689">
        <f>'Revenues 9-14'!C268-'Expenditures 15-22'!K114</f>
        <v>807316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f>16656+53729</f>
        <v>70385</v>
      </c>
      <c r="D124" s="1573">
        <v>8129</v>
      </c>
      <c r="E124" s="1573">
        <f>48642+1052+6000+157326</f>
        <v>213020</v>
      </c>
      <c r="F124" s="1573">
        <f>43330+229+10484+5346+22629-22629+1497</f>
        <v>60886</v>
      </c>
      <c r="G124" s="1573">
        <f>22629+3933-1497</f>
        <v>25065</v>
      </c>
      <c r="H124" s="1573"/>
      <c r="I124" s="1574"/>
      <c r="J124" s="1574"/>
      <c r="K124" s="1674">
        <f>SUM(C124:J124)</f>
        <v>377485</v>
      </c>
      <c r="L124" s="1573">
        <v>843890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70385</v>
      </c>
      <c r="D127" s="1674">
        <f t="shared" ref="D127:L127" si="14">SUM(D122:D126)</f>
        <v>8129</v>
      </c>
      <c r="E127" s="1674">
        <f t="shared" si="14"/>
        <v>213020</v>
      </c>
      <c r="F127" s="1674">
        <f t="shared" si="14"/>
        <v>60886</v>
      </c>
      <c r="G127" s="1674">
        <f t="shared" si="14"/>
        <v>25065</v>
      </c>
      <c r="H127" s="1674">
        <f t="shared" si="14"/>
        <v>0</v>
      </c>
      <c r="I127" s="1674">
        <f t="shared" si="14"/>
        <v>0</v>
      </c>
      <c r="J127" s="1674">
        <f t="shared" si="14"/>
        <v>0</v>
      </c>
      <c r="K127" s="1674">
        <f t="shared" si="14"/>
        <v>377485</v>
      </c>
      <c r="L127" s="1674">
        <f t="shared" si="14"/>
        <v>843890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70385</v>
      </c>
      <c r="D129" s="1681">
        <f t="shared" ref="D129:L129" si="15">SUM(D120,D127,D128)</f>
        <v>8129</v>
      </c>
      <c r="E129" s="1681">
        <f t="shared" si="15"/>
        <v>213020</v>
      </c>
      <c r="F129" s="1681">
        <f t="shared" si="15"/>
        <v>60886</v>
      </c>
      <c r="G129" s="1681">
        <f t="shared" si="15"/>
        <v>25065</v>
      </c>
      <c r="H129" s="1681">
        <f t="shared" si="15"/>
        <v>0</v>
      </c>
      <c r="I129" s="1681">
        <f t="shared" si="15"/>
        <v>0</v>
      </c>
      <c r="J129" s="1681">
        <f t="shared" si="15"/>
        <v>0</v>
      </c>
      <c r="K129" s="1681">
        <f t="shared" si="15"/>
        <v>377485</v>
      </c>
      <c r="L129" s="1681">
        <f t="shared" si="15"/>
        <v>843890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70385</v>
      </c>
      <c r="D151" s="1674">
        <f t="shared" ref="D151:K151" si="16">SUM(D129,D130,D139,D149,D150)</f>
        <v>8129</v>
      </c>
      <c r="E151" s="1674">
        <f t="shared" si="16"/>
        <v>213020</v>
      </c>
      <c r="F151" s="1674">
        <f t="shared" si="16"/>
        <v>60886</v>
      </c>
      <c r="G151" s="1674">
        <f t="shared" si="16"/>
        <v>25065</v>
      </c>
      <c r="H151" s="1674">
        <f t="shared" si="16"/>
        <v>0</v>
      </c>
      <c r="I151" s="1674">
        <f t="shared" si="16"/>
        <v>0</v>
      </c>
      <c r="J151" s="1674">
        <f t="shared" si="16"/>
        <v>0</v>
      </c>
      <c r="K151" s="1674">
        <f t="shared" si="16"/>
        <v>377485</v>
      </c>
      <c r="L151" s="1674">
        <f>SUM(L129,L130,L139,L149,L150)</f>
        <v>843890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323980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49502</v>
      </c>
      <c r="I169" s="1673"/>
      <c r="J169" s="1673"/>
      <c r="K169" s="1672">
        <f>SUM(C169:H169)</f>
        <v>49502</v>
      </c>
      <c r="L169" s="1695">
        <v>50220</v>
      </c>
    </row>
    <row r="170" spans="1:14" ht="33.75" customHeight="1" x14ac:dyDescent="0.2">
      <c r="A170" s="543" t="s">
        <v>1651</v>
      </c>
      <c r="B170" s="545" t="s">
        <v>31</v>
      </c>
      <c r="C170" s="1673"/>
      <c r="D170" s="1673"/>
      <c r="E170" s="1673"/>
      <c r="F170" s="1673"/>
      <c r="G170" s="1673"/>
      <c r="H170" s="1646">
        <v>122600</v>
      </c>
      <c r="I170" s="1673"/>
      <c r="J170" s="1673"/>
      <c r="K170" s="1672">
        <f>SUM(C170:J170)</f>
        <v>122600</v>
      </c>
      <c r="L170" s="1646">
        <v>122600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172102</v>
      </c>
      <c r="I172" s="1684"/>
      <c r="J172" s="1673"/>
      <c r="K172" s="1681">
        <f>SUM(K168,K169,K170,K171)</f>
        <v>172102</v>
      </c>
      <c r="L172" s="1681">
        <f>SUM(L168,L169,L170,L171)</f>
        <v>172820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172102</v>
      </c>
      <c r="I174" s="1684"/>
      <c r="J174" s="1673"/>
      <c r="K174" s="1681">
        <f>SUM(K160,K172,K173)</f>
        <v>172102</v>
      </c>
      <c r="L174" s="1681">
        <f>SUM(L160,L172,L173)</f>
        <v>172820</v>
      </c>
    </row>
    <row r="175" spans="1:14" ht="13.5" thickTop="1" x14ac:dyDescent="0.2">
      <c r="A175" s="2261" t="s">
        <v>989</v>
      </c>
      <c r="B175" s="2262"/>
      <c r="C175" s="1673"/>
      <c r="D175" s="1673"/>
      <c r="E175" s="1673"/>
      <c r="F175" s="1673"/>
      <c r="G175" s="1673"/>
      <c r="H175" s="1675"/>
      <c r="I175" s="1673"/>
      <c r="J175" s="1673"/>
      <c r="K175" s="1689">
        <f>'Revenues 9-14'!E268-'Expenditures 15-22'!K174</f>
        <v>4371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439+1187+595+156+627+490+607+1618+1991+3068+1734+1116+645+862+2770+10516+13258+24072+1215+12669+4000+53002+2492+84711+6551</f>
        <v>230391</v>
      </c>
      <c r="D182" s="1573">
        <f>14526+869</f>
        <v>15395</v>
      </c>
      <c r="E182" s="1573">
        <f>930+282+5241+5631+5068+132090</f>
        <v>149242</v>
      </c>
      <c r="F182" s="1573">
        <f>2924+484+45280+9375</f>
        <v>58063</v>
      </c>
      <c r="G182" s="1573">
        <f>74750+132090-132090</f>
        <v>74750</v>
      </c>
      <c r="H182" s="1573"/>
      <c r="I182" s="1574"/>
      <c r="J182" s="1574"/>
      <c r="K182" s="1672">
        <f>SUM(C182:J182)</f>
        <v>527841</v>
      </c>
      <c r="L182" s="1573">
        <v>662695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230391</v>
      </c>
      <c r="D184" s="1681">
        <f t="shared" ref="D184:J184" si="17">SUM(D180,D182,D183)</f>
        <v>15395</v>
      </c>
      <c r="E184" s="1681">
        <f t="shared" si="17"/>
        <v>149242</v>
      </c>
      <c r="F184" s="1681">
        <f t="shared" si="17"/>
        <v>58063</v>
      </c>
      <c r="G184" s="1681">
        <f t="shared" si="17"/>
        <v>74750</v>
      </c>
      <c r="H184" s="1681">
        <f t="shared" si="17"/>
        <v>0</v>
      </c>
      <c r="I184" s="1681">
        <f t="shared" si="17"/>
        <v>0</v>
      </c>
      <c r="J184" s="1681">
        <f t="shared" si="17"/>
        <v>0</v>
      </c>
      <c r="K184" s="1681">
        <f>SUM(K180,K182,K183)</f>
        <v>527841</v>
      </c>
      <c r="L184" s="1681">
        <f>SUM(L180, L182:L183)</f>
        <v>662695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230391</v>
      </c>
      <c r="D210" s="1674">
        <f>SUM(D184,D185)</f>
        <v>15395</v>
      </c>
      <c r="E210" s="1674">
        <f>SUM(E184,E185,E196)</f>
        <v>149242</v>
      </c>
      <c r="F210" s="1674">
        <f>SUM(F184,F185)</f>
        <v>58063</v>
      </c>
      <c r="G210" s="1674">
        <f>SUM(G184,G185)</f>
        <v>74750</v>
      </c>
      <c r="H210" s="1674">
        <f>SUM(H184,H185,H196,H208,H209)</f>
        <v>0</v>
      </c>
      <c r="I210" s="1674">
        <f>SUM(I184,I185)</f>
        <v>0</v>
      </c>
      <c r="J210" s="1674">
        <f>SUM(J184,J185)</f>
        <v>0</v>
      </c>
      <c r="K210" s="1672">
        <f>SUM(K184,K185,K196,K208,K209)</f>
        <v>527841</v>
      </c>
      <c r="L210" s="1674">
        <f>SUM(L184,L185,L196,L208,L209)</f>
        <v>662695</v>
      </c>
    </row>
    <row r="211" spans="1:14" ht="13.5" thickTop="1" x14ac:dyDescent="0.2">
      <c r="A211" s="2261" t="s">
        <v>989</v>
      </c>
      <c r="B211" s="2262"/>
      <c r="C211" s="1675"/>
      <c r="D211" s="1675"/>
      <c r="E211" s="1675"/>
      <c r="F211" s="1675"/>
      <c r="G211" s="1675"/>
      <c r="H211" s="1675"/>
      <c r="I211" s="1673"/>
      <c r="J211" s="1673"/>
      <c r="K211" s="1689">
        <f>'Revenues 9-14'!F268-'Expenditures 15-22'!K210</f>
        <v>180541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42+788+4290+22049+8645+114+672+8431</f>
        <v>45031</v>
      </c>
      <c r="E215" s="1673"/>
      <c r="F215" s="1673"/>
      <c r="G215" s="1673"/>
      <c r="H215" s="1673"/>
      <c r="I215" s="1673"/>
      <c r="J215" s="1673"/>
      <c r="K215" s="1672">
        <f>D215</f>
        <v>45031</v>
      </c>
      <c r="L215" s="1573">
        <v>50200</v>
      </c>
    </row>
    <row r="216" spans="1:14" x14ac:dyDescent="0.2">
      <c r="A216" s="1274" t="s">
        <v>162</v>
      </c>
      <c r="B216" s="503" t="s">
        <v>961</v>
      </c>
      <c r="C216" s="1673"/>
      <c r="D216" s="1574">
        <f>747+4219+3012</f>
        <v>7978</v>
      </c>
      <c r="E216" s="1673"/>
      <c r="F216" s="1673"/>
      <c r="G216" s="1673"/>
      <c r="H216" s="1673"/>
      <c r="I216" s="1673"/>
      <c r="J216" s="1673"/>
      <c r="K216" s="1672">
        <f t="shared" ref="K216:K228" si="19">D216</f>
        <v>7978</v>
      </c>
      <c r="L216" s="1573">
        <v>8905</v>
      </c>
    </row>
    <row r="217" spans="1:14" x14ac:dyDescent="0.2">
      <c r="A217" s="1274" t="s">
        <v>163</v>
      </c>
      <c r="B217" s="503">
        <v>1200</v>
      </c>
      <c r="C217" s="1673"/>
      <c r="D217" s="1573">
        <f>1375+7799+9006</f>
        <v>18180</v>
      </c>
      <c r="E217" s="1673"/>
      <c r="F217" s="1673"/>
      <c r="G217" s="1673"/>
      <c r="H217" s="1673"/>
      <c r="I217" s="1673"/>
      <c r="J217" s="1673"/>
      <c r="K217" s="1672">
        <f t="shared" si="19"/>
        <v>18180</v>
      </c>
      <c r="L217" s="1573">
        <v>17495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v>2275</v>
      </c>
    </row>
    <row r="223" spans="1:14" x14ac:dyDescent="0.2">
      <c r="A223" s="1274" t="s">
        <v>957</v>
      </c>
      <c r="B223" s="503">
        <v>1500</v>
      </c>
      <c r="C223" s="1673"/>
      <c r="D223" s="1573">
        <f>342+291+75+940+80+140+342+368+220+238+61+434+101+55+434+101+32+513+118+140+131+41+76+86+150+14+46+51+28+35+151+45+15+6+32</f>
        <v>5932</v>
      </c>
      <c r="E223" s="1673"/>
      <c r="F223" s="1673"/>
      <c r="G223" s="1673"/>
      <c r="H223" s="1673"/>
      <c r="I223" s="1673"/>
      <c r="J223" s="1673"/>
      <c r="K223" s="1672">
        <f t="shared" si="19"/>
        <v>5932</v>
      </c>
      <c r="L223" s="1573">
        <v>4720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312</v>
      </c>
      <c r="E226" s="1673"/>
      <c r="F226" s="1673"/>
      <c r="G226" s="1673"/>
      <c r="H226" s="1673"/>
      <c r="I226" s="1673"/>
      <c r="J226" s="1673"/>
      <c r="K226" s="1672">
        <f t="shared" si="19"/>
        <v>312</v>
      </c>
      <c r="L226" s="1573">
        <v>325</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77433</v>
      </c>
      <c r="E229" s="1673"/>
      <c r="F229" s="1673"/>
      <c r="G229" s="1673"/>
      <c r="H229" s="1673"/>
      <c r="I229" s="1673"/>
      <c r="J229" s="1673"/>
      <c r="K229" s="1674">
        <f>SUM(K215:K228)</f>
        <v>77433</v>
      </c>
      <c r="L229" s="1674">
        <f>SUM(L215:L228)</f>
        <v>83920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f>378+516+2232</f>
        <v>3126</v>
      </c>
      <c r="E232" s="1673"/>
      <c r="F232" s="1673"/>
      <c r="G232" s="1673"/>
      <c r="H232" s="1673"/>
      <c r="I232" s="1673"/>
      <c r="J232" s="1673"/>
      <c r="K232" s="1672">
        <f t="shared" ref="K232:K237" si="20">D232</f>
        <v>3126</v>
      </c>
      <c r="L232" s="1573">
        <v>3100</v>
      </c>
    </row>
    <row r="233" spans="1:12" x14ac:dyDescent="0.2">
      <c r="A233" s="1274" t="s">
        <v>1081</v>
      </c>
      <c r="B233" s="503">
        <v>2120</v>
      </c>
      <c r="C233" s="1673"/>
      <c r="D233" s="1573">
        <v>1986</v>
      </c>
      <c r="E233" s="1673"/>
      <c r="F233" s="1673"/>
      <c r="G233" s="1673"/>
      <c r="H233" s="1673"/>
      <c r="I233" s="1673"/>
      <c r="J233" s="1673"/>
      <c r="K233" s="1672">
        <f t="shared" si="20"/>
        <v>1986</v>
      </c>
      <c r="L233" s="1573">
        <v>2210</v>
      </c>
    </row>
    <row r="234" spans="1:12" x14ac:dyDescent="0.2">
      <c r="A234" s="1274" t="s">
        <v>196</v>
      </c>
      <c r="B234" s="503">
        <v>2130</v>
      </c>
      <c r="C234" s="1673"/>
      <c r="D234" s="1573">
        <f>451+2563+600</f>
        <v>3614</v>
      </c>
      <c r="E234" s="1673"/>
      <c r="F234" s="1673"/>
      <c r="G234" s="1673"/>
      <c r="H234" s="1673"/>
      <c r="I234" s="1673"/>
      <c r="J234" s="1673"/>
      <c r="K234" s="1672">
        <f t="shared" si="20"/>
        <v>3614</v>
      </c>
      <c r="L234" s="1573">
        <v>3625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f>1569+9631+2252</f>
        <v>13452</v>
      </c>
      <c r="E237" s="1673"/>
      <c r="F237" s="1673"/>
      <c r="G237" s="1673"/>
      <c r="H237" s="1673"/>
      <c r="I237" s="1673"/>
      <c r="J237" s="1673"/>
      <c r="K237" s="1672">
        <f t="shared" si="20"/>
        <v>13452</v>
      </c>
      <c r="L237" s="1573">
        <v>13400</v>
      </c>
    </row>
    <row r="238" spans="1:12" ht="12.75" customHeight="1" thickBot="1" x14ac:dyDescent="0.25">
      <c r="A238" s="1380" t="s">
        <v>556</v>
      </c>
      <c r="B238" s="1383" t="s">
        <v>711</v>
      </c>
      <c r="C238" s="1673"/>
      <c r="D238" s="1674">
        <f>SUM(D232:D237)</f>
        <v>22178</v>
      </c>
      <c r="E238" s="1673"/>
      <c r="F238" s="1673"/>
      <c r="G238" s="1673"/>
      <c r="H238" s="1673"/>
      <c r="I238" s="1673"/>
      <c r="J238" s="1673"/>
      <c r="K238" s="1674">
        <f>SUM(K232:K237)</f>
        <v>22178</v>
      </c>
      <c r="L238" s="1674">
        <f>SUM(L232:L237)</f>
        <v>22335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1837</v>
      </c>
      <c r="E240" s="1673"/>
      <c r="F240" s="1673"/>
      <c r="G240" s="1673"/>
      <c r="H240" s="1673"/>
      <c r="I240" s="1673"/>
      <c r="J240" s="1673"/>
      <c r="K240" s="1678">
        <f>D240</f>
        <v>1837</v>
      </c>
      <c r="L240" s="1586">
        <v>1900</v>
      </c>
    </row>
    <row r="241" spans="1:12" x14ac:dyDescent="0.2">
      <c r="A241" s="1274" t="s">
        <v>810</v>
      </c>
      <c r="B241" s="503">
        <v>2220</v>
      </c>
      <c r="C241" s="1673"/>
      <c r="D241" s="1573">
        <f>329+2131+499</f>
        <v>2959</v>
      </c>
      <c r="E241" s="1673"/>
      <c r="F241" s="1673"/>
      <c r="G241" s="1673"/>
      <c r="H241" s="1673"/>
      <c r="I241" s="1673"/>
      <c r="J241" s="1673"/>
      <c r="K241" s="1678">
        <f>D241</f>
        <v>2959</v>
      </c>
      <c r="L241" s="1573">
        <v>2940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4796</v>
      </c>
      <c r="E243" s="1673"/>
      <c r="F243" s="1673"/>
      <c r="G243" s="1673"/>
      <c r="H243" s="1673"/>
      <c r="I243" s="1673"/>
      <c r="J243" s="1673"/>
      <c r="K243" s="1674">
        <f>SUM(K240:K242)</f>
        <v>4796</v>
      </c>
      <c r="L243" s="1674">
        <f>SUM(L240:L242)</f>
        <v>4840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390+2237+523</f>
        <v>3150</v>
      </c>
      <c r="E245" s="1673"/>
      <c r="F245" s="1673"/>
      <c r="G245" s="1673"/>
      <c r="H245" s="1673"/>
      <c r="I245" s="1673"/>
      <c r="J245" s="1673"/>
      <c r="K245" s="1678">
        <f>D245</f>
        <v>3150</v>
      </c>
      <c r="L245" s="1586">
        <v>3200</v>
      </c>
    </row>
    <row r="246" spans="1:12" x14ac:dyDescent="0.2">
      <c r="A246" s="1274" t="s">
        <v>813</v>
      </c>
      <c r="B246" s="503">
        <v>2320</v>
      </c>
      <c r="C246" s="1673"/>
      <c r="D246" s="1573">
        <v>2048</v>
      </c>
      <c r="E246" s="1673"/>
      <c r="F246" s="1673"/>
      <c r="G246" s="1673"/>
      <c r="H246" s="1673"/>
      <c r="I246" s="1673"/>
      <c r="J246" s="1673"/>
      <c r="K246" s="1678">
        <f t="shared" ref="K246:K256" si="21">D246</f>
        <v>2048</v>
      </c>
      <c r="L246" s="1573">
        <v>2100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5198</v>
      </c>
      <c r="E257" s="1673"/>
      <c r="F257" s="1673"/>
      <c r="G257" s="1673"/>
      <c r="H257" s="1673"/>
      <c r="I257" s="1673"/>
      <c r="J257" s="1673"/>
      <c r="K257" s="1674">
        <f>SUM(K245:K256)</f>
        <v>5198</v>
      </c>
      <c r="L257" s="1674">
        <f>SUM(L245:L256)</f>
        <v>5300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1242+7135+7667</f>
        <v>16044</v>
      </c>
      <c r="E259" s="1673"/>
      <c r="F259" s="1673"/>
      <c r="G259" s="1673"/>
      <c r="H259" s="1673"/>
      <c r="I259" s="1673"/>
      <c r="J259" s="1673"/>
      <c r="K259" s="1678">
        <f>D259</f>
        <v>16044</v>
      </c>
      <c r="L259" s="1586">
        <v>17375</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16044</v>
      </c>
      <c r="E261" s="1673"/>
      <c r="F261" s="1673"/>
      <c r="G261" s="1673"/>
      <c r="H261" s="1673"/>
      <c r="I261" s="1673"/>
      <c r="J261" s="1673"/>
      <c r="K261" s="1674">
        <f>SUM(K259:K260)</f>
        <v>16044</v>
      </c>
      <c r="L261" s="1674">
        <f>SUM(L259:L260)</f>
        <v>17375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560+3230+755</f>
        <v>4545</v>
      </c>
      <c r="E264" s="1673"/>
      <c r="F264" s="1673"/>
      <c r="G264" s="1673"/>
      <c r="H264" s="1673"/>
      <c r="I264" s="1673"/>
      <c r="J264" s="1673"/>
      <c r="K264" s="1678">
        <f t="shared" ref="K264:K269" si="22">D264</f>
        <v>4545</v>
      </c>
      <c r="L264" s="1573">
        <v>4525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3177+18517+4331</f>
        <v>26025</v>
      </c>
      <c r="E266" s="1673"/>
      <c r="F266" s="1673"/>
      <c r="G266" s="1673"/>
      <c r="H266" s="1673"/>
      <c r="I266" s="1673"/>
      <c r="J266" s="1673"/>
      <c r="K266" s="1678">
        <f t="shared" si="22"/>
        <v>26025</v>
      </c>
      <c r="L266" s="1573">
        <v>26025</v>
      </c>
    </row>
    <row r="267" spans="1:14" x14ac:dyDescent="0.2">
      <c r="A267" s="1274" t="s">
        <v>947</v>
      </c>
      <c r="B267" s="503">
        <v>2550</v>
      </c>
      <c r="C267" s="1673"/>
      <c r="D267" s="1573">
        <f>2293+13129+3070+70+365+85+1</f>
        <v>19013</v>
      </c>
      <c r="E267" s="1673"/>
      <c r="F267" s="1673"/>
      <c r="G267" s="1673"/>
      <c r="H267" s="1673"/>
      <c r="I267" s="1673"/>
      <c r="J267" s="1673"/>
      <c r="K267" s="1678">
        <f t="shared" si="22"/>
        <v>19013</v>
      </c>
      <c r="L267" s="1573">
        <v>22820</v>
      </c>
    </row>
    <row r="268" spans="1:14" x14ac:dyDescent="0.2">
      <c r="A268" s="1274" t="s">
        <v>100</v>
      </c>
      <c r="B268" s="503">
        <v>2560</v>
      </c>
      <c r="C268" s="1673"/>
      <c r="D268" s="1573">
        <f>1788+11015+2581</f>
        <v>15384</v>
      </c>
      <c r="E268" s="1673"/>
      <c r="F268" s="1673"/>
      <c r="G268" s="1673"/>
      <c r="H268" s="1673"/>
      <c r="I268" s="1673"/>
      <c r="J268" s="1673"/>
      <c r="K268" s="1678">
        <f t="shared" si="22"/>
        <v>15384</v>
      </c>
      <c r="L268" s="1573">
        <v>15800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64967</v>
      </c>
      <c r="E270" s="1673"/>
      <c r="F270" s="1673"/>
      <c r="G270" s="1673"/>
      <c r="H270" s="1673"/>
      <c r="I270" s="1673"/>
      <c r="J270" s="1673"/>
      <c r="K270" s="1674">
        <f>SUM(K263:K269)</f>
        <v>64967</v>
      </c>
      <c r="L270" s="1674">
        <f>SUM(L263:L269)</f>
        <v>69170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f>65+322+75</f>
        <v>462</v>
      </c>
      <c r="E278" s="1673"/>
      <c r="F278" s="1673"/>
      <c r="G278" s="1673"/>
      <c r="H278" s="1673"/>
      <c r="I278" s="1673"/>
      <c r="J278" s="1673"/>
      <c r="K278" s="1696">
        <f>D278</f>
        <v>462</v>
      </c>
      <c r="L278" s="1695">
        <v>100</v>
      </c>
    </row>
    <row r="279" spans="1:12" ht="12.75" customHeight="1" thickBot="1" x14ac:dyDescent="0.25">
      <c r="A279" s="1400" t="s">
        <v>806</v>
      </c>
      <c r="B279" s="1387">
        <v>2000</v>
      </c>
      <c r="C279" s="1673"/>
      <c r="D279" s="1681">
        <f>SUM(D238,D243,D257,D261,D270,D277,D278)</f>
        <v>113645</v>
      </c>
      <c r="E279" s="1673"/>
      <c r="F279" s="1673"/>
      <c r="G279" s="1673"/>
      <c r="H279" s="1673"/>
      <c r="I279" s="1673"/>
      <c r="J279" s="1673"/>
      <c r="K279" s="1681">
        <f>SUM(K238,K243,K257,K261,K270,K277,K278)</f>
        <v>113645</v>
      </c>
      <c r="L279" s="1681">
        <f>SUM(L238,L243,L257,L261,L270,L277,L278)</f>
        <v>119120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191078</v>
      </c>
      <c r="E295" s="1673"/>
      <c r="F295" s="1673"/>
      <c r="G295" s="1673"/>
      <c r="H295" s="1674">
        <f>H293</f>
        <v>0</v>
      </c>
      <c r="I295" s="1673"/>
      <c r="J295" s="1673"/>
      <c r="K295" s="1674">
        <f>SUM(K229,K279,K280,K285,K293,K294)</f>
        <v>191078</v>
      </c>
      <c r="L295" s="1674">
        <f>SUM(L229,L279,L280,L285,L293,L294)</f>
        <v>203040</v>
      </c>
    </row>
    <row r="296" spans="1:14" ht="13.5" thickTop="1" x14ac:dyDescent="0.2">
      <c r="A296" s="2261" t="s">
        <v>989</v>
      </c>
      <c r="B296" s="2262"/>
      <c r="C296" s="1673"/>
      <c r="D296" s="1675"/>
      <c r="E296" s="1673"/>
      <c r="F296" s="1673"/>
      <c r="G296" s="1673"/>
      <c r="H296" s="1707"/>
      <c r="I296" s="1673"/>
      <c r="J296" s="1673"/>
      <c r="K296" s="1689">
        <f>'Revenues 9-14'!G268-'Expenditures 15-22'!K295</f>
        <v>27456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f>390227+58688</f>
        <v>448915</v>
      </c>
      <c r="H301" s="1573"/>
      <c r="I301" s="1574"/>
      <c r="J301" s="1574"/>
      <c r="K301" s="1672">
        <f>SUM(C301:J301)</f>
        <v>448915</v>
      </c>
      <c r="L301" s="1574">
        <v>500000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448915</v>
      </c>
      <c r="H303" s="1681">
        <f t="shared" si="23"/>
        <v>0</v>
      </c>
      <c r="I303" s="1681">
        <f t="shared" si="23"/>
        <v>0</v>
      </c>
      <c r="J303" s="1681">
        <f t="shared" si="23"/>
        <v>0</v>
      </c>
      <c r="K303" s="1681">
        <f t="shared" si="23"/>
        <v>448915</v>
      </c>
      <c r="L303" s="1681">
        <f t="shared" si="23"/>
        <v>500000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448915</v>
      </c>
      <c r="H312" s="1674">
        <f>SUM(H303,H310)</f>
        <v>0</v>
      </c>
      <c r="I312" s="1674">
        <f>SUM(I303)</f>
        <v>0</v>
      </c>
      <c r="J312" s="1674">
        <f>SUM(J303)</f>
        <v>0</v>
      </c>
      <c r="K312" s="1674">
        <f>SUM(K303,K310,K311)</f>
        <v>448915</v>
      </c>
      <c r="L312" s="1674">
        <f>SUM(L303,L310,L311)</f>
        <v>500000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83248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v>57727</v>
      </c>
      <c r="I320" s="1574"/>
      <c r="J320" s="1574"/>
      <c r="K320" s="1672">
        <f t="shared" ref="K320:K327" si="24">SUM(C320:J320)</f>
        <v>57727</v>
      </c>
      <c r="L320" s="1574">
        <v>56000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25000</v>
      </c>
      <c r="M321" s="539"/>
      <c r="N321" s="539"/>
    </row>
    <row r="322" spans="1:14" s="548" customFormat="1" x14ac:dyDescent="0.2">
      <c r="A322" s="1289" t="s">
        <v>236</v>
      </c>
      <c r="B322" s="567" t="s">
        <v>282</v>
      </c>
      <c r="C322" s="1574"/>
      <c r="D322" s="1574"/>
      <c r="E322" s="1574">
        <f>78269+231181+1803-221181+185</f>
        <v>90257</v>
      </c>
      <c r="F322" s="1574"/>
      <c r="G322" s="1574">
        <f>221181-185</f>
        <v>220996</v>
      </c>
      <c r="H322" s="1574"/>
      <c r="I322" s="1574"/>
      <c r="J322" s="1574"/>
      <c r="K322" s="1672">
        <f t="shared" si="24"/>
        <v>311253</v>
      </c>
      <c r="L322" s="1574">
        <v>78000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311000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25000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11012</v>
      </c>
      <c r="F327" s="1574"/>
      <c r="G327" s="1574"/>
      <c r="H327" s="1574"/>
      <c r="I327" s="1574"/>
      <c r="J327" s="1574"/>
      <c r="K327" s="1672">
        <f t="shared" si="24"/>
        <v>11012</v>
      </c>
      <c r="L327" s="1574">
        <v>100000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101269</v>
      </c>
      <c r="F330" s="1674">
        <f t="shared" si="25"/>
        <v>0</v>
      </c>
      <c r="G330" s="1674">
        <f t="shared" si="25"/>
        <v>220996</v>
      </c>
      <c r="H330" s="1674">
        <f t="shared" si="25"/>
        <v>57727</v>
      </c>
      <c r="I330" s="1674">
        <f t="shared" si="25"/>
        <v>0</v>
      </c>
      <c r="J330" s="1674">
        <f t="shared" si="25"/>
        <v>0</v>
      </c>
      <c r="K330" s="1674">
        <f>SUM(K319:K329)</f>
        <v>379992</v>
      </c>
      <c r="L330" s="1674">
        <f>SUM(L319:L329)</f>
        <v>595000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101269</v>
      </c>
      <c r="F342" s="1674">
        <f>SUM(F330)</f>
        <v>0</v>
      </c>
      <c r="G342" s="1674">
        <f>SUM(G330)</f>
        <v>220996</v>
      </c>
      <c r="H342" s="1674">
        <f>SUM(H330,H334,H340)</f>
        <v>57727</v>
      </c>
      <c r="I342" s="1674">
        <f>SUM(I330)</f>
        <v>0</v>
      </c>
      <c r="J342" s="1674">
        <f>SUM(J330)</f>
        <v>0</v>
      </c>
      <c r="K342" s="1674">
        <f>SUM(K330,K334,K340)</f>
        <v>379992</v>
      </c>
      <c r="L342" s="1681">
        <f>SUM(L330,L334,L340,L341)</f>
        <v>595000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-40909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27422</v>
      </c>
      <c r="F348" s="1573"/>
      <c r="G348" s="1573">
        <v>1812817</v>
      </c>
      <c r="H348" s="1573"/>
      <c r="I348" s="1574"/>
      <c r="J348" s="1574"/>
      <c r="K348" s="1672">
        <f>SUM(C348:J348)</f>
        <v>1840239</v>
      </c>
      <c r="L348" s="1573">
        <v>1910000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27422</v>
      </c>
      <c r="F350" s="1674">
        <f t="shared" si="26"/>
        <v>0</v>
      </c>
      <c r="G350" s="1674">
        <f t="shared" si="26"/>
        <v>1812817</v>
      </c>
      <c r="H350" s="1674">
        <f t="shared" si="26"/>
        <v>0</v>
      </c>
      <c r="I350" s="1674">
        <f t="shared" si="26"/>
        <v>0</v>
      </c>
      <c r="J350" s="1674">
        <f t="shared" si="26"/>
        <v>0</v>
      </c>
      <c r="K350" s="1674">
        <f t="shared" si="26"/>
        <v>1840239</v>
      </c>
      <c r="L350" s="1674">
        <f t="shared" si="26"/>
        <v>1910000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27422</v>
      </c>
      <c r="F352" s="1674">
        <f t="shared" si="27"/>
        <v>0</v>
      </c>
      <c r="G352" s="1674">
        <f t="shared" si="27"/>
        <v>1812817</v>
      </c>
      <c r="H352" s="1674">
        <f t="shared" si="27"/>
        <v>0</v>
      </c>
      <c r="I352" s="1674">
        <f t="shared" si="27"/>
        <v>0</v>
      </c>
      <c r="J352" s="1674">
        <f t="shared" si="27"/>
        <v>0</v>
      </c>
      <c r="K352" s="1674">
        <f t="shared" si="27"/>
        <v>1840239</v>
      </c>
      <c r="L352" s="1674">
        <f t="shared" si="27"/>
        <v>1910000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27422</v>
      </c>
      <c r="F367" s="1674">
        <f t="shared" si="28"/>
        <v>0</v>
      </c>
      <c r="G367" s="1674">
        <f t="shared" si="28"/>
        <v>1812817</v>
      </c>
      <c r="H367" s="1674">
        <f t="shared" si="28"/>
        <v>0</v>
      </c>
      <c r="I367" s="1674">
        <f t="shared" si="28"/>
        <v>0</v>
      </c>
      <c r="J367" s="1674">
        <f t="shared" si="28"/>
        <v>0</v>
      </c>
      <c r="K367" s="1674">
        <f t="shared" si="28"/>
        <v>1840239</v>
      </c>
      <c r="L367" s="1674">
        <f t="shared" si="28"/>
        <v>1910000</v>
      </c>
    </row>
    <row r="368" spans="1:14" ht="13.5" thickTop="1" x14ac:dyDescent="0.2">
      <c r="A368" s="2261" t="s">
        <v>989</v>
      </c>
      <c r="B368" s="2262"/>
      <c r="C368" s="1694"/>
      <c r="D368" s="1694"/>
      <c r="E368" s="1677"/>
      <c r="F368" s="1677"/>
      <c r="G368" s="1677"/>
      <c r="H368" s="1677"/>
      <c r="I368" s="1677"/>
      <c r="J368" s="1676"/>
      <c r="K368" s="1672">
        <f>'Revenues 9-14'!K268-'Expenditures 15-22'!K367</f>
        <v>-1782146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M3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3326145</v>
      </c>
      <c r="C4" s="1722">
        <v>246910</v>
      </c>
      <c r="D4" s="1723">
        <f>B4-C4</f>
        <v>3079235</v>
      </c>
      <c r="E4" s="1722">
        <v>3384251</v>
      </c>
      <c r="F4" s="1723">
        <f>E4-C4</f>
        <v>3137341</v>
      </c>
    </row>
    <row r="5" spans="1:8" ht="13.7" customHeight="1" x14ac:dyDescent="0.2">
      <c r="A5" s="579" t="s">
        <v>865</v>
      </c>
      <c r="B5" s="1724">
        <f>'Revenues 9-14'!D5</f>
        <v>512395</v>
      </c>
      <c r="C5" s="1664">
        <v>37986</v>
      </c>
      <c r="D5" s="1725">
        <f t="shared" ref="D5:D18" si="0">B5-C5</f>
        <v>474409</v>
      </c>
      <c r="E5" s="1664">
        <v>520696</v>
      </c>
      <c r="F5" s="1725">
        <f>E5-C5</f>
        <v>482710</v>
      </c>
    </row>
    <row r="6" spans="1:8" ht="13.7" customHeight="1" x14ac:dyDescent="0.2">
      <c r="A6" s="579" t="s">
        <v>408</v>
      </c>
      <c r="B6" s="1724">
        <f>'Revenues 9-14'!E5</f>
        <v>175820</v>
      </c>
      <c r="C6" s="1664">
        <v>12798</v>
      </c>
      <c r="D6" s="1725">
        <f t="shared" si="0"/>
        <v>163022</v>
      </c>
      <c r="E6" s="1664">
        <v>172846</v>
      </c>
      <c r="F6" s="1725">
        <f t="shared" ref="F6:F18" si="1">E6-C6</f>
        <v>160048</v>
      </c>
    </row>
    <row r="7" spans="1:8" ht="13.7" customHeight="1" x14ac:dyDescent="0.2">
      <c r="A7" s="579" t="s">
        <v>154</v>
      </c>
      <c r="B7" s="1724">
        <f>'Revenues 9-14'!F5</f>
        <v>461155</v>
      </c>
      <c r="C7" s="1664">
        <v>34187</v>
      </c>
      <c r="D7" s="1725">
        <f t="shared" si="0"/>
        <v>426968</v>
      </c>
      <c r="E7" s="1664">
        <v>468626</v>
      </c>
      <c r="F7" s="1725">
        <f t="shared" si="1"/>
        <v>434439</v>
      </c>
    </row>
    <row r="8" spans="1:8" ht="13.7" customHeight="1" x14ac:dyDescent="0.2">
      <c r="A8" s="579" t="s">
        <v>1169</v>
      </c>
      <c r="B8" s="1724">
        <f>'Revenues 9-14'!G5</f>
        <v>26759</v>
      </c>
      <c r="C8" s="1664">
        <v>2222</v>
      </c>
      <c r="D8" s="1725">
        <f t="shared" si="0"/>
        <v>24537</v>
      </c>
      <c r="E8" s="1664">
        <v>30000</v>
      </c>
      <c r="F8" s="1725">
        <f t="shared" si="1"/>
        <v>27778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51239</v>
      </c>
      <c r="C10" s="1664">
        <v>3798</v>
      </c>
      <c r="D10" s="1725">
        <f t="shared" si="0"/>
        <v>47441</v>
      </c>
      <c r="E10" s="1664">
        <v>52070</v>
      </c>
      <c r="F10" s="1725">
        <f t="shared" si="1"/>
        <v>48272</v>
      </c>
    </row>
    <row r="11" spans="1:8" x14ac:dyDescent="0.2">
      <c r="A11" s="579" t="s">
        <v>406</v>
      </c>
      <c r="B11" s="1724">
        <f>'Revenues 9-14'!J5</f>
        <v>335427</v>
      </c>
      <c r="C11" s="1664">
        <v>24064</v>
      </c>
      <c r="D11" s="1725">
        <f t="shared" si="0"/>
        <v>311363</v>
      </c>
      <c r="E11" s="1664">
        <v>325000</v>
      </c>
      <c r="F11" s="1725">
        <f t="shared" si="1"/>
        <v>300936</v>
      </c>
    </row>
    <row r="12" spans="1:8" ht="13.7" customHeight="1" x14ac:dyDescent="0.2">
      <c r="A12" s="579" t="s">
        <v>156</v>
      </c>
      <c r="B12" s="1724">
        <f>'Revenues 9-14'!K5</f>
        <v>51239</v>
      </c>
      <c r="C12" s="1664">
        <v>3798</v>
      </c>
      <c r="D12" s="1725">
        <f t="shared" si="0"/>
        <v>47441</v>
      </c>
      <c r="E12" s="1664">
        <v>52070</v>
      </c>
      <c r="F12" s="1725">
        <f t="shared" si="1"/>
        <v>48272</v>
      </c>
    </row>
    <row r="13" spans="1:8" ht="13.7" customHeight="1" x14ac:dyDescent="0.2">
      <c r="A13" s="579" t="s">
        <v>930</v>
      </c>
      <c r="B13" s="1724">
        <f>SUM('Revenues 9-14'!C6:D6)</f>
        <v>51241</v>
      </c>
      <c r="C13" s="1664">
        <v>3798</v>
      </c>
      <c r="D13" s="1725">
        <f t="shared" si="0"/>
        <v>47443</v>
      </c>
      <c r="E13" s="1664">
        <v>52070</v>
      </c>
      <c r="F13" s="1725">
        <f t="shared" si="1"/>
        <v>48272</v>
      </c>
    </row>
    <row r="14" spans="1:8" ht="13.7" customHeight="1" x14ac:dyDescent="0.2">
      <c r="A14" s="579" t="s">
        <v>407</v>
      </c>
      <c r="B14" s="1724">
        <f>SUM('Revenues 9-14'!C7:D7,'Revenues 9-14'!F7:H7)</f>
        <v>40988</v>
      </c>
      <c r="C14" s="1664">
        <v>3039</v>
      </c>
      <c r="D14" s="1725">
        <f t="shared" si="0"/>
        <v>37949</v>
      </c>
      <c r="E14" s="1664">
        <v>41656</v>
      </c>
      <c r="F14" s="1725">
        <f t="shared" si="1"/>
        <v>38617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179200</v>
      </c>
      <c r="C16" s="1664">
        <v>14068</v>
      </c>
      <c r="D16" s="1725">
        <f t="shared" si="0"/>
        <v>165132</v>
      </c>
      <c r="E16" s="1664">
        <v>190000</v>
      </c>
      <c r="F16" s="1725">
        <f t="shared" si="1"/>
        <v>175932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5211608</v>
      </c>
      <c r="C19" s="1726">
        <f>SUM(C4:C18)</f>
        <v>386668</v>
      </c>
      <c r="D19" s="1726">
        <f>SUM(D4:D18)</f>
        <v>4824940</v>
      </c>
      <c r="E19" s="1726">
        <f>SUM(E4:E18)</f>
        <v>5289285</v>
      </c>
      <c r="F19" s="1726">
        <f>SUM(F4:F18)</f>
        <v>4902617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E15" sqref="E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1776</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2003</v>
      </c>
      <c r="B24" s="2304"/>
      <c r="C24" s="2298"/>
      <c r="D24" s="2299"/>
      <c r="E24" s="2299"/>
      <c r="F24" s="2300"/>
    </row>
    <row r="25" spans="1:11" ht="13.5" thickBot="1" x14ac:dyDescent="0.25">
      <c r="A25" s="2305" t="s">
        <v>2004</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43525</v>
      </c>
      <c r="C31" s="1734">
        <v>1500000</v>
      </c>
      <c r="D31" s="1735">
        <v>4</v>
      </c>
      <c r="E31" s="1734">
        <v>1500000</v>
      </c>
      <c r="F31" s="1734"/>
      <c r="G31" s="1734"/>
      <c r="H31" s="1734">
        <v>122600</v>
      </c>
      <c r="I31" s="1736">
        <f>((E31+F31)-H31)+G31</f>
        <v>1377400</v>
      </c>
      <c r="J31" s="1734">
        <v>1364506</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1500000</v>
      </c>
      <c r="D49" s="1742"/>
      <c r="E49" s="1736">
        <f t="shared" ref="E49:J49" si="2">SUM(E31:E48)</f>
        <v>1500000</v>
      </c>
      <c r="F49" s="1736">
        <f t="shared" si="2"/>
        <v>0</v>
      </c>
      <c r="G49" s="1736">
        <f t="shared" si="2"/>
        <v>0</v>
      </c>
      <c r="H49" s="1736">
        <f t="shared" si="2"/>
        <v>122600</v>
      </c>
      <c r="I49" s="1736">
        <f t="shared" si="2"/>
        <v>1377400</v>
      </c>
      <c r="J49" s="1736">
        <f t="shared" si="2"/>
        <v>1364506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4" sqref="J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1786</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353</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40988</v>
      </c>
      <c r="I5" s="1750"/>
      <c r="J5" s="1751"/>
      <c r="K5" s="1751"/>
    </row>
    <row r="6" spans="1:11" x14ac:dyDescent="0.2">
      <c r="A6" s="625" t="s">
        <v>715</v>
      </c>
      <c r="B6" s="626"/>
      <c r="C6" s="626"/>
      <c r="D6" s="626"/>
      <c r="E6" s="627"/>
      <c r="F6" s="628" t="s">
        <v>844</v>
      </c>
      <c r="G6" s="1744"/>
      <c r="H6" s="1744"/>
      <c r="I6" s="1744"/>
      <c r="J6" s="1745">
        <v>237</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531926</v>
      </c>
      <c r="K8" s="1748"/>
    </row>
    <row r="9" spans="1:11" x14ac:dyDescent="0.2">
      <c r="A9" s="629" t="s">
        <v>137</v>
      </c>
      <c r="B9" s="630"/>
      <c r="C9" s="630"/>
      <c r="D9" s="630"/>
      <c r="E9" s="631"/>
      <c r="F9" s="628" t="s">
        <v>848</v>
      </c>
      <c r="G9" s="1753"/>
      <c r="H9" s="1749"/>
      <c r="I9" s="1749"/>
      <c r="J9" s="1752"/>
      <c r="K9" s="1745">
        <v>3805</v>
      </c>
    </row>
    <row r="10" spans="1:11" x14ac:dyDescent="0.2">
      <c r="A10" s="2322" t="s">
        <v>1787</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40988</v>
      </c>
      <c r="I12" s="1755">
        <f>SUM(I5:I11)</f>
        <v>0</v>
      </c>
      <c r="J12" s="1755">
        <f>SUM(J5:J11)</f>
        <v>532163</v>
      </c>
      <c r="K12" s="1755">
        <f>SUM(K5:K11)</f>
        <v>3805</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40988</v>
      </c>
      <c r="I14" s="1749"/>
      <c r="J14" s="1751"/>
      <c r="K14" s="1745"/>
    </row>
    <row r="15" spans="1:11" x14ac:dyDescent="0.2">
      <c r="A15" s="2323" t="s">
        <v>4</v>
      </c>
      <c r="B15" s="2323"/>
      <c r="C15" s="2323"/>
      <c r="D15" s="2323"/>
      <c r="E15" s="2324"/>
      <c r="F15" s="635" t="s">
        <v>850</v>
      </c>
      <c r="G15" s="1749"/>
      <c r="H15" s="1744"/>
      <c r="I15" s="1744"/>
      <c r="J15" s="1745">
        <v>448915</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1783</v>
      </c>
      <c r="B19" s="2331"/>
      <c r="C19" s="2331"/>
      <c r="D19" s="2331"/>
      <c r="E19" s="2332"/>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1789</v>
      </c>
      <c r="B22" s="2323"/>
      <c r="C22" s="2323"/>
      <c r="D22" s="2323"/>
      <c r="E22" s="2324"/>
      <c r="F22" s="635" t="s">
        <v>857</v>
      </c>
      <c r="G22" s="1753"/>
      <c r="H22" s="1744"/>
      <c r="I22" s="1744"/>
      <c r="J22" s="1766"/>
      <c r="K22" s="1745">
        <v>3805</v>
      </c>
    </row>
    <row r="23" spans="1:15" ht="13.5" thickBot="1" x14ac:dyDescent="0.25">
      <c r="A23" s="2353" t="s">
        <v>900</v>
      </c>
      <c r="B23" s="2352"/>
      <c r="C23" s="2352"/>
      <c r="D23" s="2352"/>
      <c r="E23" s="2352"/>
      <c r="F23" s="1436"/>
      <c r="G23" s="1755">
        <f>SUM(G14:G16,G21,G22)</f>
        <v>0</v>
      </c>
      <c r="H23" s="1755">
        <f>SUM(H14:H16,H21,H22)</f>
        <v>40988</v>
      </c>
      <c r="I23" s="1755">
        <f>SUM(I14:I16,I21,I22)</f>
        <v>0</v>
      </c>
      <c r="J23" s="1755">
        <f>SUM(J14:J16,J21,J22)</f>
        <v>448915</v>
      </c>
      <c r="K23" s="1755">
        <f>SUM(K14:K16,K21,K22)</f>
        <v>3805</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83601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83601</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X32" sqref="X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48351</v>
      </c>
      <c r="D5" s="1770"/>
      <c r="E5" s="1770"/>
      <c r="F5" s="1765">
        <f>(C5+D5)-E5</f>
        <v>48351</v>
      </c>
      <c r="G5" s="676"/>
      <c r="H5" s="680"/>
      <c r="I5" s="680"/>
      <c r="J5" s="680"/>
      <c r="K5" s="637"/>
      <c r="L5" s="1442">
        <f>F5-K5</f>
        <v>48351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6894821</v>
      </c>
      <c r="D8" s="1771">
        <f>390227+1812817+51458+58688</f>
        <v>2313190</v>
      </c>
      <c r="E8" s="1771"/>
      <c r="F8" s="1765">
        <f>(C8+D8)-E8</f>
        <v>9208011</v>
      </c>
      <c r="G8" s="681">
        <v>50</v>
      </c>
      <c r="H8" s="619">
        <v>2897582</v>
      </c>
      <c r="I8" s="619">
        <f>162964-1311</f>
        <v>161653</v>
      </c>
      <c r="J8" s="619"/>
      <c r="K8" s="1442">
        <f>(H8+I8)-J8</f>
        <v>3059235</v>
      </c>
      <c r="L8" s="1442">
        <f>F8-K8</f>
        <v>6148776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415372</v>
      </c>
      <c r="D10" s="1772">
        <v>14000</v>
      </c>
      <c r="E10" s="1772"/>
      <c r="F10" s="1773">
        <f>(C10+D10)-E10</f>
        <v>429372</v>
      </c>
      <c r="G10" s="681">
        <v>20</v>
      </c>
      <c r="H10" s="683">
        <v>227364</v>
      </c>
      <c r="I10" s="683">
        <v>21468</v>
      </c>
      <c r="J10" s="683"/>
      <c r="K10" s="1442">
        <f>(H10+I10)-J10</f>
        <v>248832</v>
      </c>
      <c r="L10" s="1442">
        <f>F10-K10</f>
        <v>180540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1019155</v>
      </c>
      <c r="D12" s="1771">
        <f>15432+206996</f>
        <v>222428</v>
      </c>
      <c r="E12" s="1771"/>
      <c r="F12" s="1765">
        <f>(C12+D12)-E12</f>
        <v>1241583</v>
      </c>
      <c r="G12" s="681">
        <v>10</v>
      </c>
      <c r="H12" s="619">
        <v>722434</v>
      </c>
      <c r="I12" s="619">
        <v>114970</v>
      </c>
      <c r="J12" s="619"/>
      <c r="K12" s="1442">
        <f>(H12+I12)-J12</f>
        <v>837404</v>
      </c>
      <c r="L12" s="1442">
        <f>F12-K12</f>
        <v>404179</v>
      </c>
    </row>
    <row r="13" spans="1:14" ht="14.25" thickTop="1" thickBot="1" x14ac:dyDescent="0.25">
      <c r="A13" s="684" t="s">
        <v>1112</v>
      </c>
      <c r="B13" s="679">
        <v>252</v>
      </c>
      <c r="C13" s="1771">
        <v>938033</v>
      </c>
      <c r="D13" s="1771">
        <v>99815</v>
      </c>
      <c r="E13" s="1771"/>
      <c r="F13" s="1765">
        <f>(C13+D13)-E13</f>
        <v>1037848</v>
      </c>
      <c r="G13" s="681">
        <v>5</v>
      </c>
      <c r="H13" s="619">
        <v>745830</v>
      </c>
      <c r="I13" s="619">
        <f>26488+53554+1311</f>
        <v>81353</v>
      </c>
      <c r="J13" s="619"/>
      <c r="K13" s="1442">
        <f>(H13+I13)-J13</f>
        <v>827183</v>
      </c>
      <c r="L13" s="1442">
        <f>F13-K13</f>
        <v>210665</v>
      </c>
    </row>
    <row r="14" spans="1:14" ht="14.25" thickTop="1" thickBot="1" x14ac:dyDescent="0.25">
      <c r="A14" s="684" t="s">
        <v>1113</v>
      </c>
      <c r="B14" s="679">
        <v>253</v>
      </c>
      <c r="C14" s="1745">
        <v>251082</v>
      </c>
      <c r="D14" s="1745">
        <v>44388</v>
      </c>
      <c r="E14" s="1745"/>
      <c r="F14" s="1765">
        <f>(C14+D14)-E14</f>
        <v>295470</v>
      </c>
      <c r="G14" s="681">
        <v>3</v>
      </c>
      <c r="H14" s="619">
        <v>114393</v>
      </c>
      <c r="I14" s="619">
        <v>89415</v>
      </c>
      <c r="J14" s="619"/>
      <c r="K14" s="1442">
        <f>(H14+I14)-J14</f>
        <v>203808</v>
      </c>
      <c r="L14" s="1442">
        <f>F14-K14</f>
        <v>91662</v>
      </c>
    </row>
    <row r="15" spans="1:14" ht="15" customHeight="1" thickTop="1" thickBot="1" x14ac:dyDescent="0.25">
      <c r="A15" s="1366" t="s">
        <v>525</v>
      </c>
      <c r="B15" s="1365">
        <v>260</v>
      </c>
      <c r="C15" s="1771">
        <v>51458</v>
      </c>
      <c r="D15" s="1771"/>
      <c r="E15" s="1771">
        <v>51458</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9618272</v>
      </c>
      <c r="D16" s="1765">
        <f>SUM(D3,D5:D6,D8:D10,D12:D15)</f>
        <v>2693821</v>
      </c>
      <c r="E16" s="1765">
        <f>SUM(E3,E5:E6,E8:E10,E12:E15)</f>
        <v>51458</v>
      </c>
      <c r="F16" s="1765">
        <f>SUM(F3,F5:F6,F8:F10,F12:F15)</f>
        <v>12260635</v>
      </c>
      <c r="G16" s="681"/>
      <c r="H16" s="1435">
        <f>SUM(H3,H6,H8:H10,H12:H14,)</f>
        <v>4707603</v>
      </c>
      <c r="I16" s="1435">
        <f>SUM(I3,I6,I8:I10,I12:I14,)</f>
        <v>468859</v>
      </c>
      <c r="J16" s="1435">
        <f>SUM(J3,J6,J8:J10,J12:J14,)</f>
        <v>0</v>
      </c>
      <c r="K16" s="1435">
        <f>(H16+I16)-J16</f>
        <v>5176462</v>
      </c>
      <c r="L16" s="1435">
        <f>F16-K16</f>
        <v>7084173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468859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8318856</v>
      </c>
      <c r="G8" s="701"/>
    </row>
    <row r="9" spans="1:9" x14ac:dyDescent="0.2">
      <c r="A9" s="705" t="s">
        <v>457</v>
      </c>
      <c r="B9" s="706" t="s">
        <v>1845</v>
      </c>
      <c r="C9" s="707"/>
      <c r="D9" s="705" t="s">
        <v>498</v>
      </c>
      <c r="E9" s="704"/>
      <c r="F9" s="1775">
        <f>'Expenditures 15-22'!K151</f>
        <v>377485</v>
      </c>
      <c r="G9" s="708"/>
    </row>
    <row r="10" spans="1:9" x14ac:dyDescent="0.2">
      <c r="A10" s="705" t="s">
        <v>496</v>
      </c>
      <c r="B10" s="706" t="s">
        <v>1846</v>
      </c>
      <c r="C10" s="707"/>
      <c r="D10" s="705" t="s">
        <v>498</v>
      </c>
      <c r="E10" s="704"/>
      <c r="F10" s="1775">
        <f>'Expenditures 15-22'!K174</f>
        <v>172102</v>
      </c>
      <c r="G10" s="708"/>
    </row>
    <row r="11" spans="1:9" x14ac:dyDescent="0.2">
      <c r="A11" s="705" t="s">
        <v>458</v>
      </c>
      <c r="B11" s="706" t="s">
        <v>1847</v>
      </c>
      <c r="C11" s="707"/>
      <c r="D11" s="705" t="s">
        <v>498</v>
      </c>
      <c r="E11" s="704"/>
      <c r="F11" s="1775">
        <f>'Expenditures 15-22'!K210</f>
        <v>527841</v>
      </c>
      <c r="G11" s="708"/>
    </row>
    <row r="12" spans="1:9" x14ac:dyDescent="0.2">
      <c r="A12" s="705" t="s">
        <v>459</v>
      </c>
      <c r="B12" s="706" t="s">
        <v>1848</v>
      </c>
      <c r="C12" s="707"/>
      <c r="D12" s="705" t="s">
        <v>498</v>
      </c>
      <c r="E12" s="704"/>
      <c r="F12" s="1775">
        <f>'Expenditures 15-22'!K295</f>
        <v>191078</v>
      </c>
      <c r="G12" s="708"/>
    </row>
    <row r="13" spans="1:9" x14ac:dyDescent="0.2">
      <c r="A13" s="705" t="s">
        <v>106</v>
      </c>
      <c r="B13" s="706" t="s">
        <v>1849</v>
      </c>
      <c r="C13" s="707"/>
      <c r="D13" s="705" t="s">
        <v>498</v>
      </c>
      <c r="E13" s="704"/>
      <c r="F13" s="1775">
        <f>'Expenditures 15-22'!K342</f>
        <v>379992</v>
      </c>
      <c r="G13" s="709"/>
    </row>
    <row r="14" spans="1:9" ht="12" customHeight="1" thickBot="1" x14ac:dyDescent="0.25">
      <c r="A14" s="1443"/>
      <c r="B14" s="1444"/>
      <c r="C14" s="1445"/>
      <c r="D14" s="1446" t="s">
        <v>498</v>
      </c>
      <c r="E14" s="1447" t="s">
        <v>952</v>
      </c>
      <c r="F14" s="1776">
        <f>SUM(F8:F13)</f>
        <v>9967354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291464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945983</v>
      </c>
      <c r="G53" s="701"/>
    </row>
    <row r="54" spans="1:7" x14ac:dyDescent="0.2">
      <c r="A54" s="705" t="s">
        <v>456</v>
      </c>
      <c r="B54" s="705" t="s">
        <v>1459</v>
      </c>
      <c r="C54" s="724" t="s">
        <v>975</v>
      </c>
      <c r="D54" s="720" t="s">
        <v>1086</v>
      </c>
      <c r="E54" s="704"/>
      <c r="F54" s="1782">
        <f>'Expenditures 15-22'!G114</f>
        <v>59820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25065</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122600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74750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7978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220996</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1748656</v>
      </c>
      <c r="G77" s="701"/>
    </row>
    <row r="78" spans="1:9" s="728" customFormat="1" ht="12" customHeight="1" thickTop="1" thickBot="1" x14ac:dyDescent="0.25">
      <c r="A78" s="1450"/>
      <c r="B78" s="1448"/>
      <c r="C78" s="1445"/>
      <c r="D78" s="1449" t="s">
        <v>2009</v>
      </c>
      <c r="E78" s="1447"/>
      <c r="F78" s="1788">
        <f>(F14-F77)</f>
        <v>8218698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917.7</v>
      </c>
      <c r="G79" s="733"/>
      <c r="H79" s="705"/>
      <c r="I79" s="705"/>
    </row>
    <row r="80" spans="1:9" s="728" customFormat="1" ht="12" customHeight="1" thickBot="1" x14ac:dyDescent="0.25">
      <c r="A80" s="1452"/>
      <c r="B80" s="1448"/>
      <c r="C80" s="1445"/>
      <c r="D80" s="1449" t="s">
        <v>2010</v>
      </c>
      <c r="E80" s="1447" t="s">
        <v>952</v>
      </c>
      <c r="F80" s="1790">
        <f>IF(F79&gt;0,F78/F79," Complete Line 79")</f>
        <v>8955.7567832625045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128456</v>
      </c>
      <c r="G95" s="745"/>
    </row>
    <row r="96" spans="1:7" x14ac:dyDescent="0.2">
      <c r="A96" s="741" t="s">
        <v>139</v>
      </c>
      <c r="B96" s="741" t="s">
        <v>174</v>
      </c>
      <c r="C96" s="743">
        <v>1700</v>
      </c>
      <c r="D96" s="751" t="str">
        <f>'Revenues 9-14'!A82</f>
        <v>Total District/School Activity Income</v>
      </c>
      <c r="E96" s="739"/>
      <c r="F96" s="1793">
        <f>SUM('Revenues 9-14'!C82,'Revenues 9-14'!D82)</f>
        <v>21482</v>
      </c>
      <c r="G96" s="745"/>
    </row>
    <row r="97" spans="1:7" x14ac:dyDescent="0.2">
      <c r="A97" s="741" t="s">
        <v>456</v>
      </c>
      <c r="B97" s="741" t="s">
        <v>175</v>
      </c>
      <c r="C97" s="743">
        <f>'Revenues 9-14'!B84</f>
        <v>1811</v>
      </c>
      <c r="D97" s="744" t="str">
        <f>'Revenues 9-14'!A84</f>
        <v>Rentals - Regular Textbooks</v>
      </c>
      <c r="E97" s="739"/>
      <c r="F97" s="1793">
        <f>'Revenues 9-14'!C84</f>
        <v>30253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2961</v>
      </c>
      <c r="G101" s="745"/>
    </row>
    <row r="102" spans="1:7" x14ac:dyDescent="0.2">
      <c r="A102" s="741" t="s">
        <v>139</v>
      </c>
      <c r="B102" s="741" t="s">
        <v>180</v>
      </c>
      <c r="C102" s="743">
        <f>'Revenues 9-14'!B95</f>
        <v>1910</v>
      </c>
      <c r="D102" s="744" t="str">
        <f>'Revenues 9-14'!A95</f>
        <v>Rentals</v>
      </c>
      <c r="E102" s="739"/>
      <c r="F102" s="1793">
        <f>SUM('Revenues 9-14'!C95:D95)</f>
        <v>380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16578</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41760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10866</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3477</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7960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217707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49644</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19860</v>
      </c>
      <c r="G125" s="763"/>
    </row>
    <row r="126" spans="1:7" x14ac:dyDescent="0.2">
      <c r="A126" s="760" t="s">
        <v>659</v>
      </c>
      <c r="B126" s="760" t="s">
        <v>1927</v>
      </c>
      <c r="C126" s="765">
        <v>4200</v>
      </c>
      <c r="D126" s="762" t="str">
        <f>'Revenues 9-14'!A198</f>
        <v>Total Food Service</v>
      </c>
      <c r="E126" s="739"/>
      <c r="F126" s="1793">
        <f>SUM('Revenues 9-14'!C198,'Revenues 9-14'!G198)</f>
        <v>305081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448689</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228170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40434</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4836</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1446</v>
      </c>
      <c r="G171" s="760"/>
    </row>
    <row r="172" spans="1:7" x14ac:dyDescent="0.2">
      <c r="A172" s="1529" t="s">
        <v>5</v>
      </c>
      <c r="B172" s="1530" t="s">
        <v>1882</v>
      </c>
      <c r="C172" s="1531">
        <v>3100</v>
      </c>
      <c r="D172" s="1532" t="s">
        <v>1884</v>
      </c>
      <c r="E172" s="739"/>
      <c r="F172" s="1794">
        <v>241467</v>
      </c>
      <c r="G172" s="760"/>
    </row>
    <row r="173" spans="1:7" x14ac:dyDescent="0.2">
      <c r="A173" s="1529" t="s">
        <v>659</v>
      </c>
      <c r="B173" s="1530" t="s">
        <v>1882</v>
      </c>
      <c r="C173" s="1531">
        <v>3300</v>
      </c>
      <c r="D173" s="1532" t="s">
        <v>1885</v>
      </c>
      <c r="E173" s="739"/>
      <c r="F173" s="1794">
        <v>43</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1821550</v>
      </c>
    </row>
    <row r="176" spans="1:7" ht="12" customHeight="1" x14ac:dyDescent="0.2">
      <c r="A176" s="1443"/>
      <c r="B176" s="1453"/>
      <c r="C176" s="1454"/>
      <c r="D176" s="1455" t="s">
        <v>2011</v>
      </c>
      <c r="E176" s="1456"/>
      <c r="F176" s="1793">
        <f>'PCTC-OEPP 27-28'!F78-F175</f>
        <v>6397148</v>
      </c>
    </row>
    <row r="177" spans="1:9" ht="12" customHeight="1" x14ac:dyDescent="0.2">
      <c r="A177" s="1443"/>
      <c r="B177" s="1453"/>
      <c r="C177" s="1454"/>
      <c r="D177" s="1455" t="s">
        <v>1791</v>
      </c>
      <c r="E177" s="1456"/>
      <c r="F177" s="1793">
        <f>'Cap Outlay Deprec 26'!I18</f>
        <v>468859</v>
      </c>
    </row>
    <row r="178" spans="1:9" ht="12" customHeight="1" x14ac:dyDescent="0.2">
      <c r="A178" s="1443"/>
      <c r="B178" s="1453"/>
      <c r="C178" s="1454"/>
      <c r="D178" s="1455" t="s">
        <v>2012</v>
      </c>
      <c r="E178" s="1456"/>
      <c r="F178" s="1793">
        <f>F176+F177</f>
        <v>6866007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917.7</v>
      </c>
      <c r="G179" s="763"/>
      <c r="I179" s="701"/>
    </row>
    <row r="180" spans="1:9" ht="12" customHeight="1" thickBot="1" x14ac:dyDescent="0.25">
      <c r="A180" s="1443"/>
      <c r="B180" s="1457"/>
      <c r="C180" s="1454"/>
      <c r="D180" s="1455" t="s">
        <v>2014</v>
      </c>
      <c r="E180" s="1456" t="s">
        <v>1528</v>
      </c>
      <c r="F180" s="1798">
        <f>F178/F179</f>
        <v>7481.7554756456357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3" sqref="B23"/>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2091</v>
      </c>
      <c r="B18" s="1908">
        <v>202540300</v>
      </c>
      <c r="C18" s="2036" t="s">
        <v>2088</v>
      </c>
      <c r="D18" s="1886">
        <v>113247</v>
      </c>
      <c r="E18" s="1906" t="str">
        <f t="shared" ref="E18:E81" si="0">IF(D18&lt;25000,D18,"25,000")</f>
        <v>25,000</v>
      </c>
      <c r="F18" s="1906">
        <f t="shared" ref="F18:F81" si="1">IF(D18&gt;=25000,(D18-E18),"0")</f>
        <v>88247</v>
      </c>
      <c r="G18" s="1887"/>
    </row>
    <row r="19" spans="1:7" x14ac:dyDescent="0.25">
      <c r="A19" s="2035" t="s">
        <v>2091</v>
      </c>
      <c r="B19" s="1908">
        <v>202540300</v>
      </c>
      <c r="C19" s="2036" t="s">
        <v>2089</v>
      </c>
      <c r="D19" s="1886">
        <v>9974</v>
      </c>
      <c r="E19" s="1906">
        <f t="shared" si="0"/>
        <v>9974</v>
      </c>
      <c r="F19" s="1906" t="str">
        <f t="shared" si="1"/>
        <v>0</v>
      </c>
    </row>
    <row r="20" spans="1:7" x14ac:dyDescent="0.25">
      <c r="A20" s="2035" t="s">
        <v>2093</v>
      </c>
      <c r="B20" s="1908">
        <v>102560400</v>
      </c>
      <c r="C20" s="2036" t="s">
        <v>2094</v>
      </c>
      <c r="D20" s="1886">
        <v>34101</v>
      </c>
      <c r="E20" s="1906" t="str">
        <f t="shared" si="0"/>
        <v>25,000</v>
      </c>
      <c r="F20" s="1906">
        <f t="shared" si="1"/>
        <v>9101</v>
      </c>
    </row>
    <row r="21" spans="1:7" x14ac:dyDescent="0.25">
      <c r="A21" s="2035" t="s">
        <v>2092</v>
      </c>
      <c r="B21" s="1908">
        <v>402550400</v>
      </c>
      <c r="C21" s="2036" t="s">
        <v>2090</v>
      </c>
      <c r="D21" s="1886">
        <v>44807</v>
      </c>
      <c r="E21" s="1906" t="str">
        <f t="shared" si="0"/>
        <v>25,000</v>
      </c>
      <c r="F21" s="1906">
        <f t="shared" si="1"/>
        <v>19807</v>
      </c>
    </row>
    <row r="22" spans="1:7" x14ac:dyDescent="0.25">
      <c r="A22" s="2035" t="s">
        <v>2095</v>
      </c>
      <c r="B22" s="1908">
        <v>402550300</v>
      </c>
      <c r="C22" s="2036" t="s">
        <v>2096</v>
      </c>
      <c r="D22" s="1886">
        <v>132090</v>
      </c>
      <c r="E22" s="1906" t="str">
        <f t="shared" si="0"/>
        <v>25,000</v>
      </c>
      <c r="F22" s="1906">
        <f t="shared" si="1"/>
        <v>107090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334219</v>
      </c>
      <c r="E142" s="1893">
        <f>SUM(E18:E141)</f>
        <v>9974</v>
      </c>
      <c r="F142" s="1894">
        <f>SUM(F18:F141)</f>
        <v>224245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258821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39921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4985450</v>
      </c>
      <c r="F19" s="1802"/>
      <c r="G19" s="1804">
        <f>'Expenditures 15-22'!K33-SUM('Expenditures 15-22'!G33,'Expenditures 15-22'!I33)+'Expenditures 15-22'!D229</f>
        <v>4985450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554161</v>
      </c>
      <c r="F21" s="1805"/>
      <c r="G21" s="1808">
        <f>'Expenditures 15-22'!K42-SUM('Expenditures 15-22'!G42,'Expenditures 15-22'!I42)+'Expenditures 15-22'!K120-SUM('Expenditures 15-22'!G120,'Expenditures 15-22'!I120)+'Expenditures 15-22'!K180-SUM('Expenditures 15-22'!G180,'Expenditures 15-22'!I180)+'Expenditures 15-22'!D238</f>
        <v>554161</v>
      </c>
      <c r="H21" s="817"/>
      <c r="I21" s="157"/>
    </row>
    <row r="22" spans="1:9" s="542" customFormat="1" ht="12" customHeight="1" x14ac:dyDescent="0.2">
      <c r="A22" s="824" t="s">
        <v>560</v>
      </c>
      <c r="B22" s="825"/>
      <c r="C22" s="823">
        <v>2200</v>
      </c>
      <c r="D22" s="1805"/>
      <c r="E22" s="1807">
        <f>'Expenditures 15-22'!K47-SUM('Expenditures 15-22'!G47,'Expenditures 15-22'!I47)+'Expenditures 15-22'!D243</f>
        <v>282463</v>
      </c>
      <c r="F22" s="1805"/>
      <c r="G22" s="1808">
        <f>'Expenditures 15-22'!K47-SUM('Expenditures 15-22'!G47,'Expenditures 15-22'!I47)+'Expenditures 15-22'!D243</f>
        <v>282463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387883</v>
      </c>
      <c r="F23" s="1805"/>
      <c r="G23" s="1807">
        <f>'Expenditures 15-22'!K53-SUM('Expenditures 15-22'!G53,'Expenditures 15-22'!I53)+'Expenditures 15-22'!D257+'Expenditures 15-22'!K330-SUM('Expenditures 15-22'!G330,'Expenditures 15-22'!I330)</f>
        <v>387883</v>
      </c>
      <c r="H23" s="817"/>
      <c r="I23" s="157"/>
    </row>
    <row r="24" spans="1:9" s="542" customFormat="1" ht="12" customHeight="1" x14ac:dyDescent="0.2">
      <c r="A24" s="824" t="s">
        <v>562</v>
      </c>
      <c r="B24" s="825"/>
      <c r="C24" s="823">
        <v>2400</v>
      </c>
      <c r="D24" s="1805"/>
      <c r="E24" s="1807">
        <f>'Expenditures 15-22'!K57-SUM('Expenditures 15-22'!G57,'Expenditures 15-22'!I57)+'Expenditures 15-22'!D261</f>
        <v>554595</v>
      </c>
      <c r="F24" s="1805"/>
      <c r="G24" s="1808">
        <f>'Expenditures 15-22'!K57-SUM('Expenditures 15-22'!G57,'Expenditures 15-22'!I57)+'Expenditures 15-22'!D261</f>
        <v>554595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69596</v>
      </c>
      <c r="E27" s="1807">
        <f>E8</f>
        <v>0</v>
      </c>
      <c r="F27" s="1807">
        <f>'Expenditures 15-22'!K60-SUM('Expenditures 15-22'!G60,'Expenditures 15-22'!I60)+'Expenditures 15-22'!D264-E8</f>
        <v>69596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665363</v>
      </c>
      <c r="F28" s="1809">
        <f>'Expenditures 15-22'!K61-SUM('Expenditures 15-22'!G61,'Expenditures 15-22'!I61)+'Expenditures 15-22'!K124-SUM('Expenditures 15-22'!G124,'Expenditures 15-22'!I124)+'Expenditures 15-22'!D266-E9</f>
        <v>665363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472104</v>
      </c>
      <c r="F29" s="1805"/>
      <c r="G29" s="1808">
        <f>'Expenditures 15-22'!K62-SUM('Expenditures 15-22'!G62,'Expenditures 15-22'!I62)+'Expenditures 15-22'!K125-SUM('Expenditures 15-22'!G125,'Expenditures 15-22'!I125)+'Expenditures 15-22'!K182-SUM('Expenditures 15-22'!G182,'Expenditures 15-22'!I182)+'Expenditures 15-22'!D267</f>
        <v>472104</v>
      </c>
      <c r="H29" s="815"/>
    </row>
    <row r="30" spans="1:9" ht="12" customHeight="1" x14ac:dyDescent="0.2">
      <c r="A30" s="824" t="s">
        <v>100</v>
      </c>
      <c r="B30" s="827"/>
      <c r="C30" s="823">
        <v>2560</v>
      </c>
      <c r="D30" s="1805"/>
      <c r="E30" s="1807">
        <f>'Expenditures 15-22'!K63-SUM('Expenditures 15-22'!G63,'Expenditures 15-22'!I63)+'Expenditures 15-22'!D268-E10</f>
        <v>230710</v>
      </c>
      <c r="F30" s="1805"/>
      <c r="G30" s="1807">
        <f>'Expenditures 15-22'!K63-SUM('Expenditures 15-22'!G63,'Expenditures 15-22'!I63)+'Expenditures 15-22'!D268-E10</f>
        <v>230710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7492</v>
      </c>
      <c r="F38" s="1805"/>
      <c r="G38" s="1807">
        <f>'Expenditures 15-22'!K73-SUM('Expenditures 15-22'!G73,'Expenditures 15-22'!I73)+'Expenditures 15-22'!K128-SUM('Expenditures 15-22'!G128,'Expenditures 15-22'!I128)+'Expenditures 15-22'!K183-SUM('Expenditures 15-22'!G183,'Expenditures 15-22'!I183)+'Expenditures 15-22'!D278</f>
        <v>7492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-224245</v>
      </c>
      <c r="F40" s="1805"/>
      <c r="G40" s="1809">
        <f>-'Contracts Paid in CY 29'!F142</f>
        <v>-224245</v>
      </c>
    </row>
    <row r="41" spans="1:7" ht="12" customHeight="1" x14ac:dyDescent="0.2">
      <c r="A41" s="828" t="s">
        <v>155</v>
      </c>
      <c r="B41" s="829"/>
      <c r="C41" s="830"/>
      <c r="D41" s="1809">
        <f>SUM(D19:D39)</f>
        <v>69596</v>
      </c>
      <c r="E41" s="1809">
        <f>SUM(E19:E40)</f>
        <v>7915976</v>
      </c>
      <c r="F41" s="1809">
        <f>SUM(F19:F39)</f>
        <v>734959</v>
      </c>
      <c r="G41" s="1809">
        <f>SUM(G19:G40)</f>
        <v>7250613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69596</v>
      </c>
      <c r="F43" s="1458" t="s">
        <v>470</v>
      </c>
      <c r="G43" s="1810">
        <f>F41</f>
        <v>734959</v>
      </c>
    </row>
    <row r="44" spans="1:7" ht="12" customHeight="1" x14ac:dyDescent="0.2">
      <c r="A44" s="817"/>
      <c r="B44" s="157"/>
      <c r="C44" s="831"/>
      <c r="D44" s="1458" t="s">
        <v>471</v>
      </c>
      <c r="E44" s="1810">
        <f>E41</f>
        <v>7915976</v>
      </c>
      <c r="F44" s="1458" t="s">
        <v>471</v>
      </c>
      <c r="G44" s="1810">
        <f>G41</f>
        <v>7250613</v>
      </c>
    </row>
    <row r="45" spans="1:7" ht="12" customHeight="1" x14ac:dyDescent="0.2">
      <c r="A45" s="817"/>
      <c r="B45" s="157"/>
      <c r="C45" s="157"/>
      <c r="D45" s="1459" t="s">
        <v>999</v>
      </c>
      <c r="E45" s="1811">
        <f>(E43/E44)</f>
        <v>8.7918407029025855E-3</v>
      </c>
      <c r="F45" s="1459" t="s">
        <v>999</v>
      </c>
      <c r="G45" s="1811">
        <f>(G43/G44)</f>
        <v>0.10136508457974519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X32" sqref="X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Abingdon-Avon CUSD 276</v>
      </c>
      <c r="D6" s="2415"/>
      <c r="E6" s="2415"/>
      <c r="F6" s="1482"/>
      <c r="G6" s="1507"/>
      <c r="L6" s="1507"/>
      <c r="M6" s="1855"/>
      <c r="N6" s="1855"/>
      <c r="O6" s="1855"/>
    </row>
    <row r="7" spans="1:15" ht="11.25" customHeight="1" thickBot="1" x14ac:dyDescent="0.3">
      <c r="A7" s="1480"/>
      <c r="B7" s="1481"/>
      <c r="C7" s="2416">
        <f>COVER!A13</f>
        <v>33048276026</v>
      </c>
      <c r="D7" s="2416"/>
      <c r="E7" s="2416"/>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2048</v>
      </c>
      <c r="D20" s="1495" t="s">
        <v>2048</v>
      </c>
      <c r="E20" s="1498"/>
      <c r="F20" s="1497" t="s">
        <v>2068</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2048</v>
      </c>
      <c r="D23" s="1495" t="s">
        <v>2048</v>
      </c>
      <c r="E23" s="1498"/>
      <c r="F23" s="1497" t="s">
        <v>2069</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c r="F31" s="1497" t="s">
        <v>2071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election activeCell="I19" sqref="I19"/>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Abingdon-Avon CUSD 276</v>
      </c>
      <c r="K6" s="2437"/>
      <c r="L6" s="2451"/>
      <c r="M6" s="838"/>
      <c r="N6" s="1998"/>
    </row>
    <row r="7" spans="1:14" x14ac:dyDescent="0.2">
      <c r="A7" s="2452" t="s">
        <v>864</v>
      </c>
      <c r="B7" s="2453"/>
      <c r="C7" s="2453"/>
      <c r="D7" s="2453"/>
      <c r="E7" s="2454"/>
      <c r="F7" s="839"/>
      <c r="G7" s="838"/>
      <c r="H7" s="838"/>
      <c r="I7" s="1924" t="s">
        <v>369</v>
      </c>
      <c r="J7" s="2439">
        <f>COVER!A13</f>
        <v>33048276026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153454</v>
      </c>
      <c r="F12" s="1942"/>
      <c r="G12" s="1968">
        <f>G68</f>
        <v>0</v>
      </c>
      <c r="H12" s="1944">
        <f t="shared" ref="H12:H18" si="0">SUM(E12:G12)</f>
        <v>153454</v>
      </c>
      <c r="I12" s="1943">
        <v>163428</v>
      </c>
      <c r="J12" s="1942"/>
      <c r="K12" s="1943">
        <v>0</v>
      </c>
      <c r="L12" s="1944">
        <f t="shared" ref="L12:L18" si="1">SUM(I12:K12)</f>
        <v>163428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v>12591</v>
      </c>
      <c r="F18" s="1946"/>
      <c r="G18" s="1943"/>
      <c r="H18" s="1947">
        <f t="shared" si="0"/>
        <v>12591</v>
      </c>
      <c r="I18" s="1943">
        <v>12970</v>
      </c>
      <c r="J18" s="1943"/>
      <c r="K18" s="1943"/>
      <c r="L18" s="1944">
        <f t="shared" si="1"/>
        <v>12970</v>
      </c>
      <c r="M18" s="838"/>
      <c r="N18" s="1998"/>
    </row>
    <row r="19" spans="1:14" ht="13.5" thickBot="1" x14ac:dyDescent="0.25">
      <c r="A19" s="2003">
        <v>8</v>
      </c>
      <c r="B19" s="1948" t="s">
        <v>1151</v>
      </c>
      <c r="C19" s="838"/>
      <c r="D19" s="1949"/>
      <c r="E19" s="1950">
        <f t="shared" ref="E19:L19" si="2">SUM(E12:E17)-E18</f>
        <v>140863</v>
      </c>
      <c r="F19" s="1950">
        <f t="shared" si="2"/>
        <v>0</v>
      </c>
      <c r="G19" s="1950">
        <f t="shared" ref="G19" si="3">SUM(G12:G17)-G18</f>
        <v>0</v>
      </c>
      <c r="H19" s="1950">
        <f t="shared" si="2"/>
        <v>140863</v>
      </c>
      <c r="I19" s="1950">
        <f t="shared" si="2"/>
        <v>150458</v>
      </c>
      <c r="J19" s="1950">
        <f t="shared" si="2"/>
        <v>0</v>
      </c>
      <c r="K19" s="1950">
        <f t="shared" si="2"/>
        <v>0</v>
      </c>
      <c r="L19" s="1950">
        <f t="shared" si="2"/>
        <v>150458</v>
      </c>
      <c r="M19" s="838"/>
      <c r="N19" s="1998"/>
    </row>
    <row r="20" spans="1:14" ht="13.5" thickTop="1" x14ac:dyDescent="0.2">
      <c r="A20" s="2003">
        <v>9</v>
      </c>
      <c r="B20" s="2461" t="s">
        <v>2018</v>
      </c>
      <c r="C20" s="2461"/>
      <c r="D20" s="2462"/>
      <c r="E20" s="1951"/>
      <c r="F20" s="1951"/>
      <c r="G20" s="1951"/>
      <c r="H20" s="1951"/>
      <c r="I20" s="1951"/>
      <c r="J20" s="1951"/>
      <c r="K20" s="1951"/>
      <c r="L20" s="1952">
        <f>IF(AND(H19&gt;0,L19&gt;0),(((L19-H19)/H19)),"Enter Budget Data")</f>
        <v>6.8115828854986765E-2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2021</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2022</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2048</v>
      </c>
      <c r="C40" s="2429" t="s">
        <v>2023</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2024</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4" t="s">
        <v>2026</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Abingdon-Avon CUSD 276</v>
      </c>
      <c r="M52" s="2437"/>
      <c r="N52" s="2438"/>
    </row>
    <row r="53" spans="1:14" x14ac:dyDescent="0.2">
      <c r="A53" s="1982"/>
      <c r="B53" s="1983"/>
      <c r="C53" s="1983"/>
      <c r="D53" s="1983"/>
      <c r="E53" s="1983"/>
      <c r="F53" s="1983"/>
      <c r="G53" s="1983"/>
      <c r="H53" s="1983"/>
      <c r="I53" s="1983"/>
      <c r="J53" s="1983"/>
      <c r="K53" s="1924" t="s">
        <v>369</v>
      </c>
      <c r="L53" s="2439">
        <f>J7</f>
        <v>33048276026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2027</v>
      </c>
      <c r="H55" s="2443"/>
      <c r="I55" s="2443"/>
      <c r="J55" s="2443"/>
      <c r="K55" s="2443"/>
      <c r="L55" s="2443"/>
      <c r="M55" s="2443"/>
      <c r="N55" s="2444"/>
    </row>
    <row r="56" spans="1:14" ht="63.75" x14ac:dyDescent="0.2">
      <c r="A56" s="2445" t="s">
        <v>2028</v>
      </c>
      <c r="B56" s="2446"/>
      <c r="C56" s="2447"/>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2038</v>
      </c>
      <c r="B58" s="2426"/>
      <c r="C58" s="2426"/>
      <c r="D58" s="1967">
        <v>2362</v>
      </c>
      <c r="E58" s="1977">
        <f>'Expenditures 15-22'!K320</f>
        <v>57727</v>
      </c>
      <c r="F58" s="1972"/>
      <c r="G58" s="2032"/>
      <c r="H58" s="2032"/>
      <c r="I58" s="2032"/>
      <c r="J58" s="2032"/>
      <c r="K58" s="2032"/>
      <c r="L58" s="2032"/>
      <c r="M58" s="2032">
        <v>57727</v>
      </c>
      <c r="N58" s="1975">
        <f>IF((SUM(G58:M58))=E58,SUM(G58:M58),"Column N does not agree with Column E")</f>
        <v>57727</v>
      </c>
    </row>
    <row r="59" spans="1:14" ht="24.75" customHeight="1" x14ac:dyDescent="0.2">
      <c r="A59" s="2419" t="s">
        <v>297</v>
      </c>
      <c r="B59" s="2420"/>
      <c r="C59" s="2420"/>
      <c r="D59" s="1967">
        <v>2363</v>
      </c>
      <c r="E59" s="1977">
        <f>'Expenditures 15-22'!K321</f>
        <v>0</v>
      </c>
      <c r="F59" s="1972"/>
      <c r="G59" s="2032"/>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311253</v>
      </c>
      <c r="F60" s="1972"/>
      <c r="G60" s="2032"/>
      <c r="H60" s="2032"/>
      <c r="I60" s="2032"/>
      <c r="J60" s="2032"/>
      <c r="K60" s="2032"/>
      <c r="L60" s="2032"/>
      <c r="M60" s="2032">
        <v>311253</v>
      </c>
      <c r="N60" s="1975">
        <f t="shared" ref="N60:N67" si="4">IF((SUM(G60:M60))=E60,SUM(G60:M60),"Column N does not agree with Column E")</f>
        <v>311253</v>
      </c>
    </row>
    <row r="61" spans="1:14" ht="24.75" customHeight="1" x14ac:dyDescent="0.2">
      <c r="A61" s="2419" t="s">
        <v>697</v>
      </c>
      <c r="B61" s="2420"/>
      <c r="C61" s="2420"/>
      <c r="D61" s="1967">
        <v>2365</v>
      </c>
      <c r="E61" s="1977">
        <f>'Expenditures 15-22'!K323</f>
        <v>0</v>
      </c>
      <c r="F61" s="1972"/>
      <c r="G61" s="2032"/>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2"/>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2"/>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2"/>
      <c r="H64" s="2032"/>
      <c r="I64" s="2032"/>
      <c r="J64" s="2032"/>
      <c r="K64" s="2032"/>
      <c r="L64" s="2032"/>
      <c r="M64" s="2032"/>
      <c r="N64" s="1975">
        <f t="shared" si="4"/>
        <v>0</v>
      </c>
    </row>
    <row r="65" spans="1:14" ht="24" customHeight="1" x14ac:dyDescent="0.2">
      <c r="A65" s="2419" t="s">
        <v>965</v>
      </c>
      <c r="B65" s="2420"/>
      <c r="C65" s="2420"/>
      <c r="D65" s="1967">
        <v>2369</v>
      </c>
      <c r="E65" s="1977">
        <f>'Expenditures 15-22'!K327</f>
        <v>11012</v>
      </c>
      <c r="F65" s="1972"/>
      <c r="G65" s="2032"/>
      <c r="H65" s="2032"/>
      <c r="I65" s="2032"/>
      <c r="J65" s="2032"/>
      <c r="K65" s="2032"/>
      <c r="L65" s="2032"/>
      <c r="M65" s="2032">
        <v>11012</v>
      </c>
      <c r="N65" s="1975">
        <f t="shared" si="4"/>
        <v>11012</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2039</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379992</v>
      </c>
      <c r="F68" s="1973"/>
      <c r="G68" s="1974">
        <f t="shared" ref="G68:N68" si="5">SUM(G57:G67)</f>
        <v>0</v>
      </c>
      <c r="H68" s="1974">
        <f t="shared" si="5"/>
        <v>0</v>
      </c>
      <c r="I68" s="1974">
        <f t="shared" si="5"/>
        <v>0</v>
      </c>
      <c r="J68" s="1974">
        <f t="shared" si="5"/>
        <v>0</v>
      </c>
      <c r="K68" s="1974">
        <f t="shared" si="5"/>
        <v>0</v>
      </c>
      <c r="L68" s="1974">
        <f t="shared" si="5"/>
        <v>0</v>
      </c>
      <c r="M68" s="1974">
        <f t="shared" si="5"/>
        <v>379992</v>
      </c>
      <c r="N68" s="1988">
        <f t="shared" si="5"/>
        <v>379992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2AA3-EF32-4C25-92D6-655E47193F05}">
  <dimension ref="A1"/>
  <sheetViews>
    <sheetView workbookViewId="0"/>
  </sheetViews>
  <sheetFormatPr defaultRowHeight="12.7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2098</v>
      </c>
    </row>
    <row r="6" spans="1:2" x14ac:dyDescent="0.2">
      <c r="A6" s="847">
        <v>2</v>
      </c>
      <c r="B6" s="307" t="s">
        <v>2114</v>
      </c>
    </row>
    <row r="7" spans="1:2" x14ac:dyDescent="0.2">
      <c r="B7" s="307" t="s">
        <v>2102</v>
      </c>
    </row>
    <row r="8" spans="1:2" x14ac:dyDescent="0.2">
      <c r="A8" s="847">
        <v>3</v>
      </c>
      <c r="B8" s="307" t="s">
        <v>2099</v>
      </c>
    </row>
    <row r="9" spans="1:2" x14ac:dyDescent="0.2">
      <c r="A9" s="847">
        <v>4</v>
      </c>
      <c r="B9" s="307" t="s">
        <v>2107</v>
      </c>
    </row>
    <row r="10" spans="1:2" x14ac:dyDescent="0.2">
      <c r="A10" s="848">
        <v>5</v>
      </c>
      <c r="B10" s="307" t="s">
        <v>2110</v>
      </c>
    </row>
    <row r="11" spans="1:2" x14ac:dyDescent="0.2">
      <c r="B11" s="307" t="s">
        <v>2111</v>
      </c>
    </row>
    <row r="12" spans="1:2" x14ac:dyDescent="0.2">
      <c r="A12" s="848">
        <v>6</v>
      </c>
      <c r="B12" s="307" t="s">
        <v>2108</v>
      </c>
    </row>
    <row r="13" spans="1:2" x14ac:dyDescent="0.2">
      <c r="A13" s="848">
        <v>7</v>
      </c>
      <c r="B13" s="307" t="s">
        <v>2100</v>
      </c>
    </row>
    <row r="14" spans="1:2" x14ac:dyDescent="0.2">
      <c r="A14" s="848">
        <v>8</v>
      </c>
      <c r="B14" s="307" t="s">
        <v>2101</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Abingdon-Avon CUSD 276</v>
      </c>
    </row>
    <row r="65" spans="2:2" x14ac:dyDescent="0.2">
      <c r="B65" s="849">
        <f>COVER!A13</f>
        <v>33048276026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32" sqref="X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47625</xdr:colOff>
                <xdr:row>7</xdr:row>
                <xdr:rowOff>19050</xdr:rowOff>
              </from>
              <to>
                <xdr:col>1</xdr:col>
                <xdr:colOff>2133600</xdr:colOff>
                <xdr:row>10</xdr:row>
                <xdr:rowOff>47625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3</xdr:row>
                <xdr:rowOff>0</xdr:rowOff>
              </from>
              <to>
                <xdr:col>1</xdr:col>
                <xdr:colOff>2200275</xdr:colOff>
                <xdr:row>6</xdr:row>
                <xdr:rowOff>28575</xdr:rowOff>
              </to>
            </anchor>
          </objectPr>
        </oleObject>
      </mc:Choice>
      <mc:Fallback>
        <oleObject progId="Packager Shell Objec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32" sqref="X3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9126172</v>
      </c>
      <c r="C8" s="1813">
        <f>'Acct Summary 7-8'!D8</f>
        <v>701465</v>
      </c>
      <c r="D8" s="1813">
        <f>'Acct Summary 7-8'!F8</f>
        <v>708382</v>
      </c>
      <c r="E8" s="1813">
        <f>'Acct Summary 7-8'!I8</f>
        <v>72391</v>
      </c>
      <c r="F8" s="1813">
        <f>SUM(B8:E8)</f>
        <v>10608410</v>
      </c>
    </row>
    <row r="9" spans="1:8" s="858" customFormat="1" ht="14.25" customHeight="1" thickBot="1" x14ac:dyDescent="0.25">
      <c r="A9" s="857" t="s">
        <v>1353</v>
      </c>
      <c r="B9" s="1814">
        <f>'Acct Summary 7-8'!C17</f>
        <v>8318856</v>
      </c>
      <c r="C9" s="1814">
        <f>'Acct Summary 7-8'!D17</f>
        <v>377485</v>
      </c>
      <c r="D9" s="1814">
        <f>'Acct Summary 7-8'!F17</f>
        <v>527841</v>
      </c>
      <c r="E9" s="1813"/>
      <c r="F9" s="1813">
        <f>SUM(B9:E9)</f>
        <v>9224182</v>
      </c>
    </row>
    <row r="10" spans="1:8" s="858" customFormat="1" ht="14.25" thickTop="1" thickBot="1" x14ac:dyDescent="0.25">
      <c r="A10" s="859" t="s">
        <v>1354</v>
      </c>
      <c r="B10" s="1815">
        <f>(B8-B9)</f>
        <v>807316</v>
      </c>
      <c r="C10" s="1815">
        <f>(C8-C9)</f>
        <v>323980</v>
      </c>
      <c r="D10" s="1815">
        <f>(D8-D9)</f>
        <v>180541</v>
      </c>
      <c r="E10" s="1814">
        <f>(E8-E9)</f>
        <v>72391</v>
      </c>
      <c r="F10" s="1816">
        <f>SUM(F8-F9)</f>
        <v>1384228</v>
      </c>
    </row>
    <row r="11" spans="1:8" s="858" customFormat="1" ht="14.25" thickTop="1" thickBot="1" x14ac:dyDescent="0.25">
      <c r="A11" s="860" t="s">
        <v>1900</v>
      </c>
      <c r="B11" s="1817">
        <f>'Acct Summary 7-8'!C81</f>
        <v>9643251</v>
      </c>
      <c r="C11" s="1817">
        <f>'Acct Summary 7-8'!D81</f>
        <v>1419588</v>
      </c>
      <c r="D11" s="1817">
        <f>'Acct Summary 7-8'!F81</f>
        <v>1674861</v>
      </c>
      <c r="E11" s="1817">
        <f>'Acct Summary 7-8'!I81</f>
        <v>1055768</v>
      </c>
      <c r="F11" s="1818">
        <f>SUM(B11:E11)</f>
        <v>13793468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X109" sqref="X10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33048276026</v>
      </c>
      <c r="E2" s="1542">
        <v>2020</v>
      </c>
      <c r="F2" s="1542">
        <v>1</v>
      </c>
      <c r="G2" s="1899">
        <v>101000300</v>
      </c>
    </row>
    <row r="3" spans="1:7" ht="15" x14ac:dyDescent="0.25">
      <c r="A3" t="s">
        <v>950</v>
      </c>
      <c r="B3" s="135" t="str">
        <f>COVER!A15</f>
        <v>Fulton, Knox, and Warren</v>
      </c>
      <c r="E3" s="1830" t="s">
        <v>1968</v>
      </c>
      <c r="F3" s="1830" t="s">
        <v>1967</v>
      </c>
      <c r="G3" s="1899">
        <v>101000400</v>
      </c>
    </row>
    <row r="4" spans="1:7" ht="15" x14ac:dyDescent="0.25">
      <c r="A4" t="s">
        <v>1000</v>
      </c>
      <c r="B4" s="135" t="str">
        <f>COVER!A17</f>
        <v xml:space="preserve">  Abingdon-Avon CUSD 276</v>
      </c>
      <c r="E4" s="1828">
        <v>44119</v>
      </c>
      <c r="F4" s="1829">
        <v>44151</v>
      </c>
      <c r="G4" s="1899">
        <v>101000600</v>
      </c>
    </row>
    <row r="5" spans="1:7" ht="15" x14ac:dyDescent="0.25">
      <c r="A5" t="s">
        <v>699</v>
      </c>
      <c r="B5" s="135" t="str">
        <f>COVER!A38</f>
        <v>Michael Curry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066-005055</v>
      </c>
      <c r="G15" s="1899">
        <v>402100400</v>
      </c>
    </row>
    <row r="16" spans="1:7" ht="15" x14ac:dyDescent="0.25">
      <c r="A16" t="s">
        <v>419</v>
      </c>
      <c r="B16" s="135" t="str">
        <f>COVER!T13</f>
        <v>Ginoli &amp; Company Ltd</v>
      </c>
      <c r="G16" s="1899">
        <v>402100600</v>
      </c>
    </row>
    <row r="17" spans="1:7" ht="15" x14ac:dyDescent="0.25">
      <c r="A17" t="s">
        <v>878</v>
      </c>
      <c r="B17" s="135" t="str">
        <f>COVER!T15</f>
        <v>Mark D. Reinken</v>
      </c>
      <c r="G17" s="1899">
        <v>402100800</v>
      </c>
    </row>
    <row r="18" spans="1:7" ht="15" x14ac:dyDescent="0.25">
      <c r="A18" t="s">
        <v>1140</v>
      </c>
      <c r="B18" s="135" t="str">
        <f>COVER!T17</f>
        <v>7625 N. University Street, Suite A</v>
      </c>
      <c r="G18" s="1899">
        <v>102200300</v>
      </c>
    </row>
    <row r="19" spans="1:7" ht="15" x14ac:dyDescent="0.25">
      <c r="A19" t="s">
        <v>880</v>
      </c>
      <c r="B19" s="135" t="str">
        <f>COVER!T25</f>
        <v>mreinken@ginolicpa.com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t="str">
        <f>COVER!Z19</f>
        <v>61614-8303</v>
      </c>
      <c r="G22" s="1899">
        <v>102300300</v>
      </c>
    </row>
    <row r="23" spans="1:7" ht="15" x14ac:dyDescent="0.25">
      <c r="A23" t="s">
        <v>1142</v>
      </c>
      <c r="B23" s="135" t="str">
        <f>COVER!T21</f>
        <v>(309)671-2350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3136397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9643231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-20</v>
      </c>
      <c r="C91" s="2" t="s">
        <v>569</v>
      </c>
      <c r="D91" s="2" t="str">
        <f t="shared" si="0"/>
        <v>Error?</v>
      </c>
      <c r="G91" s="1899">
        <v>102640400</v>
      </c>
    </row>
    <row r="92" spans="1:7" ht="15" x14ac:dyDescent="0.25">
      <c r="A92" s="5">
        <v>31</v>
      </c>
      <c r="B92" s="1832">
        <f>'Assets-Liab 5-6'!C39</f>
        <v>9643251</v>
      </c>
      <c r="D92" s="2" t="str">
        <f t="shared" si="0"/>
        <v>Error?</v>
      </c>
      <c r="G92" s="1899">
        <v>102640600</v>
      </c>
    </row>
    <row r="93" spans="1:7" ht="15" x14ac:dyDescent="0.25">
      <c r="A93" s="5">
        <v>32</v>
      </c>
      <c r="B93" s="1832">
        <f>'Assets-Liab 5-6'!C41</f>
        <v>9643231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1419588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1419588</v>
      </c>
      <c r="D123" s="2" t="str">
        <f t="shared" si="0"/>
        <v>Error?</v>
      </c>
      <c r="G123" s="1899">
        <v>203000400</v>
      </c>
    </row>
    <row r="124" spans="1:7" ht="15" x14ac:dyDescent="0.25">
      <c r="A124" s="5">
        <v>63</v>
      </c>
      <c r="B124" s="1832">
        <f>'Assets-Liab 5-6'!D41</f>
        <v>1419588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12894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12894</v>
      </c>
      <c r="D140" s="2" t="str">
        <f t="shared" si="1"/>
        <v>Error?</v>
      </c>
    </row>
    <row r="141" spans="1:7" x14ac:dyDescent="0.2">
      <c r="A141" s="5">
        <v>80</v>
      </c>
      <c r="B141" s="1832">
        <f>'Assets-Liab 5-6'!E41</f>
        <v>12894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501255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1674861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1674861</v>
      </c>
      <c r="D170" s="2" t="str">
        <f t="shared" si="1"/>
        <v>Error?</v>
      </c>
    </row>
    <row r="171" spans="1:4" x14ac:dyDescent="0.2">
      <c r="A171" s="5">
        <v>110</v>
      </c>
      <c r="B171" s="1832">
        <f>'Assets-Liab 5-6'!F41</f>
        <v>1674861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564888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564888</v>
      </c>
      <c r="D189" s="2" t="str">
        <f t="shared" si="1"/>
        <v>Error?</v>
      </c>
    </row>
    <row r="190" spans="1:4" x14ac:dyDescent="0.2">
      <c r="A190" s="5">
        <v>129</v>
      </c>
      <c r="B190" s="1832">
        <f>'Assets-Liab 5-6'!G41</f>
        <v>564888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190638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190638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48351</v>
      </c>
      <c r="D273" s="2" t="str">
        <f t="shared" si="3"/>
        <v>Error?</v>
      </c>
    </row>
    <row r="274" spans="1:4" x14ac:dyDescent="0.2">
      <c r="A274" s="5">
        <v>213</v>
      </c>
      <c r="B274" s="1832">
        <f>'Assets-Liab 5-6'!M17</f>
        <v>9208011</v>
      </c>
      <c r="D274" s="2" t="str">
        <f t="shared" si="3"/>
        <v>Error?</v>
      </c>
    </row>
    <row r="275" spans="1:4" x14ac:dyDescent="0.2">
      <c r="A275" s="5">
        <v>214</v>
      </c>
      <c r="B275" s="1832">
        <f>'Assets-Liab 5-6'!M18</f>
        <v>429372</v>
      </c>
      <c r="D275" s="2" t="str">
        <f t="shared" si="3"/>
        <v>Error?</v>
      </c>
    </row>
    <row r="276" spans="1:4" x14ac:dyDescent="0.2">
      <c r="A276" s="5">
        <v>215</v>
      </c>
      <c r="B276" s="1832">
        <f>'Assets-Liab 5-6'!M19</f>
        <v>2574901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12260635</v>
      </c>
      <c r="C279" s="2" t="s">
        <v>569</v>
      </c>
      <c r="D279" s="2" t="str">
        <f t="shared" si="3"/>
        <v>Error?</v>
      </c>
    </row>
    <row r="280" spans="1:4" x14ac:dyDescent="0.2">
      <c r="A280" s="5">
        <v>219</v>
      </c>
      <c r="B280" s="1832">
        <f>'Assets-Liab 5-6'!M40</f>
        <v>12260635</v>
      </c>
      <c r="D280" s="2" t="str">
        <f t="shared" si="3"/>
        <v>Error?</v>
      </c>
    </row>
    <row r="281" spans="1:4" x14ac:dyDescent="0.2">
      <c r="A281" s="5">
        <v>220</v>
      </c>
      <c r="B281" s="1832">
        <f>'Assets-Liab 5-6'!M41</f>
        <v>12260635</v>
      </c>
      <c r="C281" s="2" t="s">
        <v>569</v>
      </c>
      <c r="D281" s="2" t="str">
        <f t="shared" si="3"/>
        <v>Error?</v>
      </c>
    </row>
    <row r="282" spans="1:4" x14ac:dyDescent="0.2">
      <c r="A282" s="5">
        <v>221</v>
      </c>
      <c r="B282" s="1832">
        <f>'Assets-Liab 5-6'!N21</f>
        <v>12894</v>
      </c>
      <c r="D282" s="2" t="str">
        <f t="shared" si="3"/>
        <v>Error?</v>
      </c>
    </row>
    <row r="283" spans="1:4" x14ac:dyDescent="0.2">
      <c r="A283" s="5">
        <v>222</v>
      </c>
      <c r="B283" s="1832">
        <f>'Assets-Liab 5-6'!N22</f>
        <v>1364506</v>
      </c>
      <c r="D283" s="2" t="str">
        <f t="shared" si="3"/>
        <v>Error?</v>
      </c>
    </row>
    <row r="284" spans="1:4" x14ac:dyDescent="0.2">
      <c r="A284" s="5">
        <v>223</v>
      </c>
      <c r="B284" s="1832">
        <f>'Assets-Liab 5-6'!N23</f>
        <v>1377400</v>
      </c>
      <c r="C284" s="2" t="s">
        <v>569</v>
      </c>
      <c r="D284" s="2" t="str">
        <f t="shared" si="3"/>
        <v>Error?</v>
      </c>
    </row>
    <row r="285" spans="1:4" x14ac:dyDescent="0.2">
      <c r="A285" s="5">
        <v>224</v>
      </c>
      <c r="B285" s="1832">
        <f>'Assets-Liab 5-6'!N36</f>
        <v>1377400</v>
      </c>
      <c r="D285" s="2" t="str">
        <f t="shared" si="3"/>
        <v>Error?</v>
      </c>
    </row>
    <row r="286" spans="1:4" x14ac:dyDescent="0.2">
      <c r="A286" s="10">
        <v>225</v>
      </c>
      <c r="B286" s="1832"/>
      <c r="D286" s="2" t="str">
        <f t="shared" si="3"/>
        <v>OK</v>
      </c>
    </row>
    <row r="287" spans="1:4" x14ac:dyDescent="0.2">
      <c r="A287" s="5">
        <v>226</v>
      </c>
      <c r="B287" s="1832">
        <f>'Assets-Liab 5-6'!N37</f>
        <v>1377400</v>
      </c>
      <c r="C287" s="2" t="s">
        <v>569</v>
      </c>
      <c r="D287" s="2" t="str">
        <f t="shared" si="3"/>
        <v>Error?</v>
      </c>
    </row>
    <row r="288" spans="1:4" x14ac:dyDescent="0.2">
      <c r="A288" s="5">
        <v>227</v>
      </c>
      <c r="B288" s="1832">
        <f>'Assets-Liab 5-6'!N41</f>
        <v>1377400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2832284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172276</v>
      </c>
      <c r="D717" s="2" t="str">
        <f t="shared" si="10"/>
        <v>Error?</v>
      </c>
    </row>
    <row r="718" spans="1:4" x14ac:dyDescent="0.2">
      <c r="A718" s="5">
        <v>657</v>
      </c>
      <c r="B718" s="1832">
        <f>'Expenditures 15-22'!C14</f>
        <v>147887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4012114</v>
      </c>
      <c r="C720" s="2" t="s">
        <v>569</v>
      </c>
      <c r="D720" s="2" t="str">
        <f t="shared" si="10"/>
        <v>Error?</v>
      </c>
    </row>
    <row r="721" spans="1:4" x14ac:dyDescent="0.2">
      <c r="A721" s="5">
        <v>660</v>
      </c>
      <c r="B721" s="1832">
        <f>'Expenditures 15-22'!C36</f>
        <v>50034</v>
      </c>
      <c r="D721" s="2" t="str">
        <f t="shared" si="10"/>
        <v>Error?</v>
      </c>
    </row>
    <row r="722" spans="1:4" x14ac:dyDescent="0.2">
      <c r="A722" s="5">
        <v>661</v>
      </c>
      <c r="B722" s="1832">
        <f>'Expenditures 15-22'!C37</f>
        <v>140245</v>
      </c>
      <c r="D722" s="2" t="str">
        <f t="shared" si="10"/>
        <v>Error?</v>
      </c>
    </row>
    <row r="723" spans="1:4" x14ac:dyDescent="0.2">
      <c r="A723" s="5">
        <v>662</v>
      </c>
      <c r="B723" s="1832">
        <f>'Expenditures 15-22'!C38</f>
        <v>41613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156936</v>
      </c>
      <c r="D726" s="2" t="str">
        <f t="shared" si="10"/>
        <v>Error?</v>
      </c>
    </row>
    <row r="727" spans="1:4" x14ac:dyDescent="0.2">
      <c r="A727" s="5">
        <v>666</v>
      </c>
      <c r="B727" s="1832">
        <f>'Expenditures 15-22'!C42</f>
        <v>388828</v>
      </c>
      <c r="C727" s="2" t="s">
        <v>569</v>
      </c>
      <c r="D727" s="2" t="str">
        <f t="shared" si="10"/>
        <v>Error?</v>
      </c>
    </row>
    <row r="728" spans="1:4" x14ac:dyDescent="0.2">
      <c r="A728" s="5">
        <v>667</v>
      </c>
      <c r="B728" s="1832">
        <f>'Expenditures 15-22'!C44</f>
        <v>127009</v>
      </c>
      <c r="D728" s="2" t="str">
        <f t="shared" si="10"/>
        <v>Error?</v>
      </c>
    </row>
    <row r="729" spans="1:4" x14ac:dyDescent="0.2">
      <c r="A729" s="5">
        <v>668</v>
      </c>
      <c r="B729" s="1832">
        <f>'Expenditures 15-22'!C45</f>
        <v>34686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161695</v>
      </c>
      <c r="C731" s="2" t="s">
        <v>569</v>
      </c>
      <c r="D731" s="2" t="str">
        <f t="shared" si="10"/>
        <v>Error?</v>
      </c>
    </row>
    <row r="732" spans="1:4" x14ac:dyDescent="0.2">
      <c r="A732" s="5">
        <v>671</v>
      </c>
      <c r="B732" s="1832">
        <f>'Expenditures 15-22'!C49</f>
        <v>36594</v>
      </c>
      <c r="D732" s="2" t="str">
        <f t="shared" si="10"/>
        <v>Error?</v>
      </c>
    </row>
    <row r="733" spans="1:4" x14ac:dyDescent="0.2">
      <c r="A733" s="5">
        <v>672</v>
      </c>
      <c r="B733" s="1832">
        <f>'Expenditures 15-22'!C50</f>
        <v>116223</v>
      </c>
      <c r="D733" s="2" t="str">
        <f t="shared" si="10"/>
        <v>Error?</v>
      </c>
    </row>
    <row r="734" spans="1:4" x14ac:dyDescent="0.2">
      <c r="A734" s="5">
        <v>673</v>
      </c>
      <c r="B734" s="1832">
        <f>'Expenditures 15-22'!C53</f>
        <v>152817</v>
      </c>
      <c r="C734" s="2" t="s">
        <v>569</v>
      </c>
      <c r="D734" s="2" t="str">
        <f t="shared" si="10"/>
        <v>Error?</v>
      </c>
    </row>
    <row r="735" spans="1:4" x14ac:dyDescent="0.2">
      <c r="A735" s="5">
        <v>674</v>
      </c>
      <c r="B735" s="1832">
        <f>'Expenditures 15-22'!C55</f>
        <v>504475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504475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52590</v>
      </c>
      <c r="D739" s="2" t="str">
        <f t="shared" si="10"/>
        <v>Error?</v>
      </c>
    </row>
    <row r="740" spans="1:4" x14ac:dyDescent="0.2">
      <c r="A740" s="5">
        <v>679</v>
      </c>
      <c r="B740" s="1832">
        <f>'Expenditures 15-22'!C61</f>
        <v>239906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182554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475050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7027</v>
      </c>
      <c r="D754" s="2" t="str">
        <f t="shared" si="10"/>
        <v>Error?</v>
      </c>
    </row>
    <row r="755" spans="1:4" x14ac:dyDescent="0.2">
      <c r="A755" s="5">
        <v>694</v>
      </c>
      <c r="B755" s="1832">
        <f>'Expenditures 15-22'!C74</f>
        <v>1689892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5702006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332110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9803</v>
      </c>
      <c r="D775" s="2" t="str">
        <f t="shared" si="11"/>
        <v>Error?</v>
      </c>
    </row>
    <row r="776" spans="1:4" x14ac:dyDescent="0.2">
      <c r="A776" s="5">
        <v>715</v>
      </c>
      <c r="B776" s="1832">
        <f>'Expenditures 15-22'!D14</f>
        <v>1303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471634</v>
      </c>
      <c r="C778" s="2" t="s">
        <v>569</v>
      </c>
      <c r="D778" s="2" t="str">
        <f t="shared" si="11"/>
        <v>Error?</v>
      </c>
    </row>
    <row r="779" spans="1:4" x14ac:dyDescent="0.2">
      <c r="A779" s="5">
        <v>718</v>
      </c>
      <c r="B779" s="1832">
        <f>'Expenditures 15-22'!D36</f>
        <v>21</v>
      </c>
      <c r="D779" s="2" t="str">
        <f t="shared" si="11"/>
        <v>Error?</v>
      </c>
    </row>
    <row r="780" spans="1:4" x14ac:dyDescent="0.2">
      <c r="A780" s="5">
        <v>719</v>
      </c>
      <c r="B780" s="1832">
        <f>'Expenditures 15-22'!D37</f>
        <v>11203</v>
      </c>
      <c r="D780" s="2" t="str">
        <f t="shared" si="11"/>
        <v>Error?</v>
      </c>
    </row>
    <row r="781" spans="1:4" x14ac:dyDescent="0.2">
      <c r="A781" s="5">
        <v>720</v>
      </c>
      <c r="B781" s="1832">
        <f>'Expenditures 15-22'!D38</f>
        <v>4057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11076</v>
      </c>
      <c r="D784" s="2" t="str">
        <f t="shared" si="11"/>
        <v>Error?</v>
      </c>
    </row>
    <row r="785" spans="1:4" x14ac:dyDescent="0.2">
      <c r="A785" s="5">
        <v>724</v>
      </c>
      <c r="B785" s="1832">
        <f>'Expenditures 15-22'!D42</f>
        <v>26357</v>
      </c>
      <c r="C785" s="2" t="s">
        <v>569</v>
      </c>
      <c r="D785" s="2" t="str">
        <f t="shared" si="11"/>
        <v>Error?</v>
      </c>
    </row>
    <row r="786" spans="1:4" x14ac:dyDescent="0.2">
      <c r="A786" s="5">
        <v>725</v>
      </c>
      <c r="B786" s="1832">
        <f>'Expenditures 15-22'!D44</f>
        <v>29694</v>
      </c>
      <c r="D786" s="2" t="str">
        <f t="shared" si="11"/>
        <v>Error?</v>
      </c>
    </row>
    <row r="787" spans="1:4" x14ac:dyDescent="0.2">
      <c r="A787" s="5">
        <v>726</v>
      </c>
      <c r="B787" s="1832">
        <f>'Expenditures 15-22'!D45</f>
        <v>5397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35091</v>
      </c>
      <c r="C789" s="2" t="s">
        <v>569</v>
      </c>
      <c r="D789" s="2" t="str">
        <f t="shared" si="11"/>
        <v>Error?</v>
      </c>
    </row>
    <row r="790" spans="1:4" x14ac:dyDescent="0.2">
      <c r="A790" s="5">
        <v>729</v>
      </c>
      <c r="B790" s="1832">
        <f>'Expenditures 15-22'!D49</f>
        <v>18</v>
      </c>
      <c r="D790" s="2" t="str">
        <f t="shared" si="11"/>
        <v>Error?</v>
      </c>
    </row>
    <row r="791" spans="1:4" x14ac:dyDescent="0.2">
      <c r="A791" s="5">
        <v>730</v>
      </c>
      <c r="B791" s="1832">
        <f>'Expenditures 15-22'!D50</f>
        <v>29066</v>
      </c>
      <c r="D791" s="2" t="str">
        <f t="shared" si="11"/>
        <v>Error?</v>
      </c>
    </row>
    <row r="792" spans="1:4" x14ac:dyDescent="0.2">
      <c r="A792" s="5">
        <v>731</v>
      </c>
      <c r="B792" s="1832">
        <f>'Expenditures 15-22'!D53</f>
        <v>29084</v>
      </c>
      <c r="C792" s="2" t="s">
        <v>569</v>
      </c>
      <c r="D792" s="2" t="str">
        <f t="shared" si="11"/>
        <v>Error?</v>
      </c>
    </row>
    <row r="793" spans="1:4" x14ac:dyDescent="0.2">
      <c r="A793" s="5">
        <v>732</v>
      </c>
      <c r="B793" s="1832">
        <f>'Expenditures 15-22'!D55</f>
        <v>28063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28063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5670</v>
      </c>
      <c r="D797" s="2" t="str">
        <f t="shared" si="11"/>
        <v>Error?</v>
      </c>
    </row>
    <row r="798" spans="1:4" x14ac:dyDescent="0.2">
      <c r="A798" s="5">
        <v>737</v>
      </c>
      <c r="B798" s="1832">
        <f>'Expenditures 15-22'!D61</f>
        <v>35934</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32772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74376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3</v>
      </c>
      <c r="D812" s="2" t="str">
        <f t="shared" si="11"/>
        <v>Error?</v>
      </c>
    </row>
    <row r="813" spans="1:4" x14ac:dyDescent="0.2">
      <c r="A813" s="5">
        <v>752</v>
      </c>
      <c r="B813" s="1832">
        <f>'Expenditures 15-22'!D74</f>
        <v>192974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664608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36582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6881</v>
      </c>
      <c r="D833" s="2" t="str">
        <f t="shared" si="12"/>
        <v>Error?</v>
      </c>
    </row>
    <row r="834" spans="1:4" x14ac:dyDescent="0.2">
      <c r="A834" s="5">
        <v>773</v>
      </c>
      <c r="B834" s="1832">
        <f>'Expenditures 15-22'!E14</f>
        <v>29411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126394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72956</v>
      </c>
      <c r="D842" s="2" t="str">
        <f t="shared" si="12"/>
        <v>Error?</v>
      </c>
    </row>
    <row r="843" spans="1:4" x14ac:dyDescent="0.2">
      <c r="A843" s="5">
        <v>782</v>
      </c>
      <c r="B843" s="1832">
        <f>'Expenditures 15-22'!E42</f>
        <v>72956</v>
      </c>
      <c r="C843" s="2" t="s">
        <v>569</v>
      </c>
      <c r="D843" s="2" t="str">
        <f t="shared" si="12"/>
        <v>Error?</v>
      </c>
    </row>
    <row r="844" spans="1:4" x14ac:dyDescent="0.2">
      <c r="A844" s="5">
        <v>783</v>
      </c>
      <c r="B844" s="1832">
        <f>'Expenditures 15-22'!E44</f>
        <v>55955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16918</v>
      </c>
      <c r="D846" s="2" t="str">
        <f t="shared" si="12"/>
        <v>Error?</v>
      </c>
    </row>
    <row r="847" spans="1:4" x14ac:dyDescent="0.2">
      <c r="A847" s="5">
        <v>786</v>
      </c>
      <c r="B847" s="1832">
        <f>'Expenditures 15-22'!E47</f>
        <v>72873</v>
      </c>
      <c r="C847" s="2" t="s">
        <v>569</v>
      </c>
      <c r="D847" s="2" t="str">
        <f t="shared" si="12"/>
        <v>Error?</v>
      </c>
    </row>
    <row r="848" spans="1:4" x14ac:dyDescent="0.2">
      <c r="A848" s="5">
        <v>787</v>
      </c>
      <c r="B848" s="1832">
        <f>'Expenditures 15-22'!E49</f>
        <v>24018</v>
      </c>
      <c r="D848" s="2" t="str">
        <f t="shared" si="12"/>
        <v>Error?</v>
      </c>
    </row>
    <row r="849" spans="1:4" x14ac:dyDescent="0.2">
      <c r="A849" s="5">
        <v>788</v>
      </c>
      <c r="B849" s="1832">
        <f>'Expenditures 15-22'!E50</f>
        <v>3834</v>
      </c>
      <c r="D849" s="2" t="str">
        <f t="shared" si="12"/>
        <v>Error?</v>
      </c>
    </row>
    <row r="850" spans="1:4" x14ac:dyDescent="0.2">
      <c r="A850" s="5">
        <v>789</v>
      </c>
      <c r="B850" s="1832">
        <f>'Expenditures 15-22'!E53</f>
        <v>27852</v>
      </c>
      <c r="C850" s="2" t="s">
        <v>569</v>
      </c>
      <c r="D850" s="2" t="str">
        <f t="shared" si="12"/>
        <v>Error?</v>
      </c>
    </row>
    <row r="851" spans="1:4" x14ac:dyDescent="0.2">
      <c r="A851" s="5">
        <v>790</v>
      </c>
      <c r="B851" s="1832">
        <f>'Expenditures 15-22'!E55</f>
        <v>1577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1577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5584</v>
      </c>
      <c r="D855" s="2" t="str">
        <f t="shared" si="12"/>
        <v>Error?</v>
      </c>
    </row>
    <row r="856" spans="1:4" x14ac:dyDescent="0.2">
      <c r="A856" s="5">
        <v>795</v>
      </c>
      <c r="B856" s="1832">
        <f>'Expenditures 15-22'!E61</f>
        <v>11078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2946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19608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194866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1267243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117375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10680</v>
      </c>
      <c r="D891" s="2" t="str">
        <f t="shared" si="12"/>
        <v>Error?</v>
      </c>
    </row>
    <row r="892" spans="1:4" x14ac:dyDescent="0.2">
      <c r="A892" s="5">
        <v>831</v>
      </c>
      <c r="B892" s="1832">
        <f>'Expenditures 15-22'!F14</f>
        <v>48264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297875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4315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39527</v>
      </c>
      <c r="D900" s="2" t="str">
        <f t="shared" si="13"/>
        <v>Error?</v>
      </c>
    </row>
    <row r="901" spans="1:4" x14ac:dyDescent="0.2">
      <c r="A901" s="5">
        <v>840</v>
      </c>
      <c r="B901" s="1832">
        <f>'Expenditures 15-22'!F42</f>
        <v>43842</v>
      </c>
      <c r="C901" s="2" t="s">
        <v>569</v>
      </c>
      <c r="D901" s="2" t="str">
        <f t="shared" si="13"/>
        <v>Error?</v>
      </c>
    </row>
    <row r="902" spans="1:4" x14ac:dyDescent="0.2">
      <c r="A902" s="5">
        <v>841</v>
      </c>
      <c r="B902" s="1832">
        <f>'Expenditures 15-22'!F44</f>
        <v>165</v>
      </c>
      <c r="D902" s="2" t="str">
        <f t="shared" si="13"/>
        <v>Error?</v>
      </c>
    </row>
    <row r="903" spans="1:4" x14ac:dyDescent="0.2">
      <c r="A903" s="5">
        <v>842</v>
      </c>
      <c r="B903" s="1832">
        <f>'Expenditures 15-22'!F45</f>
        <v>7843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8008</v>
      </c>
      <c r="C905" s="2" t="s">
        <v>569</v>
      </c>
      <c r="D905" s="2" t="str">
        <f t="shared" si="13"/>
        <v>Error?</v>
      </c>
    </row>
    <row r="906" spans="1:4" x14ac:dyDescent="0.2">
      <c r="A906" s="5">
        <v>845</v>
      </c>
      <c r="B906" s="1832">
        <f>'Expenditures 15-22'!F49</f>
        <v>4633</v>
      </c>
      <c r="D906" s="2" t="str">
        <f t="shared" si="13"/>
        <v>Error?</v>
      </c>
    </row>
    <row r="907" spans="1:4" x14ac:dyDescent="0.2">
      <c r="A907" s="5">
        <v>846</v>
      </c>
      <c r="B907" s="1832">
        <f>'Expenditures 15-22'!F50</f>
        <v>1618</v>
      </c>
      <c r="D907" s="2" t="str">
        <f t="shared" si="13"/>
        <v>Error?</v>
      </c>
    </row>
    <row r="908" spans="1:4" x14ac:dyDescent="0.2">
      <c r="A908" s="5">
        <v>847</v>
      </c>
      <c r="B908" s="1832">
        <f>'Expenditures 15-22'!F53</f>
        <v>6251</v>
      </c>
      <c r="C908" s="2" t="s">
        <v>569</v>
      </c>
      <c r="D908" s="2" t="str">
        <f t="shared" si="13"/>
        <v>Error?</v>
      </c>
    </row>
    <row r="909" spans="1:4" x14ac:dyDescent="0.2">
      <c r="A909" s="5">
        <v>848</v>
      </c>
      <c r="B909" s="1832">
        <f>'Expenditures 15-22'!F55</f>
        <v>2785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2785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1207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255875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257082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317968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615843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44388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5740</v>
      </c>
      <c r="D958" s="2" t="str">
        <f t="shared" si="13"/>
        <v>Error?</v>
      </c>
    </row>
    <row r="959" spans="1:4" x14ac:dyDescent="0.2">
      <c r="A959" s="5">
        <v>898</v>
      </c>
      <c r="B959" s="1832">
        <f>'Expenditures 15-22'!G42</f>
        <v>5740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6648</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3044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9692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15432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59820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4972</v>
      </c>
      <c r="D1022" s="2" t="str">
        <f t="shared" si="14"/>
        <v>Error?</v>
      </c>
    </row>
    <row r="1023" spans="1:4" x14ac:dyDescent="0.2">
      <c r="A1023" s="5">
        <v>962</v>
      </c>
      <c r="B1023" s="1832">
        <f>'Expenditures 15-22'!H50</f>
        <v>2713</v>
      </c>
      <c r="D1023" s="2" t="str">
        <f t="shared" ref="D1023:D1086" si="15">IF(ISBLANK(B1023),"OK",IF(A1023-B1023=0,"OK","Error?"))</f>
        <v>Error?</v>
      </c>
    </row>
    <row r="1024" spans="1:4" x14ac:dyDescent="0.2">
      <c r="A1024" s="5">
        <v>963</v>
      </c>
      <c r="B1024" s="1832">
        <f>'Expenditures 15-22'!H53</f>
        <v>7685</v>
      </c>
      <c r="C1024" s="2" t="s">
        <v>569</v>
      </c>
      <c r="D1024" s="2" t="str">
        <f t="shared" si="15"/>
        <v>Error?</v>
      </c>
    </row>
    <row r="1025" spans="1:4" x14ac:dyDescent="0.2">
      <c r="A1025" s="5">
        <v>964</v>
      </c>
      <c r="B1025" s="1832">
        <f>'Expenditures 15-22'!H55</f>
        <v>1651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1651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9336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9336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3318351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199640</v>
      </c>
      <c r="C1105" s="2" t="s">
        <v>569</v>
      </c>
      <c r="D1105" s="2" t="str">
        <f t="shared" si="16"/>
        <v>Error?</v>
      </c>
    </row>
    <row r="1106" spans="1:4" x14ac:dyDescent="0.2">
      <c r="A1106" s="5">
        <v>1045</v>
      </c>
      <c r="B1106" s="1832">
        <f>'Expenditures 15-22'!K14</f>
        <v>226865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4952405</v>
      </c>
      <c r="C1108" s="2" t="s">
        <v>569</v>
      </c>
      <c r="D1108" s="2" t="str">
        <f t="shared" si="16"/>
        <v>Error?</v>
      </c>
    </row>
    <row r="1109" spans="1:4" x14ac:dyDescent="0.2">
      <c r="A1109" s="5">
        <v>1048</v>
      </c>
      <c r="B1109" s="1832">
        <f>'Expenditures 15-22'!K36</f>
        <v>50055</v>
      </c>
      <c r="C1109" s="2" t="s">
        <v>569</v>
      </c>
      <c r="D1109" s="2" t="str">
        <f t="shared" si="16"/>
        <v>Error?</v>
      </c>
    </row>
    <row r="1110" spans="1:4" x14ac:dyDescent="0.2">
      <c r="A1110" s="5">
        <v>1049</v>
      </c>
      <c r="B1110" s="1832">
        <f>'Expenditures 15-22'!K37</f>
        <v>151448</v>
      </c>
      <c r="C1110" s="2" t="s">
        <v>569</v>
      </c>
      <c r="D1110" s="2" t="str">
        <f t="shared" si="16"/>
        <v>Error?</v>
      </c>
    </row>
    <row r="1111" spans="1:4" x14ac:dyDescent="0.2">
      <c r="A1111" s="5">
        <v>1050</v>
      </c>
      <c r="B1111" s="1832">
        <f>'Expenditures 15-22'!K38</f>
        <v>49985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286235</v>
      </c>
      <c r="C1114" s="2" t="s">
        <v>569</v>
      </c>
      <c r="D1114" s="2" t="str">
        <f t="shared" si="16"/>
        <v>Error?</v>
      </c>
    </row>
    <row r="1115" spans="1:4" x14ac:dyDescent="0.2">
      <c r="A1115" s="5">
        <v>1054</v>
      </c>
      <c r="B1115" s="1832">
        <f>'Expenditures 15-22'!K42</f>
        <v>537723</v>
      </c>
      <c r="C1115" s="2" t="s">
        <v>569</v>
      </c>
      <c r="D1115" s="2" t="str">
        <f t="shared" si="16"/>
        <v>Error?</v>
      </c>
    </row>
    <row r="1116" spans="1:4" x14ac:dyDescent="0.2">
      <c r="A1116" s="5">
        <v>1055</v>
      </c>
      <c r="B1116" s="1832">
        <f>'Expenditures 15-22'!K44</f>
        <v>212823</v>
      </c>
      <c r="C1116" s="2" t="s">
        <v>569</v>
      </c>
      <c r="D1116" s="2" t="str">
        <f t="shared" si="16"/>
        <v>Error?</v>
      </c>
    </row>
    <row r="1117" spans="1:4" x14ac:dyDescent="0.2">
      <c r="A1117" s="5">
        <v>1056</v>
      </c>
      <c r="B1117" s="1832">
        <f>'Expenditures 15-22'!K45</f>
        <v>47926</v>
      </c>
      <c r="C1117" s="2" t="s">
        <v>569</v>
      </c>
      <c r="D1117" s="2" t="str">
        <f t="shared" si="16"/>
        <v>Error?</v>
      </c>
    </row>
    <row r="1118" spans="1:4" x14ac:dyDescent="0.2">
      <c r="A1118" s="5">
        <v>1057</v>
      </c>
      <c r="B1118" s="1832">
        <f>'Expenditures 15-22'!K46</f>
        <v>16918</v>
      </c>
      <c r="C1118" s="2" t="s">
        <v>569</v>
      </c>
      <c r="D1118" s="2" t="str">
        <f t="shared" si="16"/>
        <v>Error?</v>
      </c>
    </row>
    <row r="1119" spans="1:4" x14ac:dyDescent="0.2">
      <c r="A1119" s="5">
        <v>1058</v>
      </c>
      <c r="B1119" s="1832">
        <f>'Expenditures 15-22'!K47</f>
        <v>277667</v>
      </c>
      <c r="C1119" s="2" t="s">
        <v>569</v>
      </c>
      <c r="D1119" s="2" t="str">
        <f t="shared" si="16"/>
        <v>Error?</v>
      </c>
    </row>
    <row r="1120" spans="1:4" x14ac:dyDescent="0.2">
      <c r="A1120" s="5">
        <v>1059</v>
      </c>
      <c r="B1120" s="1832">
        <f>'Expenditures 15-22'!K49</f>
        <v>70235</v>
      </c>
      <c r="C1120" s="2" t="s">
        <v>569</v>
      </c>
      <c r="D1120" s="2" t="str">
        <f t="shared" si="16"/>
        <v>Error?</v>
      </c>
    </row>
    <row r="1121" spans="1:4" x14ac:dyDescent="0.2">
      <c r="A1121" s="5">
        <v>1060</v>
      </c>
      <c r="B1121" s="1832">
        <f>'Expenditures 15-22'!K50</f>
        <v>153454</v>
      </c>
      <c r="C1121" s="2" t="s">
        <v>569</v>
      </c>
      <c r="D1121" s="2" t="str">
        <f t="shared" si="16"/>
        <v>Error?</v>
      </c>
    </row>
    <row r="1122" spans="1:4" x14ac:dyDescent="0.2">
      <c r="A1122" s="5">
        <v>1061</v>
      </c>
      <c r="B1122" s="1832">
        <f>'Expenditures 15-22'!K53</f>
        <v>223689</v>
      </c>
      <c r="C1122" s="2" t="s">
        <v>569</v>
      </c>
      <c r="D1122" s="2" t="str">
        <f t="shared" si="16"/>
        <v>Error?</v>
      </c>
    </row>
    <row r="1123" spans="1:4" x14ac:dyDescent="0.2">
      <c r="A1123" s="5">
        <v>1062</v>
      </c>
      <c r="B1123" s="1832">
        <f>'Expenditures 15-22'!K55</f>
        <v>538551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538551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65051</v>
      </c>
      <c r="C1127" s="2" t="s">
        <v>569</v>
      </c>
      <c r="D1127" s="2" t="str">
        <f t="shared" si="16"/>
        <v>Error?</v>
      </c>
    </row>
    <row r="1128" spans="1:4" x14ac:dyDescent="0.2">
      <c r="A1128" s="5">
        <v>1067</v>
      </c>
      <c r="B1128" s="1832">
        <f>'Expenditures 15-22'!K61</f>
        <v>293566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477191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835808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7030</v>
      </c>
      <c r="C1142" s="2" t="s">
        <v>569</v>
      </c>
      <c r="D1142" s="2" t="str">
        <f t="shared" si="16"/>
        <v>Error?</v>
      </c>
    </row>
    <row r="1143" spans="1:4" x14ac:dyDescent="0.2">
      <c r="A1143" s="5">
        <v>1082</v>
      </c>
      <c r="B1143" s="1832">
        <f>'Expenditures 15-22'!K74</f>
        <v>2420468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945983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8318856</v>
      </c>
      <c r="C1152" s="2" t="s">
        <v>569</v>
      </c>
      <c r="D1152" s="2" t="str">
        <f t="shared" si="17"/>
        <v>Error?</v>
      </c>
    </row>
    <row r="1153" spans="1:4" x14ac:dyDescent="0.2">
      <c r="A1153" s="5">
        <v>1092</v>
      </c>
      <c r="B1153" s="1832">
        <f>'Expenditures 15-22'!K115</f>
        <v>807316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70385</v>
      </c>
      <c r="D1221" s="2" t="str">
        <f t="shared" si="18"/>
        <v>Error?</v>
      </c>
    </row>
    <row r="1222" spans="1:4" x14ac:dyDescent="0.2">
      <c r="A1222" s="10">
        <v>1161</v>
      </c>
      <c r="B1222" s="1832"/>
      <c r="D1222" s="2" t="str">
        <f t="shared" si="18"/>
        <v>OK</v>
      </c>
    </row>
    <row r="1223" spans="1:4" x14ac:dyDescent="0.2">
      <c r="A1223" s="5">
        <v>1162</v>
      </c>
      <c r="B1223" s="1832">
        <f>'Expenditures 15-22'!C127</f>
        <v>70385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70385</v>
      </c>
      <c r="C1225" s="2" t="s">
        <v>569</v>
      </c>
      <c r="D1225" s="2" t="str">
        <f t="shared" si="18"/>
        <v>Error?</v>
      </c>
    </row>
    <row r="1226" spans="1:4" x14ac:dyDescent="0.2">
      <c r="A1226" s="5">
        <v>1165</v>
      </c>
      <c r="B1226" s="1832">
        <f>'Expenditures 15-22'!C151</f>
        <v>70385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8129</v>
      </c>
      <c r="D1229" s="2" t="str">
        <f t="shared" si="18"/>
        <v>Error?</v>
      </c>
    </row>
    <row r="1230" spans="1:4" x14ac:dyDescent="0.2">
      <c r="A1230" s="10">
        <v>1169</v>
      </c>
      <c r="B1230" s="1832"/>
      <c r="D1230" s="2" t="str">
        <f t="shared" si="18"/>
        <v>OK</v>
      </c>
    </row>
    <row r="1231" spans="1:4" x14ac:dyDescent="0.2">
      <c r="A1231" s="5">
        <v>1170</v>
      </c>
      <c r="B1231" s="1832">
        <f>'Expenditures 15-22'!D127</f>
        <v>8129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8129</v>
      </c>
      <c r="C1233" s="2" t="s">
        <v>569</v>
      </c>
      <c r="D1233" s="2" t="str">
        <f t="shared" si="18"/>
        <v>Error?</v>
      </c>
    </row>
    <row r="1234" spans="1:4" x14ac:dyDescent="0.2">
      <c r="A1234" s="5">
        <v>1173</v>
      </c>
      <c r="B1234" s="1832">
        <f>'Expenditures 15-22'!D151</f>
        <v>8129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213020</v>
      </c>
      <c r="D1237" s="2" t="str">
        <f t="shared" si="18"/>
        <v>Error?</v>
      </c>
    </row>
    <row r="1238" spans="1:4" x14ac:dyDescent="0.2">
      <c r="A1238" s="10">
        <v>1177</v>
      </c>
      <c r="B1238" s="1832"/>
      <c r="D1238" s="2" t="str">
        <f t="shared" si="18"/>
        <v>OK</v>
      </c>
    </row>
    <row r="1239" spans="1:4" x14ac:dyDescent="0.2">
      <c r="A1239" s="5">
        <v>1178</v>
      </c>
      <c r="B1239" s="1832">
        <f>'Expenditures 15-22'!E127</f>
        <v>213020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213020</v>
      </c>
      <c r="C1241" s="2" t="s">
        <v>569</v>
      </c>
      <c r="D1241" s="2" t="str">
        <f t="shared" si="18"/>
        <v>Error?</v>
      </c>
    </row>
    <row r="1242" spans="1:4" x14ac:dyDescent="0.2">
      <c r="A1242" s="5">
        <v>1181</v>
      </c>
      <c r="B1242" s="1832">
        <f>'Expenditures 15-22'!E151</f>
        <v>213020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60886</v>
      </c>
      <c r="D1245" s="2" t="str">
        <f t="shared" si="18"/>
        <v>Error?</v>
      </c>
    </row>
    <row r="1246" spans="1:4" x14ac:dyDescent="0.2">
      <c r="A1246" s="10">
        <v>1185</v>
      </c>
      <c r="B1246" s="1832"/>
      <c r="D1246" s="2" t="str">
        <f t="shared" si="18"/>
        <v>OK</v>
      </c>
    </row>
    <row r="1247" spans="1:4" x14ac:dyDescent="0.2">
      <c r="A1247" s="5">
        <v>1186</v>
      </c>
      <c r="B1247" s="1832">
        <f>'Expenditures 15-22'!F127</f>
        <v>60886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60886</v>
      </c>
      <c r="C1249" s="2" t="s">
        <v>569</v>
      </c>
      <c r="D1249" s="2" t="str">
        <f t="shared" si="18"/>
        <v>Error?</v>
      </c>
    </row>
    <row r="1250" spans="1:4" x14ac:dyDescent="0.2">
      <c r="A1250" s="5">
        <v>1189</v>
      </c>
      <c r="B1250" s="1832">
        <f>'Expenditures 15-22'!F151</f>
        <v>60886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25065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25065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25065</v>
      </c>
      <c r="C1258" s="2" t="s">
        <v>569</v>
      </c>
      <c r="D1258" s="2" t="str">
        <f t="shared" si="18"/>
        <v>Error?</v>
      </c>
    </row>
    <row r="1259" spans="1:4" x14ac:dyDescent="0.2">
      <c r="A1259" s="5">
        <v>1198</v>
      </c>
      <c r="B1259" s="1832">
        <f>'Expenditures 15-22'!G151</f>
        <v>25065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377485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377485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377485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377485</v>
      </c>
      <c r="C1288" s="2" t="s">
        <v>569</v>
      </c>
      <c r="D1288" s="2" t="str">
        <f t="shared" si="19"/>
        <v>Error?</v>
      </c>
    </row>
    <row r="1289" spans="1:4" x14ac:dyDescent="0.2">
      <c r="A1289" s="5">
        <v>1228</v>
      </c>
      <c r="B1289" s="1832">
        <f>'Expenditures 15-22'!K152</f>
        <v>323980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49502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122600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172102</v>
      </c>
      <c r="C1317" s="2" t="s">
        <v>569</v>
      </c>
      <c r="D1317" s="2" t="str">
        <f t="shared" si="19"/>
        <v>Error?</v>
      </c>
    </row>
    <row r="1318" spans="1:4" x14ac:dyDescent="0.2">
      <c r="A1318" s="5">
        <v>1257</v>
      </c>
      <c r="B1318" s="1832">
        <f>'Expenditures 15-22'!H174</f>
        <v>172102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49502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122600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172102</v>
      </c>
      <c r="C1331" s="2" t="s">
        <v>569</v>
      </c>
      <c r="D1331" s="2" t="str">
        <f t="shared" si="19"/>
        <v>Error?</v>
      </c>
    </row>
    <row r="1332" spans="1:4" x14ac:dyDescent="0.2">
      <c r="A1332" s="5">
        <v>1271</v>
      </c>
      <c r="B1332" s="1832">
        <f>'Expenditures 15-22'!K174</f>
        <v>172102</v>
      </c>
      <c r="C1332" s="2" t="s">
        <v>569</v>
      </c>
      <c r="D1332" s="2" t="str">
        <f t="shared" si="19"/>
        <v>Error?</v>
      </c>
    </row>
    <row r="1333" spans="1:4" x14ac:dyDescent="0.2">
      <c r="A1333" s="5">
        <v>1272</v>
      </c>
      <c r="B1333" s="1832">
        <f>'Expenditures 15-22'!K175</f>
        <v>4371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230391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230391</v>
      </c>
      <c r="C1339" s="2" t="s">
        <v>569</v>
      </c>
      <c r="D1339" s="2" t="str">
        <f t="shared" si="19"/>
        <v>Error?</v>
      </c>
    </row>
    <row r="1340" spans="1:4" x14ac:dyDescent="0.2">
      <c r="A1340" s="5">
        <v>1279</v>
      </c>
      <c r="B1340" s="1832">
        <f>'Expenditures 15-22'!C210</f>
        <v>230391</v>
      </c>
      <c r="C1340" s="2" t="s">
        <v>569</v>
      </c>
      <c r="D1340" s="2" t="str">
        <f t="shared" si="19"/>
        <v>Error?</v>
      </c>
    </row>
    <row r="1341" spans="1:4" x14ac:dyDescent="0.2">
      <c r="A1341" s="5">
        <v>1280</v>
      </c>
      <c r="B1341" s="1832">
        <f>'Expenditures 15-22'!D182</f>
        <v>15395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15395</v>
      </c>
      <c r="C1345" s="2" t="s">
        <v>569</v>
      </c>
      <c r="D1345" s="2" t="str">
        <f t="shared" si="20"/>
        <v>Error?</v>
      </c>
    </row>
    <row r="1346" spans="1:4" x14ac:dyDescent="0.2">
      <c r="A1346" s="5">
        <v>1285</v>
      </c>
      <c r="B1346" s="1832">
        <f>'Expenditures 15-22'!D210</f>
        <v>15395</v>
      </c>
      <c r="C1346" s="2" t="s">
        <v>569</v>
      </c>
      <c r="D1346" s="2" t="str">
        <f t="shared" si="20"/>
        <v>Error?</v>
      </c>
    </row>
    <row r="1347" spans="1:4" x14ac:dyDescent="0.2">
      <c r="A1347" s="5">
        <v>1286</v>
      </c>
      <c r="B1347" s="1832">
        <f>'Expenditures 15-22'!E182</f>
        <v>149242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149242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149242</v>
      </c>
      <c r="C1353" s="2" t="s">
        <v>569</v>
      </c>
      <c r="D1353" s="2" t="str">
        <f t="shared" si="20"/>
        <v>Error?</v>
      </c>
    </row>
    <row r="1354" spans="1:4" x14ac:dyDescent="0.2">
      <c r="A1354" s="5">
        <v>1293</v>
      </c>
      <c r="B1354" s="1832">
        <f>'Expenditures 15-22'!F182</f>
        <v>58063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58063</v>
      </c>
      <c r="C1358" s="2" t="s">
        <v>569</v>
      </c>
      <c r="D1358" s="2" t="str">
        <f t="shared" si="20"/>
        <v>Error?</v>
      </c>
    </row>
    <row r="1359" spans="1:4" x14ac:dyDescent="0.2">
      <c r="A1359" s="5">
        <v>1298</v>
      </c>
      <c r="B1359" s="1832">
        <f>'Expenditures 15-22'!F210</f>
        <v>58063</v>
      </c>
      <c r="C1359" s="2" t="s">
        <v>569</v>
      </c>
      <c r="D1359" s="2" t="str">
        <f t="shared" si="20"/>
        <v>Error?</v>
      </c>
    </row>
    <row r="1360" spans="1:4" x14ac:dyDescent="0.2">
      <c r="A1360" s="5">
        <v>1299</v>
      </c>
      <c r="B1360" s="1832">
        <f>'Expenditures 15-22'!G182</f>
        <v>74750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74750</v>
      </c>
      <c r="C1364" s="2" t="s">
        <v>569</v>
      </c>
      <c r="D1364" s="2" t="str">
        <f t="shared" si="20"/>
        <v>Error?</v>
      </c>
    </row>
    <row r="1365" spans="1:4" x14ac:dyDescent="0.2">
      <c r="A1365" s="5">
        <v>1304</v>
      </c>
      <c r="B1365" s="1832">
        <f>'Expenditures 15-22'!G210</f>
        <v>74750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527841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527841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527841</v>
      </c>
      <c r="C1388" s="2" t="s">
        <v>569</v>
      </c>
      <c r="D1388" s="2" t="str">
        <f t="shared" si="20"/>
        <v>Error?</v>
      </c>
    </row>
    <row r="1389" spans="1:4" x14ac:dyDescent="0.2">
      <c r="A1389" s="5">
        <v>1328</v>
      </c>
      <c r="B1389" s="1832">
        <f>'Expenditures 15-22'!K211</f>
        <v>180541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5932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77433</v>
      </c>
      <c r="C1410" s="2" t="s">
        <v>569</v>
      </c>
      <c r="D1410" s="2" t="str">
        <f t="shared" si="21"/>
        <v>Error?</v>
      </c>
    </row>
    <row r="1411" spans="1:4" x14ac:dyDescent="0.2">
      <c r="A1411" s="5">
        <v>1350</v>
      </c>
      <c r="B1411" s="1832">
        <f>'Expenditures 15-22'!D232</f>
        <v>3126</v>
      </c>
      <c r="D1411" s="2" t="str">
        <f t="shared" si="21"/>
        <v>Error?</v>
      </c>
    </row>
    <row r="1412" spans="1:4" x14ac:dyDescent="0.2">
      <c r="A1412" s="5">
        <v>1351</v>
      </c>
      <c r="B1412" s="1832">
        <f>'Expenditures 15-22'!D233</f>
        <v>1986</v>
      </c>
      <c r="D1412" s="2" t="str">
        <f t="shared" si="21"/>
        <v>Error?</v>
      </c>
    </row>
    <row r="1413" spans="1:4" x14ac:dyDescent="0.2">
      <c r="A1413" s="5">
        <v>1352</v>
      </c>
      <c r="B1413" s="1832">
        <f>'Expenditures 15-22'!D234</f>
        <v>3614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13452</v>
      </c>
      <c r="D1416" s="2" t="str">
        <f t="shared" si="21"/>
        <v>Error?</v>
      </c>
    </row>
    <row r="1417" spans="1:4" x14ac:dyDescent="0.2">
      <c r="A1417" s="5">
        <v>1356</v>
      </c>
      <c r="B1417" s="1832">
        <f>'Expenditures 15-22'!D238</f>
        <v>22178</v>
      </c>
      <c r="C1417" s="2" t="s">
        <v>569</v>
      </c>
      <c r="D1417" s="2" t="str">
        <f t="shared" si="21"/>
        <v>Error?</v>
      </c>
    </row>
    <row r="1418" spans="1:4" x14ac:dyDescent="0.2">
      <c r="A1418" s="5">
        <v>1357</v>
      </c>
      <c r="B1418" s="1832">
        <f>'Expenditures 15-22'!D240</f>
        <v>1837</v>
      </c>
      <c r="D1418" s="2" t="str">
        <f t="shared" si="21"/>
        <v>Error?</v>
      </c>
    </row>
    <row r="1419" spans="1:4" x14ac:dyDescent="0.2">
      <c r="A1419" s="5">
        <v>1358</v>
      </c>
      <c r="B1419" s="1832">
        <f>'Expenditures 15-22'!D241</f>
        <v>2959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4796</v>
      </c>
      <c r="C1421" s="2" t="s">
        <v>569</v>
      </c>
      <c r="D1421" s="2" t="str">
        <f t="shared" si="21"/>
        <v>Error?</v>
      </c>
    </row>
    <row r="1422" spans="1:4" x14ac:dyDescent="0.2">
      <c r="A1422" s="5">
        <v>1361</v>
      </c>
      <c r="B1422" s="1832">
        <f>'Expenditures 15-22'!D245</f>
        <v>3150</v>
      </c>
      <c r="D1422" s="2" t="str">
        <f t="shared" si="21"/>
        <v>Error?</v>
      </c>
    </row>
    <row r="1423" spans="1:4" x14ac:dyDescent="0.2">
      <c r="A1423" s="5">
        <v>1362</v>
      </c>
      <c r="B1423" s="1832">
        <f>'Expenditures 15-22'!D246</f>
        <v>2048</v>
      </c>
      <c r="D1423" s="2" t="str">
        <f t="shared" si="21"/>
        <v>Error?</v>
      </c>
    </row>
    <row r="1424" spans="1:4" x14ac:dyDescent="0.2">
      <c r="A1424" s="5">
        <v>1363</v>
      </c>
      <c r="B1424" s="1832">
        <f>'Expenditures 15-22'!D257</f>
        <v>5198</v>
      </c>
      <c r="C1424" s="2" t="s">
        <v>569</v>
      </c>
      <c r="D1424" s="2" t="str">
        <f t="shared" si="21"/>
        <v>Error?</v>
      </c>
    </row>
    <row r="1425" spans="1:4" x14ac:dyDescent="0.2">
      <c r="A1425" s="5">
        <v>1364</v>
      </c>
      <c r="B1425" s="1832">
        <f>'Expenditures 15-22'!D259</f>
        <v>16044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16044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4545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26025</v>
      </c>
      <c r="D1431" s="2" t="str">
        <f t="shared" si="21"/>
        <v>Error?</v>
      </c>
    </row>
    <row r="1432" spans="1:4" x14ac:dyDescent="0.2">
      <c r="A1432" s="5">
        <v>1371</v>
      </c>
      <c r="B1432" s="1832">
        <f>'Expenditures 15-22'!D267</f>
        <v>19013</v>
      </c>
      <c r="D1432" s="2" t="str">
        <f t="shared" si="21"/>
        <v>Error?</v>
      </c>
    </row>
    <row r="1433" spans="1:4" x14ac:dyDescent="0.2">
      <c r="A1433" s="5">
        <v>1372</v>
      </c>
      <c r="B1433" s="1832">
        <f>'Expenditures 15-22'!D268</f>
        <v>15384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64967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462</v>
      </c>
      <c r="D1445" s="2" t="str">
        <f t="shared" si="21"/>
        <v>Error?</v>
      </c>
    </row>
    <row r="1446" spans="1:4" x14ac:dyDescent="0.2">
      <c r="A1446" s="5">
        <v>1385</v>
      </c>
      <c r="B1446" s="1832">
        <f>'Expenditures 15-22'!D279</f>
        <v>113645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191078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5932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77433</v>
      </c>
      <c r="C1474" s="2" t="s">
        <v>569</v>
      </c>
      <c r="D1474" s="2" t="str">
        <f t="shared" si="22"/>
        <v>Error?</v>
      </c>
    </row>
    <row r="1475" spans="1:4" x14ac:dyDescent="0.2">
      <c r="A1475" s="5">
        <v>1414</v>
      </c>
      <c r="B1475" s="1832">
        <f>'Expenditures 15-22'!K232</f>
        <v>3126</v>
      </c>
      <c r="C1475" s="2" t="s">
        <v>569</v>
      </c>
      <c r="D1475" s="2" t="str">
        <f t="shared" si="22"/>
        <v>Error?</v>
      </c>
    </row>
    <row r="1476" spans="1:4" x14ac:dyDescent="0.2">
      <c r="A1476" s="5">
        <v>1415</v>
      </c>
      <c r="B1476" s="1832">
        <f>'Expenditures 15-22'!K233</f>
        <v>1986</v>
      </c>
      <c r="C1476" s="2" t="s">
        <v>569</v>
      </c>
      <c r="D1476" s="2" t="str">
        <f t="shared" si="22"/>
        <v>Error?</v>
      </c>
    </row>
    <row r="1477" spans="1:4" x14ac:dyDescent="0.2">
      <c r="A1477" s="5">
        <v>1416</v>
      </c>
      <c r="B1477" s="1832">
        <f>'Expenditures 15-22'!K234</f>
        <v>3614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13452</v>
      </c>
      <c r="C1480" s="2" t="s">
        <v>569</v>
      </c>
      <c r="D1480" s="2" t="str">
        <f t="shared" si="22"/>
        <v>Error?</v>
      </c>
    </row>
    <row r="1481" spans="1:4" x14ac:dyDescent="0.2">
      <c r="A1481" s="5">
        <v>1420</v>
      </c>
      <c r="B1481" s="1832">
        <f>'Expenditures 15-22'!K238</f>
        <v>22178</v>
      </c>
      <c r="C1481" s="2" t="s">
        <v>569</v>
      </c>
      <c r="D1481" s="2" t="str">
        <f t="shared" si="22"/>
        <v>Error?</v>
      </c>
    </row>
    <row r="1482" spans="1:4" x14ac:dyDescent="0.2">
      <c r="A1482" s="5">
        <v>1421</v>
      </c>
      <c r="B1482" s="1832">
        <f>'Expenditures 15-22'!K240</f>
        <v>1837</v>
      </c>
      <c r="C1482" s="2" t="s">
        <v>569</v>
      </c>
      <c r="D1482" s="2" t="str">
        <f t="shared" si="22"/>
        <v>Error?</v>
      </c>
    </row>
    <row r="1483" spans="1:4" x14ac:dyDescent="0.2">
      <c r="A1483" s="5">
        <v>1422</v>
      </c>
      <c r="B1483" s="1832">
        <f>'Expenditures 15-22'!K241</f>
        <v>2959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4796</v>
      </c>
      <c r="C1485" s="2" t="s">
        <v>569</v>
      </c>
      <c r="D1485" s="2" t="str">
        <f t="shared" si="22"/>
        <v>Error?</v>
      </c>
    </row>
    <row r="1486" spans="1:4" x14ac:dyDescent="0.2">
      <c r="A1486" s="5">
        <v>1425</v>
      </c>
      <c r="B1486" s="1832">
        <f>'Expenditures 15-22'!K245</f>
        <v>3150</v>
      </c>
      <c r="C1486" s="2" t="s">
        <v>569</v>
      </c>
      <c r="D1486" s="2" t="str">
        <f t="shared" si="22"/>
        <v>Error?</v>
      </c>
    </row>
    <row r="1487" spans="1:4" x14ac:dyDescent="0.2">
      <c r="A1487" s="5">
        <v>1426</v>
      </c>
      <c r="B1487" s="1832">
        <f>'Expenditures 15-22'!K246</f>
        <v>2048</v>
      </c>
      <c r="C1487" s="2" t="s">
        <v>569</v>
      </c>
      <c r="D1487" s="2" t="str">
        <f t="shared" si="22"/>
        <v>Error?</v>
      </c>
    </row>
    <row r="1488" spans="1:4" x14ac:dyDescent="0.2">
      <c r="A1488" s="5">
        <v>1427</v>
      </c>
      <c r="B1488" s="1832">
        <f>'Expenditures 15-22'!K257</f>
        <v>5198</v>
      </c>
      <c r="C1488" s="2" t="s">
        <v>569</v>
      </c>
      <c r="D1488" s="2" t="str">
        <f t="shared" si="22"/>
        <v>Error?</v>
      </c>
    </row>
    <row r="1489" spans="1:4" x14ac:dyDescent="0.2">
      <c r="A1489" s="5">
        <v>1428</v>
      </c>
      <c r="B1489" s="1832">
        <f>'Expenditures 15-22'!K259</f>
        <v>16044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16044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4545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26025</v>
      </c>
      <c r="C1495" s="2" t="s">
        <v>569</v>
      </c>
      <c r="D1495" s="2" t="str">
        <f t="shared" si="22"/>
        <v>Error?</v>
      </c>
    </row>
    <row r="1496" spans="1:4" x14ac:dyDescent="0.2">
      <c r="A1496" s="5">
        <v>1435</v>
      </c>
      <c r="B1496" s="1832">
        <f>'Expenditures 15-22'!K267</f>
        <v>19013</v>
      </c>
      <c r="C1496" s="2" t="s">
        <v>569</v>
      </c>
      <c r="D1496" s="2" t="str">
        <f t="shared" si="22"/>
        <v>Error?</v>
      </c>
    </row>
    <row r="1497" spans="1:4" x14ac:dyDescent="0.2">
      <c r="A1497" s="5">
        <v>1436</v>
      </c>
      <c r="B1497" s="1832">
        <f>'Expenditures 15-22'!K268</f>
        <v>15384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64967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462</v>
      </c>
      <c r="C1509" s="2" t="s">
        <v>569</v>
      </c>
      <c r="D1509" s="2" t="str">
        <f t="shared" si="22"/>
        <v>Error?</v>
      </c>
    </row>
    <row r="1510" spans="1:4" x14ac:dyDescent="0.2">
      <c r="A1510" s="5">
        <v>1449</v>
      </c>
      <c r="B1510" s="1832">
        <f>'Expenditures 15-22'!K279</f>
        <v>113645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191078</v>
      </c>
      <c r="C1517" s="2" t="s">
        <v>569</v>
      </c>
      <c r="D1517" s="2" t="str">
        <f t="shared" si="22"/>
        <v>Error?</v>
      </c>
    </row>
    <row r="1518" spans="1:4" x14ac:dyDescent="0.2">
      <c r="A1518" s="5">
        <v>1457</v>
      </c>
      <c r="B1518" s="1832">
        <f>'Expenditures 15-22'!K296</f>
        <v>27456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448915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448915</v>
      </c>
      <c r="C1547" s="2" t="s">
        <v>569</v>
      </c>
      <c r="D1547" s="2" t="str">
        <f t="shared" si="23"/>
        <v>Error?</v>
      </c>
    </row>
    <row r="1548" spans="1:4" x14ac:dyDescent="0.2">
      <c r="A1548" s="5">
        <v>1487</v>
      </c>
      <c r="B1548" s="1832">
        <f>'Expenditures 15-22'!G312</f>
        <v>448915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448915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448915</v>
      </c>
      <c r="C1559" s="2" t="s">
        <v>569</v>
      </c>
      <c r="D1559" s="2" t="str">
        <f t="shared" si="23"/>
        <v>Error?</v>
      </c>
    </row>
    <row r="1560" spans="1:4" x14ac:dyDescent="0.2">
      <c r="A1560" s="5">
        <v>1499</v>
      </c>
      <c r="B1560" s="1832">
        <f>'Expenditures 15-22'!K312</f>
        <v>448915</v>
      </c>
      <c r="C1560" s="2" t="s">
        <v>569</v>
      </c>
      <c r="D1560" s="2" t="str">
        <f t="shared" si="23"/>
        <v>Error?</v>
      </c>
    </row>
    <row r="1561" spans="1:4" x14ac:dyDescent="0.2">
      <c r="A1561" s="5">
        <v>1500</v>
      </c>
      <c r="B1561" s="1832">
        <f>'Expenditures 15-22'!K313</f>
        <v>83248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8835935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9643251</v>
      </c>
      <c r="C1630" s="2" t="s">
        <v>569</v>
      </c>
      <c r="D1630" s="2" t="str">
        <f t="shared" si="24"/>
        <v>Error?</v>
      </c>
    </row>
    <row r="1631" spans="1:4" x14ac:dyDescent="0.2">
      <c r="A1631" s="5">
        <v>1570</v>
      </c>
      <c r="B1631" s="1832">
        <f>'Acct Summary 7-8'!D79</f>
        <v>1095608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1419588</v>
      </c>
      <c r="C1644" s="2" t="s">
        <v>569</v>
      </c>
      <c r="D1644" s="2" t="str">
        <f t="shared" si="24"/>
        <v>Error?</v>
      </c>
    </row>
    <row r="1645" spans="1:4" x14ac:dyDescent="0.2">
      <c r="A1645" s="5">
        <v>1584</v>
      </c>
      <c r="B1645" s="1832">
        <f>'Acct Summary 7-8'!E79</f>
        <v>8523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12894</v>
      </c>
      <c r="C1658" s="2" t="s">
        <v>569</v>
      </c>
      <c r="D1658" s="2" t="str">
        <f t="shared" si="24"/>
        <v>Error?</v>
      </c>
    </row>
    <row r="1659" spans="1:4" x14ac:dyDescent="0.2">
      <c r="A1659" s="5">
        <v>1598</v>
      </c>
      <c r="B1659" s="1832">
        <f>'Acct Summary 7-8'!F79</f>
        <v>1494320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1674861</v>
      </c>
      <c r="C1672" s="2" t="s">
        <v>569</v>
      </c>
      <c r="D1672" s="2" t="str">
        <f t="shared" si="25"/>
        <v>Error?</v>
      </c>
    </row>
    <row r="1673" spans="1:4" x14ac:dyDescent="0.2">
      <c r="A1673" s="5">
        <v>1612</v>
      </c>
      <c r="B1673" s="1832">
        <f>'Acct Summary 7-8'!G79</f>
        <v>537432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564888</v>
      </c>
      <c r="C1686" s="2" t="s">
        <v>569</v>
      </c>
      <c r="D1686" s="2" t="str">
        <f t="shared" si="25"/>
        <v>Error?</v>
      </c>
    </row>
    <row r="1687" spans="1:4" x14ac:dyDescent="0.2">
      <c r="A1687" s="5">
        <v>1626</v>
      </c>
      <c r="B1687" s="1832">
        <f>'Acct Summary 7-8'!H79</f>
        <v>107390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190638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3326145</v>
      </c>
      <c r="C1744" s="2" t="s">
        <v>569</v>
      </c>
      <c r="D1744" s="2" t="str">
        <f t="shared" si="26"/>
        <v>Error?</v>
      </c>
    </row>
    <row r="1745" spans="1:5" x14ac:dyDescent="0.2">
      <c r="A1745" s="5">
        <v>1684</v>
      </c>
      <c r="B1745" s="1832">
        <f>'Tax Sched 23'!B5</f>
        <v>512395</v>
      </c>
      <c r="C1745" s="2" t="s">
        <v>569</v>
      </c>
      <c r="D1745" s="2" t="str">
        <f t="shared" si="26"/>
        <v>Error?</v>
      </c>
    </row>
    <row r="1746" spans="1:5" x14ac:dyDescent="0.2">
      <c r="A1746" s="5">
        <v>1685</v>
      </c>
      <c r="B1746" s="1832">
        <f>'Tax Sched 23'!B6</f>
        <v>175820</v>
      </c>
      <c r="C1746" s="2" t="s">
        <v>569</v>
      </c>
      <c r="D1746" s="2" t="str">
        <f t="shared" si="26"/>
        <v>Error?</v>
      </c>
    </row>
    <row r="1747" spans="1:5" x14ac:dyDescent="0.2">
      <c r="A1747" s="5">
        <v>1686</v>
      </c>
      <c r="B1747" s="1832">
        <f>'Tax Sched 23'!B7</f>
        <v>461155</v>
      </c>
      <c r="C1747" s="2" t="s">
        <v>569</v>
      </c>
      <c r="D1747" s="2" t="str">
        <f t="shared" si="26"/>
        <v>Error?</v>
      </c>
    </row>
    <row r="1748" spans="1:5" x14ac:dyDescent="0.2">
      <c r="A1748" s="5">
        <v>1687</v>
      </c>
      <c r="B1748" s="1832">
        <f>'Tax Sched 23'!B8</f>
        <v>26759</v>
      </c>
      <c r="C1748" s="2" t="s">
        <v>569</v>
      </c>
      <c r="D1748" s="2" t="str">
        <f t="shared" si="26"/>
        <v>Error?</v>
      </c>
    </row>
    <row r="1749" spans="1:5" x14ac:dyDescent="0.2">
      <c r="A1749" s="5">
        <v>1688</v>
      </c>
      <c r="B1749" s="1832">
        <f>'Tax Sched 23'!B10</f>
        <v>51239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335427</v>
      </c>
      <c r="C1752" s="2" t="s">
        <v>569</v>
      </c>
      <c r="D1752" s="2" t="str">
        <f t="shared" si="26"/>
        <v>Error?</v>
      </c>
    </row>
    <row r="1753" spans="1:5" x14ac:dyDescent="0.2">
      <c r="A1753" s="5">
        <v>1692</v>
      </c>
      <c r="B1753" s="1832">
        <f>'Tax Sched 23'!B12</f>
        <v>51239</v>
      </c>
      <c r="C1753" s="2" t="s">
        <v>569</v>
      </c>
      <c r="D1753" s="2" t="str">
        <f t="shared" si="26"/>
        <v>Error?</v>
      </c>
    </row>
    <row r="1754" spans="1:5" x14ac:dyDescent="0.2">
      <c r="A1754" s="5">
        <v>1693</v>
      </c>
      <c r="B1754" s="1832">
        <f>'Tax Sched 23'!B14</f>
        <v>40988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5211608</v>
      </c>
      <c r="C1759" s="2" t="s">
        <v>569</v>
      </c>
      <c r="D1759" s="2" t="str">
        <f t="shared" si="26"/>
        <v>Error?</v>
      </c>
    </row>
    <row r="1760" spans="1:5" x14ac:dyDescent="0.2">
      <c r="A1760" s="5">
        <v>1699</v>
      </c>
      <c r="B1760" s="1832">
        <f>'Tax Sched 23'!D4</f>
        <v>3079235</v>
      </c>
      <c r="C1760" s="2" t="s">
        <v>569</v>
      </c>
      <c r="D1760" s="2" t="str">
        <f t="shared" si="26"/>
        <v>Error?</v>
      </c>
    </row>
    <row r="1761" spans="1:7" x14ac:dyDescent="0.2">
      <c r="A1761" s="5">
        <v>1700</v>
      </c>
      <c r="B1761" s="1832">
        <f>'Tax Sched 23'!D5</f>
        <v>474409</v>
      </c>
      <c r="C1761" s="2" t="s">
        <v>569</v>
      </c>
      <c r="D1761" s="2" t="str">
        <f t="shared" si="26"/>
        <v>Error?</v>
      </c>
    </row>
    <row r="1762" spans="1:7" s="8" customFormat="1" x14ac:dyDescent="0.2">
      <c r="A1762" s="5">
        <v>1701</v>
      </c>
      <c r="B1762" s="1832">
        <f>'Tax Sched 23'!D6</f>
        <v>163022</v>
      </c>
      <c r="C1762" s="2" t="s">
        <v>569</v>
      </c>
      <c r="D1762" s="2" t="str">
        <f t="shared" si="26"/>
        <v>Error?</v>
      </c>
      <c r="E1762" s="9"/>
      <c r="G1762"/>
    </row>
    <row r="1763" spans="1:7" x14ac:dyDescent="0.2">
      <c r="A1763" s="5">
        <v>1702</v>
      </c>
      <c r="B1763" s="1832">
        <f>'Tax Sched 23'!D7</f>
        <v>426968</v>
      </c>
      <c r="C1763" s="2" t="s">
        <v>569</v>
      </c>
      <c r="D1763" s="2" t="str">
        <f t="shared" si="26"/>
        <v>Error?</v>
      </c>
    </row>
    <row r="1764" spans="1:7" x14ac:dyDescent="0.2">
      <c r="A1764" s="5">
        <v>1703</v>
      </c>
      <c r="B1764" s="1832">
        <f>'Tax Sched 23'!D8</f>
        <v>24537</v>
      </c>
      <c r="C1764" s="2" t="s">
        <v>569</v>
      </c>
      <c r="D1764" s="2" t="str">
        <f t="shared" si="26"/>
        <v>Error?</v>
      </c>
    </row>
    <row r="1765" spans="1:7" x14ac:dyDescent="0.2">
      <c r="A1765" s="5">
        <v>1704</v>
      </c>
      <c r="B1765" s="1832">
        <f>'Tax Sched 23'!D10</f>
        <v>47441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311363</v>
      </c>
      <c r="C1768" s="2" t="s">
        <v>569</v>
      </c>
      <c r="D1768" s="2" t="str">
        <f t="shared" si="26"/>
        <v>Error?</v>
      </c>
    </row>
    <row r="1769" spans="1:7" x14ac:dyDescent="0.2">
      <c r="A1769" s="5">
        <v>1708</v>
      </c>
      <c r="B1769" s="1832">
        <f>'Tax Sched 23'!D12</f>
        <v>47441</v>
      </c>
      <c r="C1769" s="2" t="s">
        <v>569</v>
      </c>
      <c r="D1769" s="2" t="str">
        <f t="shared" si="26"/>
        <v>Error?</v>
      </c>
    </row>
    <row r="1770" spans="1:7" x14ac:dyDescent="0.2">
      <c r="A1770" s="5">
        <v>1709</v>
      </c>
      <c r="B1770" s="1832">
        <f>'Tax Sched 23'!D14</f>
        <v>37949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4824940</v>
      </c>
      <c r="C1775" s="2" t="s">
        <v>569</v>
      </c>
      <c r="D1775" s="2" t="str">
        <f t="shared" si="26"/>
        <v>Error?</v>
      </c>
    </row>
    <row r="1776" spans="1:7" x14ac:dyDescent="0.2">
      <c r="A1776" s="5">
        <v>1715</v>
      </c>
      <c r="B1776" s="1832">
        <f>'Tax Sched 23'!C4</f>
        <v>246910</v>
      </c>
      <c r="D1776" s="2" t="str">
        <f t="shared" si="26"/>
        <v>Error?</v>
      </c>
    </row>
    <row r="1777" spans="1:4" x14ac:dyDescent="0.2">
      <c r="A1777" s="5">
        <v>1716</v>
      </c>
      <c r="B1777" s="1832">
        <f>'Tax Sched 23'!C5</f>
        <v>37986</v>
      </c>
      <c r="D1777" s="2" t="str">
        <f t="shared" si="26"/>
        <v>Error?</v>
      </c>
    </row>
    <row r="1778" spans="1:4" x14ac:dyDescent="0.2">
      <c r="A1778" s="5">
        <v>1717</v>
      </c>
      <c r="B1778" s="1832">
        <f>'Tax Sched 23'!C6</f>
        <v>12798</v>
      </c>
      <c r="D1778" s="2" t="str">
        <f t="shared" si="26"/>
        <v>Error?</v>
      </c>
    </row>
    <row r="1779" spans="1:4" x14ac:dyDescent="0.2">
      <c r="A1779" s="5">
        <v>1718</v>
      </c>
      <c r="B1779" s="1832">
        <f>'Tax Sched 23'!C7</f>
        <v>34187</v>
      </c>
      <c r="D1779" s="2" t="str">
        <f t="shared" si="26"/>
        <v>Error?</v>
      </c>
    </row>
    <row r="1780" spans="1:4" x14ac:dyDescent="0.2">
      <c r="A1780" s="5">
        <v>1719</v>
      </c>
      <c r="B1780" s="1832">
        <f>'Tax Sched 23'!C8</f>
        <v>2222</v>
      </c>
      <c r="D1780" s="2" t="str">
        <f t="shared" si="26"/>
        <v>Error?</v>
      </c>
    </row>
    <row r="1781" spans="1:4" x14ac:dyDescent="0.2">
      <c r="A1781" s="5">
        <v>1720</v>
      </c>
      <c r="B1781" s="1832">
        <f>'Tax Sched 23'!C10</f>
        <v>3798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24064</v>
      </c>
      <c r="D1784" s="2" t="str">
        <f t="shared" si="26"/>
        <v>Error?</v>
      </c>
    </row>
    <row r="1785" spans="1:4" x14ac:dyDescent="0.2">
      <c r="A1785" s="5">
        <v>1724</v>
      </c>
      <c r="B1785" s="1832">
        <f>'Tax Sched 23'!C12</f>
        <v>3798</v>
      </c>
      <c r="D1785" s="2" t="str">
        <f t="shared" si="26"/>
        <v>Error?</v>
      </c>
    </row>
    <row r="1786" spans="1:4" x14ac:dyDescent="0.2">
      <c r="A1786" s="5">
        <v>1725</v>
      </c>
      <c r="B1786" s="1832">
        <f>'Tax Sched 23'!C14</f>
        <v>3039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386668</v>
      </c>
      <c r="C1791" s="2" t="s">
        <v>569</v>
      </c>
      <c r="D1791" s="2" t="str">
        <f t="shared" ref="D1791:D1854" si="27">IF(ISBLANK(B1791),"OK",IF(A1791-B1791=0,"OK","Error?"))</f>
        <v>Error?</v>
      </c>
    </row>
    <row r="1792" spans="1:4" x14ac:dyDescent="0.2">
      <c r="A1792" s="5">
        <v>1731</v>
      </c>
      <c r="B1792" s="1832">
        <f>'Tax Sched 23'!F4</f>
        <v>3137341</v>
      </c>
      <c r="C1792" s="2" t="s">
        <v>569</v>
      </c>
      <c r="D1792" s="2" t="str">
        <f t="shared" si="27"/>
        <v>Error?</v>
      </c>
    </row>
    <row r="1793" spans="1:4" x14ac:dyDescent="0.2">
      <c r="A1793" s="5">
        <v>1732</v>
      </c>
      <c r="B1793" s="1832">
        <f>'Tax Sched 23'!F5</f>
        <v>482710</v>
      </c>
      <c r="C1793" s="2" t="s">
        <v>569</v>
      </c>
      <c r="D1793" s="2" t="str">
        <f t="shared" si="27"/>
        <v>Error?</v>
      </c>
    </row>
    <row r="1794" spans="1:4" x14ac:dyDescent="0.2">
      <c r="A1794" s="5">
        <v>1733</v>
      </c>
      <c r="B1794" s="1832">
        <f>'Tax Sched 23'!F6</f>
        <v>160048</v>
      </c>
      <c r="C1794" s="2" t="s">
        <v>569</v>
      </c>
      <c r="D1794" s="2" t="str">
        <f t="shared" si="27"/>
        <v>Error?</v>
      </c>
    </row>
    <row r="1795" spans="1:4" x14ac:dyDescent="0.2">
      <c r="A1795" s="5">
        <v>1734</v>
      </c>
      <c r="B1795" s="1832">
        <f>'Tax Sched 23'!F7</f>
        <v>434439</v>
      </c>
      <c r="C1795" s="2" t="s">
        <v>569</v>
      </c>
      <c r="D1795" s="2" t="str">
        <f t="shared" si="27"/>
        <v>Error?</v>
      </c>
    </row>
    <row r="1796" spans="1:4" x14ac:dyDescent="0.2">
      <c r="A1796" s="5">
        <v>1735</v>
      </c>
      <c r="B1796" s="1832">
        <f>'Tax Sched 23'!F8</f>
        <v>27778</v>
      </c>
      <c r="C1796" s="2" t="s">
        <v>569</v>
      </c>
      <c r="D1796" s="2" t="str">
        <f t="shared" si="27"/>
        <v>Error?</v>
      </c>
    </row>
    <row r="1797" spans="1:4" x14ac:dyDescent="0.2">
      <c r="A1797" s="5">
        <v>1736</v>
      </c>
      <c r="B1797" s="1832">
        <f>'Tax Sched 23'!F10</f>
        <v>48272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300936</v>
      </c>
      <c r="C1800" s="2" t="s">
        <v>569</v>
      </c>
      <c r="D1800" s="2" t="str">
        <f t="shared" si="27"/>
        <v>Error?</v>
      </c>
    </row>
    <row r="1801" spans="1:4" x14ac:dyDescent="0.2">
      <c r="A1801" s="5">
        <v>1740</v>
      </c>
      <c r="B1801" s="1832">
        <f>'Tax Sched 23'!F12</f>
        <v>48272</v>
      </c>
      <c r="C1801" s="2" t="s">
        <v>569</v>
      </c>
      <c r="D1801" s="2" t="str">
        <f t="shared" si="27"/>
        <v>Error?</v>
      </c>
    </row>
    <row r="1802" spans="1:4" x14ac:dyDescent="0.2">
      <c r="A1802" s="5">
        <v>1741</v>
      </c>
      <c r="B1802" s="1832">
        <f>'Tax Sched 23'!F14</f>
        <v>38617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4902617</v>
      </c>
      <c r="C1807" s="2" t="s">
        <v>569</v>
      </c>
      <c r="D1807" s="2" t="str">
        <f t="shared" si="27"/>
        <v>Error?</v>
      </c>
    </row>
    <row r="1808" spans="1:4" x14ac:dyDescent="0.2">
      <c r="A1808" s="5">
        <v>1747</v>
      </c>
      <c r="B1808" s="1832">
        <f>'Tax Sched 23'!E4</f>
        <v>3384251</v>
      </c>
      <c r="D1808" s="2" t="str">
        <f t="shared" si="27"/>
        <v>Error?</v>
      </c>
    </row>
    <row r="1809" spans="1:4" x14ac:dyDescent="0.2">
      <c r="A1809" s="5">
        <v>1748</v>
      </c>
      <c r="B1809" s="1832">
        <f>'Tax Sched 23'!E5</f>
        <v>520696</v>
      </c>
      <c r="D1809" s="2" t="str">
        <f t="shared" si="27"/>
        <v>Error?</v>
      </c>
    </row>
    <row r="1810" spans="1:4" x14ac:dyDescent="0.2">
      <c r="A1810" s="5">
        <v>1749</v>
      </c>
      <c r="B1810" s="1832">
        <f>'Tax Sched 23'!E6</f>
        <v>172846</v>
      </c>
      <c r="D1810" s="2" t="str">
        <f t="shared" si="27"/>
        <v>Error?</v>
      </c>
    </row>
    <row r="1811" spans="1:4" x14ac:dyDescent="0.2">
      <c r="A1811" s="5">
        <v>1750</v>
      </c>
      <c r="B1811" s="1832">
        <f>'Tax Sched 23'!E7</f>
        <v>468626</v>
      </c>
      <c r="D1811" s="2" t="str">
        <f t="shared" si="27"/>
        <v>Error?</v>
      </c>
    </row>
    <row r="1812" spans="1:4" x14ac:dyDescent="0.2">
      <c r="A1812" s="5">
        <v>1751</v>
      </c>
      <c r="B1812" s="1832">
        <f>'Tax Sched 23'!E8</f>
        <v>30000</v>
      </c>
      <c r="D1812" s="2" t="str">
        <f t="shared" si="27"/>
        <v>Error?</v>
      </c>
    </row>
    <row r="1813" spans="1:4" x14ac:dyDescent="0.2">
      <c r="A1813" s="5">
        <v>1752</v>
      </c>
      <c r="B1813" s="1832">
        <f>'Tax Sched 23'!E10</f>
        <v>52070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325000</v>
      </c>
      <c r="D1816" s="2" t="str">
        <f t="shared" si="27"/>
        <v>Error?</v>
      </c>
    </row>
    <row r="1817" spans="1:4" x14ac:dyDescent="0.2">
      <c r="A1817" s="5">
        <v>1756</v>
      </c>
      <c r="B1817" s="1832">
        <f>'Tax Sched 23'!E12</f>
        <v>52070</v>
      </c>
      <c r="D1817" s="2" t="str">
        <f t="shared" si="27"/>
        <v>Error?</v>
      </c>
    </row>
    <row r="1818" spans="1:4" x14ac:dyDescent="0.2">
      <c r="A1818" s="5">
        <v>1757</v>
      </c>
      <c r="B1818" s="1832">
        <f>'Tax Sched 23'!E14</f>
        <v>41656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5289285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1500000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40988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40988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40988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48351</v>
      </c>
      <c r="D2008" s="2" t="str">
        <f t="shared" si="30"/>
        <v>Error?</v>
      </c>
    </row>
    <row r="2009" spans="1:4" x14ac:dyDescent="0.2">
      <c r="A2009" s="5">
        <v>1948</v>
      </c>
      <c r="B2009" s="1832">
        <f>'Cap Outlay Deprec 26'!C8</f>
        <v>6894821</v>
      </c>
      <c r="D2009" s="2" t="str">
        <f t="shared" si="30"/>
        <v>Error?</v>
      </c>
    </row>
    <row r="2010" spans="1:4" x14ac:dyDescent="0.2">
      <c r="A2010" s="5">
        <v>1949</v>
      </c>
      <c r="B2010" s="1832">
        <f>'Cap Outlay Deprec 26'!C10</f>
        <v>415372</v>
      </c>
      <c r="D2010" s="2" t="str">
        <f t="shared" si="30"/>
        <v>Error?</v>
      </c>
    </row>
    <row r="2011" spans="1:4" x14ac:dyDescent="0.2">
      <c r="A2011" s="5">
        <v>1950</v>
      </c>
      <c r="B2011" s="1832">
        <f>'Cap Outlay Deprec 26'!C12</f>
        <v>1019155</v>
      </c>
      <c r="D2011" s="2" t="str">
        <f t="shared" si="30"/>
        <v>Error?</v>
      </c>
    </row>
    <row r="2012" spans="1:4" x14ac:dyDescent="0.2">
      <c r="A2012" s="5">
        <v>1951</v>
      </c>
      <c r="B2012" s="1832">
        <f>'Cap Outlay Deprec 26'!C13</f>
        <v>938033</v>
      </c>
      <c r="D2012" s="2" t="str">
        <f t="shared" si="30"/>
        <v>Error?</v>
      </c>
    </row>
    <row r="2013" spans="1:4" x14ac:dyDescent="0.2">
      <c r="A2013" s="5">
        <v>1952</v>
      </c>
      <c r="B2013" s="1832">
        <f>'Cap Outlay Deprec 26'!C16</f>
        <v>9618272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2313190</v>
      </c>
      <c r="D2015" s="2" t="str">
        <f t="shared" si="30"/>
        <v>Error?</v>
      </c>
    </row>
    <row r="2016" spans="1:4" x14ac:dyDescent="0.2">
      <c r="A2016" s="5">
        <v>1955</v>
      </c>
      <c r="B2016" s="1832">
        <f>'Cap Outlay Deprec 26'!D10</f>
        <v>14000</v>
      </c>
      <c r="D2016" s="2" t="str">
        <f t="shared" si="30"/>
        <v>Error?</v>
      </c>
    </row>
    <row r="2017" spans="1:4" x14ac:dyDescent="0.2">
      <c r="A2017" s="5">
        <v>1956</v>
      </c>
      <c r="B2017" s="1832">
        <f>'Cap Outlay Deprec 26'!D12</f>
        <v>222428</v>
      </c>
      <c r="D2017" s="2" t="str">
        <f t="shared" si="30"/>
        <v>Error?</v>
      </c>
    </row>
    <row r="2018" spans="1:4" x14ac:dyDescent="0.2">
      <c r="A2018" s="5">
        <v>1957</v>
      </c>
      <c r="B2018" s="1832">
        <f>'Cap Outlay Deprec 26'!D13</f>
        <v>99815</v>
      </c>
      <c r="D2018" s="2" t="str">
        <f t="shared" si="30"/>
        <v>Error?</v>
      </c>
    </row>
    <row r="2019" spans="1:4" x14ac:dyDescent="0.2">
      <c r="A2019" s="5">
        <v>1958</v>
      </c>
      <c r="B2019" s="1832">
        <f>'Cap Outlay Deprec 26'!D16</f>
        <v>2693821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51458</v>
      </c>
      <c r="C2025" s="2" t="s">
        <v>569</v>
      </c>
      <c r="D2025" s="2" t="str">
        <f t="shared" si="30"/>
        <v>Error?</v>
      </c>
    </row>
    <row r="2026" spans="1:4" x14ac:dyDescent="0.2">
      <c r="A2026" s="5">
        <v>1965</v>
      </c>
      <c r="B2026" s="1832">
        <f>'Cap Outlay Deprec 26'!F5</f>
        <v>48351</v>
      </c>
      <c r="C2026" s="2" t="s">
        <v>569</v>
      </c>
      <c r="D2026" s="2" t="str">
        <f t="shared" si="30"/>
        <v>Error?</v>
      </c>
    </row>
    <row r="2027" spans="1:4" x14ac:dyDescent="0.2">
      <c r="A2027" s="5">
        <v>1966</v>
      </c>
      <c r="B2027" s="1832">
        <f>'Cap Outlay Deprec 26'!F8</f>
        <v>9208011</v>
      </c>
      <c r="C2027" s="2" t="s">
        <v>569</v>
      </c>
      <c r="D2027" s="2" t="str">
        <f t="shared" si="30"/>
        <v>Error?</v>
      </c>
    </row>
    <row r="2028" spans="1:4" x14ac:dyDescent="0.2">
      <c r="A2028" s="5">
        <v>1967</v>
      </c>
      <c r="B2028" s="1832">
        <f>'Cap Outlay Deprec 26'!F10</f>
        <v>429372</v>
      </c>
      <c r="C2028" s="2" t="s">
        <v>569</v>
      </c>
      <c r="D2028" s="2" t="str">
        <f t="shared" si="30"/>
        <v>Error?</v>
      </c>
    </row>
    <row r="2029" spans="1:4" x14ac:dyDescent="0.2">
      <c r="A2029" s="5">
        <v>1968</v>
      </c>
      <c r="B2029" s="1832">
        <f>'Cap Outlay Deprec 26'!F12</f>
        <v>1241583</v>
      </c>
      <c r="C2029" s="2" t="s">
        <v>569</v>
      </c>
      <c r="D2029" s="2" t="str">
        <f t="shared" si="30"/>
        <v>Error?</v>
      </c>
    </row>
    <row r="2030" spans="1:4" x14ac:dyDescent="0.2">
      <c r="A2030" s="5">
        <v>1969</v>
      </c>
      <c r="B2030" s="1832">
        <f>'Cap Outlay Deprec 26'!F13</f>
        <v>1037848</v>
      </c>
      <c r="C2030" s="2" t="s">
        <v>569</v>
      </c>
      <c r="D2030" s="2" t="str">
        <f t="shared" si="30"/>
        <v>Error?</v>
      </c>
    </row>
    <row r="2031" spans="1:4" x14ac:dyDescent="0.2">
      <c r="A2031" s="5">
        <v>1970</v>
      </c>
      <c r="B2031" s="1832">
        <f>'Cap Outlay Deprec 26'!F16</f>
        <v>12260635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2897582</v>
      </c>
      <c r="D2033" s="2" t="str">
        <f t="shared" si="30"/>
        <v>Error?</v>
      </c>
    </row>
    <row r="2034" spans="1:4" x14ac:dyDescent="0.2">
      <c r="A2034" s="5">
        <v>1973</v>
      </c>
      <c r="B2034" s="1832">
        <f>'Cap Outlay Deprec 26'!H10</f>
        <v>227364</v>
      </c>
      <c r="D2034" s="2" t="str">
        <f t="shared" si="30"/>
        <v>Error?</v>
      </c>
    </row>
    <row r="2035" spans="1:4" x14ac:dyDescent="0.2">
      <c r="A2035" s="5">
        <v>1974</v>
      </c>
      <c r="B2035" s="1832">
        <f>'Cap Outlay Deprec 26'!H12</f>
        <v>722434</v>
      </c>
      <c r="D2035" s="2" t="str">
        <f t="shared" si="30"/>
        <v>Error?</v>
      </c>
    </row>
    <row r="2036" spans="1:4" x14ac:dyDescent="0.2">
      <c r="A2036" s="5">
        <v>1975</v>
      </c>
      <c r="B2036" s="1832">
        <f>'Cap Outlay Deprec 26'!H13</f>
        <v>745830</v>
      </c>
      <c r="D2036" s="2" t="str">
        <f t="shared" si="30"/>
        <v>Error?</v>
      </c>
    </row>
    <row r="2037" spans="1:4" x14ac:dyDescent="0.2">
      <c r="A2037" s="5">
        <v>1976</v>
      </c>
      <c r="B2037" s="1832">
        <f>'Cap Outlay Deprec 26'!H16</f>
        <v>4707603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161653</v>
      </c>
      <c r="D2039" s="2" t="str">
        <f t="shared" si="30"/>
        <v>Error?</v>
      </c>
    </row>
    <row r="2040" spans="1:4" x14ac:dyDescent="0.2">
      <c r="A2040" s="5">
        <v>1979</v>
      </c>
      <c r="B2040" s="1832">
        <f>'Cap Outlay Deprec 26'!I10</f>
        <v>21468</v>
      </c>
      <c r="D2040" s="2" t="str">
        <f t="shared" si="30"/>
        <v>Error?</v>
      </c>
    </row>
    <row r="2041" spans="1:4" x14ac:dyDescent="0.2">
      <c r="A2041" s="5">
        <v>1980</v>
      </c>
      <c r="B2041" s="1832">
        <f>'Cap Outlay Deprec 26'!I12</f>
        <v>114970</v>
      </c>
      <c r="D2041" s="2" t="str">
        <f t="shared" si="30"/>
        <v>Error?</v>
      </c>
    </row>
    <row r="2042" spans="1:4" x14ac:dyDescent="0.2">
      <c r="A2042" s="5">
        <v>1981</v>
      </c>
      <c r="B2042" s="1832">
        <f>'Cap Outlay Deprec 26'!I13</f>
        <v>81353</v>
      </c>
      <c r="D2042" s="2" t="str">
        <f t="shared" si="30"/>
        <v>Error?</v>
      </c>
    </row>
    <row r="2043" spans="1:4" x14ac:dyDescent="0.2">
      <c r="A2043" s="5">
        <v>1982</v>
      </c>
      <c r="B2043" s="1832">
        <f>'Cap Outlay Deprec 26'!I16</f>
        <v>468859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3059235</v>
      </c>
      <c r="C2051" s="2" t="s">
        <v>569</v>
      </c>
      <c r="D2051" s="2" t="str">
        <f t="shared" si="31"/>
        <v>Error?</v>
      </c>
    </row>
    <row r="2052" spans="1:4" x14ac:dyDescent="0.2">
      <c r="A2052" s="5">
        <v>1991</v>
      </c>
      <c r="B2052" s="1832">
        <f>'Cap Outlay Deprec 26'!K10</f>
        <v>248832</v>
      </c>
      <c r="C2052" s="2" t="s">
        <v>569</v>
      </c>
      <c r="D2052" s="2" t="str">
        <f t="shared" si="31"/>
        <v>Error?</v>
      </c>
    </row>
    <row r="2053" spans="1:4" x14ac:dyDescent="0.2">
      <c r="A2053" s="5">
        <v>1992</v>
      </c>
      <c r="B2053" s="1832">
        <f>'Cap Outlay Deprec 26'!K12</f>
        <v>837404</v>
      </c>
      <c r="C2053" s="2" t="s">
        <v>569</v>
      </c>
      <c r="D2053" s="2" t="str">
        <f t="shared" si="31"/>
        <v>Error?</v>
      </c>
    </row>
    <row r="2054" spans="1:4" x14ac:dyDescent="0.2">
      <c r="A2054" s="5">
        <v>1993</v>
      </c>
      <c r="B2054" s="1832">
        <f>'Cap Outlay Deprec 26'!K13</f>
        <v>827183</v>
      </c>
      <c r="C2054" s="2" t="s">
        <v>569</v>
      </c>
      <c r="D2054" s="2" t="str">
        <f t="shared" si="31"/>
        <v>Error?</v>
      </c>
    </row>
    <row r="2055" spans="1:4" x14ac:dyDescent="0.2">
      <c r="A2055" s="5">
        <v>1994</v>
      </c>
      <c r="B2055" s="1832">
        <f>'Cap Outlay Deprec 26'!K16</f>
        <v>5176462</v>
      </c>
      <c r="C2055" s="2" t="s">
        <v>569</v>
      </c>
      <c r="D2055" s="2" t="str">
        <f t="shared" si="31"/>
        <v>Error?</v>
      </c>
    </row>
    <row r="2056" spans="1:4" x14ac:dyDescent="0.2">
      <c r="A2056" s="5">
        <v>1995</v>
      </c>
      <c r="B2056" s="1832">
        <f>'Cap Outlay Deprec 26'!L5</f>
        <v>48351</v>
      </c>
      <c r="C2056" s="2" t="s">
        <v>569</v>
      </c>
      <c r="D2056" s="2" t="str">
        <f t="shared" si="31"/>
        <v>Error?</v>
      </c>
    </row>
    <row r="2057" spans="1:4" x14ac:dyDescent="0.2">
      <c r="A2057" s="5">
        <v>1996</v>
      </c>
      <c r="B2057" s="1832">
        <f>'Cap Outlay Deprec 26'!L8</f>
        <v>6148776</v>
      </c>
      <c r="C2057" s="2" t="s">
        <v>569</v>
      </c>
      <c r="D2057" s="2" t="str">
        <f t="shared" si="31"/>
        <v>Error?</v>
      </c>
    </row>
    <row r="2058" spans="1:4" x14ac:dyDescent="0.2">
      <c r="A2058" s="5">
        <v>1997</v>
      </c>
      <c r="B2058" s="1832">
        <f>'Cap Outlay Deprec 26'!L10</f>
        <v>180540</v>
      </c>
      <c r="C2058" s="2" t="s">
        <v>569</v>
      </c>
      <c r="D2058" s="2" t="str">
        <f t="shared" si="31"/>
        <v>Error?</v>
      </c>
    </row>
    <row r="2059" spans="1:4" x14ac:dyDescent="0.2">
      <c r="A2059" s="5">
        <v>1998</v>
      </c>
      <c r="B2059" s="1832">
        <f>'Cap Outlay Deprec 26'!L12</f>
        <v>404179</v>
      </c>
      <c r="C2059" s="2" t="s">
        <v>569</v>
      </c>
      <c r="D2059" s="2" t="str">
        <f t="shared" si="31"/>
        <v>Error?</v>
      </c>
    </row>
    <row r="2060" spans="1:4" x14ac:dyDescent="0.2">
      <c r="A2060" s="5">
        <v>1999</v>
      </c>
      <c r="B2060" s="1832">
        <f>'Cap Outlay Deprec 26'!L13</f>
        <v>210665</v>
      </c>
      <c r="C2060" s="2" t="s">
        <v>569</v>
      </c>
      <c r="D2060" s="2" t="str">
        <f t="shared" si="31"/>
        <v>Error?</v>
      </c>
    </row>
    <row r="2061" spans="1:4" x14ac:dyDescent="0.2">
      <c r="A2061" s="5">
        <v>2000</v>
      </c>
      <c r="B2061" s="1832">
        <f>'Cap Outlay Deprec 26'!L16</f>
        <v>7084173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945983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190638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3920147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4150722</v>
      </c>
      <c r="C2553" s="2" t="s">
        <v>569</v>
      </c>
      <c r="D2553" s="2" t="str">
        <f t="shared" si="38"/>
        <v>Error?</v>
      </c>
    </row>
    <row r="2554" spans="1:4" x14ac:dyDescent="0.2">
      <c r="A2554" s="5">
        <v>2493</v>
      </c>
      <c r="B2554" s="1832">
        <f>'Acct Summary 7-8'!C7</f>
        <v>1055303</v>
      </c>
      <c r="C2554" s="2" t="s">
        <v>569</v>
      </c>
      <c r="D2554" s="2" t="str">
        <f t="shared" si="38"/>
        <v>Error?</v>
      </c>
    </row>
    <row r="2555" spans="1:4" x14ac:dyDescent="0.2">
      <c r="A2555" s="5">
        <v>2494</v>
      </c>
      <c r="B2555" s="1832">
        <f>'Acct Summary 7-8'!C8</f>
        <v>9126172</v>
      </c>
      <c r="C2555" s="2" t="s">
        <v>569</v>
      </c>
      <c r="D2555" s="2" t="str">
        <f t="shared" si="38"/>
        <v>Error?</v>
      </c>
    </row>
    <row r="2556" spans="1:4" x14ac:dyDescent="0.2">
      <c r="A2556" s="5">
        <v>2495</v>
      </c>
      <c r="B2556" s="1832">
        <f>'Acct Summary 7-8'!C12</f>
        <v>4952405</v>
      </c>
      <c r="C2556" s="2" t="s">
        <v>569</v>
      </c>
      <c r="D2556" s="2" t="str">
        <f t="shared" si="38"/>
        <v>Error?</v>
      </c>
    </row>
    <row r="2557" spans="1:4" x14ac:dyDescent="0.2">
      <c r="A2557" s="5">
        <v>2496</v>
      </c>
      <c r="B2557" s="1832">
        <f>'Acct Summary 7-8'!C13</f>
        <v>2420468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945983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8318856</v>
      </c>
      <c r="C2561" s="2" t="s">
        <v>569</v>
      </c>
      <c r="D2561" s="2" t="str">
        <f t="shared" si="39"/>
        <v>Error?</v>
      </c>
    </row>
    <row r="2562" spans="1:4" x14ac:dyDescent="0.2">
      <c r="A2562" s="5">
        <v>2501</v>
      </c>
      <c r="B2562" s="1832">
        <f>'Acct Summary 7-8'!C20</f>
        <v>807316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676465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701465</v>
      </c>
      <c r="C2568" s="2" t="s">
        <v>569</v>
      </c>
      <c r="D2568" s="2" t="str">
        <f t="shared" si="39"/>
        <v>Error?</v>
      </c>
    </row>
    <row r="2569" spans="1:4" x14ac:dyDescent="0.2">
      <c r="A2569" s="5">
        <v>2508</v>
      </c>
      <c r="B2569" s="1832">
        <f>'Acct Summary 7-8'!D13</f>
        <v>377485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377485</v>
      </c>
      <c r="C2573" s="2" t="s">
        <v>569</v>
      </c>
      <c r="D2573" s="2" t="str">
        <f t="shared" si="39"/>
        <v>Error?</v>
      </c>
    </row>
    <row r="2574" spans="1:4" x14ac:dyDescent="0.2">
      <c r="A2574" s="5">
        <v>2513</v>
      </c>
      <c r="B2574" s="1832">
        <f>'Acct Summary 7-8'!D20</f>
        <v>323980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490675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217707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708382</v>
      </c>
      <c r="C2595" s="2" t="s">
        <v>569</v>
      </c>
      <c r="D2595" s="2" t="str">
        <f t="shared" si="39"/>
        <v>Error?</v>
      </c>
    </row>
    <row r="2596" spans="1:4" x14ac:dyDescent="0.2">
      <c r="A2596" s="5">
        <v>2535</v>
      </c>
      <c r="B2596" s="1832">
        <f>'Acct Summary 7-8'!F13</f>
        <v>527841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527841</v>
      </c>
      <c r="C2600" s="2" t="s">
        <v>569</v>
      </c>
      <c r="D2600" s="2" t="str">
        <f t="shared" si="39"/>
        <v>Error?</v>
      </c>
    </row>
    <row r="2601" spans="1:4" x14ac:dyDescent="0.2">
      <c r="A2601" s="5">
        <v>2540</v>
      </c>
      <c r="B2601" s="1832">
        <f>'Acct Summary 7-8'!F20</f>
        <v>180541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218534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218534</v>
      </c>
      <c r="C2606" s="2" t="s">
        <v>569</v>
      </c>
      <c r="D2606" s="2" t="str">
        <f t="shared" si="39"/>
        <v>Error?</v>
      </c>
    </row>
    <row r="2607" spans="1:4" x14ac:dyDescent="0.2">
      <c r="A2607" s="5">
        <v>2546</v>
      </c>
      <c r="B2607" s="1832">
        <f>'Acct Summary 7-8'!G12</f>
        <v>77433</v>
      </c>
      <c r="C2607" s="2" t="s">
        <v>569</v>
      </c>
      <c r="D2607" s="2" t="str">
        <f t="shared" si="39"/>
        <v>Error?</v>
      </c>
    </row>
    <row r="2608" spans="1:4" x14ac:dyDescent="0.2">
      <c r="A2608" s="5">
        <v>2547</v>
      </c>
      <c r="B2608" s="1832">
        <f>'Acct Summary 7-8'!G13</f>
        <v>113645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191078</v>
      </c>
      <c r="C2612" s="2" t="s">
        <v>569</v>
      </c>
      <c r="D2612" s="2" t="str">
        <f t="shared" si="39"/>
        <v>Error?</v>
      </c>
    </row>
    <row r="2613" spans="1:4" x14ac:dyDescent="0.2">
      <c r="A2613" s="5">
        <v>2552</v>
      </c>
      <c r="B2613" s="1832">
        <f>'Acct Summary 7-8'!G20</f>
        <v>27456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176473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176473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172102</v>
      </c>
      <c r="C2634" s="2" t="s">
        <v>569</v>
      </c>
      <c r="D2634" s="2" t="str">
        <f t="shared" si="40"/>
        <v>Error?</v>
      </c>
    </row>
    <row r="2635" spans="1:4" x14ac:dyDescent="0.2">
      <c r="A2635" s="5">
        <v>2574</v>
      </c>
      <c r="B2635" s="1832">
        <f>'Acct Summary 7-8'!E17</f>
        <v>172102</v>
      </c>
      <c r="C2635" s="2" t="s">
        <v>569</v>
      </c>
      <c r="D2635" s="2" t="str">
        <f t="shared" si="40"/>
        <v>Error?</v>
      </c>
    </row>
    <row r="2636" spans="1:4" x14ac:dyDescent="0.2">
      <c r="A2636" s="5">
        <v>2575</v>
      </c>
      <c r="B2636" s="1832">
        <f>'Acct Summary 7-8'!E20</f>
        <v>4371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532163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532163</v>
      </c>
      <c r="C2658" s="2" t="s">
        <v>569</v>
      </c>
      <c r="D2658" s="2" t="str">
        <f t="shared" si="40"/>
        <v>Error?</v>
      </c>
    </row>
    <row r="2659" spans="1:4" x14ac:dyDescent="0.2">
      <c r="A2659" s="5">
        <v>2598</v>
      </c>
      <c r="B2659" s="1832">
        <f>'Acct Summary 7-8'!H13</f>
        <v>448915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448915</v>
      </c>
      <c r="C2661" s="2" t="s">
        <v>569</v>
      </c>
      <c r="D2661" s="2" t="str">
        <f t="shared" si="40"/>
        <v>Error?</v>
      </c>
    </row>
    <row r="2662" spans="1:4" x14ac:dyDescent="0.2">
      <c r="A2662" s="5">
        <v>2601</v>
      </c>
      <c r="B2662" s="1832">
        <f>'Acct Summary 7-8'!H20</f>
        <v>83248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945983</v>
      </c>
      <c r="C2789" s="2" t="s">
        <v>569</v>
      </c>
      <c r="D2789" s="2" t="str">
        <f t="shared" si="42"/>
        <v>Error?</v>
      </c>
    </row>
    <row r="2790" spans="1:4" x14ac:dyDescent="0.2">
      <c r="A2790" s="5">
        <v>2729</v>
      </c>
      <c r="B2790" s="1832">
        <f>'Expenditures 15-22'!E102</f>
        <v>945983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773200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1055768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165376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1055768</v>
      </c>
      <c r="D2912" s="2" t="str">
        <f t="shared" si="44"/>
        <v>Error?</v>
      </c>
    </row>
    <row r="2913" spans="1:4" x14ac:dyDescent="0.2">
      <c r="A2913" s="5">
        <v>2852</v>
      </c>
      <c r="B2913" s="1832">
        <f>'Assets-Liab 5-6'!I41</f>
        <v>1055768</v>
      </c>
      <c r="C2913" s="2" t="s">
        <v>569</v>
      </c>
      <c r="D2913" s="2" t="str">
        <f t="shared" si="44"/>
        <v>Error?</v>
      </c>
    </row>
    <row r="2914" spans="1:4" x14ac:dyDescent="0.2">
      <c r="A2914" s="5">
        <v>2853</v>
      </c>
      <c r="B2914" s="1832">
        <f>'Assets-Liab 5-6'!L33</f>
        <v>165376</v>
      </c>
      <c r="D2914" s="2" t="str">
        <f t="shared" si="44"/>
        <v>Error?</v>
      </c>
    </row>
    <row r="2915" spans="1:4" x14ac:dyDescent="0.2">
      <c r="A2915" s="10">
        <v>2854</v>
      </c>
      <c r="B2915" s="1832"/>
      <c r="D2915" s="2" t="str">
        <f t="shared" si="44"/>
        <v>OK</v>
      </c>
    </row>
    <row r="2916" spans="1:4" x14ac:dyDescent="0.2">
      <c r="A2916" s="5">
        <v>2855</v>
      </c>
      <c r="B2916" s="1832">
        <f>'Assets-Liab 5-6'!L34</f>
        <v>165376</v>
      </c>
      <c r="C2916" s="2" t="s">
        <v>569</v>
      </c>
      <c r="D2916" s="2" t="str">
        <f t="shared" si="44"/>
        <v>Error?</v>
      </c>
    </row>
    <row r="2917" spans="1:4" x14ac:dyDescent="0.2">
      <c r="A2917" s="5">
        <v>2856</v>
      </c>
      <c r="B2917" s="1832">
        <f>'Assets-Liab 5-6'!L41</f>
        <v>165376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1837</v>
      </c>
      <c r="D2949" s="2" t="str">
        <f t="shared" si="45"/>
        <v>Error?</v>
      </c>
    </row>
    <row r="2950" spans="1:4" x14ac:dyDescent="0.2">
      <c r="A2950" s="5">
        <v>2889</v>
      </c>
      <c r="B2950" s="1832">
        <f>'Expenditures 15-22'!E79</f>
        <v>929044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15102</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1837</v>
      </c>
      <c r="C2973" s="2" t="s">
        <v>569</v>
      </c>
      <c r="D2973" s="2" t="str">
        <f t="shared" si="45"/>
        <v>Error?</v>
      </c>
    </row>
    <row r="2974" spans="1:4" x14ac:dyDescent="0.2">
      <c r="A2974" s="5">
        <v>2913</v>
      </c>
      <c r="B2974" s="1832">
        <f>'Expenditures 15-22'!K79</f>
        <v>929044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15102</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124574</v>
      </c>
      <c r="D3055" s="2" t="str">
        <f t="shared" si="46"/>
        <v>Error?</v>
      </c>
    </row>
    <row r="3056" spans="1:4" x14ac:dyDescent="0.2">
      <c r="A3056" s="5">
        <v>2995</v>
      </c>
      <c r="B3056" s="1832">
        <f>'Expenditures 15-22'!D10</f>
        <v>33080</v>
      </c>
      <c r="D3056" s="2" t="str">
        <f t="shared" si="46"/>
        <v>Error?</v>
      </c>
    </row>
    <row r="3057" spans="1:4" x14ac:dyDescent="0.2">
      <c r="A3057" s="5">
        <v>2996</v>
      </c>
      <c r="B3057" s="1832">
        <f>'Expenditures 15-22'!E10</f>
        <v>53500</v>
      </c>
      <c r="D3057" s="2" t="str">
        <f t="shared" si="46"/>
        <v>Error?</v>
      </c>
    </row>
    <row r="3058" spans="1:4" x14ac:dyDescent="0.2">
      <c r="A3058" s="5">
        <v>2997</v>
      </c>
      <c r="B3058" s="1832">
        <f>'Expenditures 15-22'!F10</f>
        <v>105647</v>
      </c>
      <c r="D3058" s="2" t="str">
        <f t="shared" si="46"/>
        <v>Error?</v>
      </c>
    </row>
    <row r="3059" spans="1:4" x14ac:dyDescent="0.2">
      <c r="A3059" s="5">
        <v>2998</v>
      </c>
      <c r="B3059" s="1832">
        <f>'Expenditures 15-22'!G10</f>
        <v>44388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361189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72391</v>
      </c>
      <c r="C3225" s="2" t="s">
        <v>569</v>
      </c>
      <c r="D3225" s="2" t="str">
        <f t="shared" si="49"/>
        <v>Error?</v>
      </c>
    </row>
    <row r="3226" spans="1:4" x14ac:dyDescent="0.2">
      <c r="A3226" s="5">
        <v>3165</v>
      </c>
      <c r="B3226" s="1832">
        <f>'Acct Summary 7-8'!I8</f>
        <v>72391</v>
      </c>
      <c r="C3226" s="2" t="s">
        <v>569</v>
      </c>
      <c r="D3226" s="2" t="str">
        <f t="shared" si="49"/>
        <v>Error?</v>
      </c>
    </row>
    <row r="3227" spans="1:4" x14ac:dyDescent="0.2">
      <c r="A3227" s="5">
        <v>3166</v>
      </c>
      <c r="B3227" s="1832">
        <f>'Acct Summary 7-8'!I20</f>
        <v>72391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807316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323980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180541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27456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4371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83248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72391</v>
      </c>
      <c r="C3320" s="2" t="s">
        <v>569</v>
      </c>
      <c r="D3320" s="2" t="str">
        <f t="shared" si="50"/>
        <v>Error?</v>
      </c>
    </row>
    <row r="3321" spans="1:4" x14ac:dyDescent="0.2">
      <c r="A3321" s="5">
        <v>3260</v>
      </c>
      <c r="B3321" s="1832">
        <f>'Acct Summary 7-8'!I79</f>
        <v>983377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1055768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459371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59006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9157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527534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45031</v>
      </c>
      <c r="D3387" s="2" t="str">
        <f t="shared" si="51"/>
        <v>Error?</v>
      </c>
    </row>
    <row r="3388" spans="1:4" x14ac:dyDescent="0.2">
      <c r="A3388" s="5">
        <v>3327</v>
      </c>
      <c r="B3388" s="1832">
        <f>'Expenditures 15-22'!D217</f>
        <v>18180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45031</v>
      </c>
      <c r="C3390" s="2" t="s">
        <v>569</v>
      </c>
      <c r="D3390" s="2" t="str">
        <f t="shared" si="51"/>
        <v>Error?</v>
      </c>
    </row>
    <row r="3391" spans="1:4" x14ac:dyDescent="0.2">
      <c r="A3391" s="5">
        <v>3330</v>
      </c>
      <c r="B3391" s="1832">
        <f>'Expenditures 15-22'!K217</f>
        <v>18180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6445879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1419588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12894</v>
      </c>
      <c r="D3417" s="2" t="str">
        <f t="shared" si="52"/>
        <v>Error?</v>
      </c>
    </row>
    <row r="3418" spans="1:4" x14ac:dyDescent="0.2">
      <c r="A3418" s="10">
        <v>3357</v>
      </c>
      <c r="B3418" s="1832"/>
      <c r="D3418" s="2" t="str">
        <f t="shared" si="52"/>
        <v>OK</v>
      </c>
    </row>
    <row r="3419" spans="1:4" x14ac:dyDescent="0.2">
      <c r="A3419" s="5">
        <v>3358</v>
      </c>
      <c r="B3419" s="1832">
        <f>'Assets-Liab 5-6'!F4</f>
        <v>1173606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564888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190638</v>
      </c>
      <c r="D3425" s="2" t="str">
        <f t="shared" si="52"/>
        <v>Error?</v>
      </c>
    </row>
    <row r="3426" spans="1:4" x14ac:dyDescent="0.2">
      <c r="A3426" s="10">
        <v>3365</v>
      </c>
      <c r="B3426" s="1832"/>
      <c r="D3426" s="2" t="str">
        <f t="shared" si="52"/>
        <v>OK</v>
      </c>
    </row>
    <row r="3427" spans="1:4" x14ac:dyDescent="0.2">
      <c r="A3427" s="5">
        <v>3366</v>
      </c>
      <c r="B3427" s="1832">
        <f>'Assets-Liab 5-6'!I4</f>
        <v>282568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165376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179200</v>
      </c>
      <c r="C3446" s="2" t="s">
        <v>569</v>
      </c>
      <c r="D3446" s="2" t="str">
        <f t="shared" si="52"/>
        <v>Error?</v>
      </c>
    </row>
    <row r="3447" spans="1:4" x14ac:dyDescent="0.2">
      <c r="A3447" s="5">
        <v>3386</v>
      </c>
      <c r="B3447" s="1832">
        <f>'Tax Sched 23'!D16</f>
        <v>165132</v>
      </c>
      <c r="C3447" s="2" t="s">
        <v>569</v>
      </c>
      <c r="D3447" s="2" t="str">
        <f t="shared" si="52"/>
        <v>Error?</v>
      </c>
    </row>
    <row r="3448" spans="1:4" x14ac:dyDescent="0.2">
      <c r="A3448" s="5">
        <v>3387</v>
      </c>
      <c r="B3448" s="1832">
        <f>'Tax Sched 23'!C16</f>
        <v>14068</v>
      </c>
      <c r="D3448" s="2" t="str">
        <f t="shared" si="52"/>
        <v>Error?</v>
      </c>
    </row>
    <row r="3449" spans="1:4" x14ac:dyDescent="0.2">
      <c r="A3449" s="5">
        <v>3388</v>
      </c>
      <c r="B3449" s="1832">
        <f>'Tax Sched 23'!F16</f>
        <v>175932</v>
      </c>
      <c r="C3449" s="2" t="s">
        <v>569</v>
      </c>
      <c r="D3449" s="2" t="str">
        <f t="shared" si="52"/>
        <v>Error?</v>
      </c>
    </row>
    <row r="3450" spans="1:4" x14ac:dyDescent="0.2">
      <c r="A3450" s="5">
        <v>3389</v>
      </c>
      <c r="B3450" s="1832">
        <f>'Tax Sched 23'!E16</f>
        <v>190000</v>
      </c>
      <c r="D3450" s="2" t="str">
        <f t="shared" si="52"/>
        <v>Error?</v>
      </c>
    </row>
    <row r="3451" spans="1:4" x14ac:dyDescent="0.2">
      <c r="A3451" s="5">
        <v>3390</v>
      </c>
      <c r="B3451" s="1832">
        <f>'Cap Outlay Deprec 26'!C15</f>
        <v>51458</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51458</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184642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184642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184642</v>
      </c>
      <c r="D3567" s="2" t="str">
        <f t="shared" si="54"/>
        <v>Error?</v>
      </c>
    </row>
    <row r="3568" spans="1:4" x14ac:dyDescent="0.2">
      <c r="A3568" s="5">
        <v>3507</v>
      </c>
      <c r="B3568" s="1832">
        <f>'Assets-Liab 5-6'!K41</f>
        <v>184642</v>
      </c>
      <c r="C3568" s="2" t="s">
        <v>569</v>
      </c>
      <c r="D3568" s="2" t="str">
        <f t="shared" si="54"/>
        <v>Error?</v>
      </c>
    </row>
    <row r="3569" spans="1:4" x14ac:dyDescent="0.2">
      <c r="A3569" s="5">
        <v>3508</v>
      </c>
      <c r="B3569" s="1832">
        <f>'Acct Summary 7-8'!K4</f>
        <v>58093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58093</v>
      </c>
      <c r="C3571" s="2" t="s">
        <v>569</v>
      </c>
      <c r="D3571" s="2" t="str">
        <f t="shared" si="54"/>
        <v>Error?</v>
      </c>
    </row>
    <row r="3572" spans="1:4" x14ac:dyDescent="0.2">
      <c r="A3572" s="5">
        <v>3511</v>
      </c>
      <c r="B3572" s="1832">
        <f>'Acct Summary 7-8'!K13</f>
        <v>1840239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1840239</v>
      </c>
      <c r="C3575" s="2" t="s">
        <v>569</v>
      </c>
      <c r="D3575" s="2" t="str">
        <f t="shared" si="54"/>
        <v>Error?</v>
      </c>
    </row>
    <row r="3576" spans="1:4" x14ac:dyDescent="0.2">
      <c r="A3576" s="5">
        <v>3515</v>
      </c>
      <c r="B3576" s="1832">
        <f>'Acct Summary 7-8'!K20</f>
        <v>-1782146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-1782146</v>
      </c>
      <c r="C3588" s="2" t="s">
        <v>569</v>
      </c>
      <c r="D3588" s="2" t="str">
        <f t="shared" si="55"/>
        <v>Error?</v>
      </c>
    </row>
    <row r="3589" spans="1:4" x14ac:dyDescent="0.2">
      <c r="A3589" s="5">
        <v>3528</v>
      </c>
      <c r="B3589" s="1832">
        <f>'Acct Summary 7-8'!K79</f>
        <v>1966788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184642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27422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27422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27422</v>
      </c>
      <c r="C3635" s="2" t="s">
        <v>569</v>
      </c>
      <c r="D3635" s="2" t="str">
        <f t="shared" si="55"/>
        <v>Error?</v>
      </c>
    </row>
    <row r="3636" spans="1:4" x14ac:dyDescent="0.2">
      <c r="A3636" s="5">
        <v>3575</v>
      </c>
      <c r="B3636" s="1832">
        <f>'Expenditures 15-22'!E367</f>
        <v>27422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1812817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1812817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1812817</v>
      </c>
      <c r="C3649" s="2" t="s">
        <v>569</v>
      </c>
      <c r="D3649" s="2" t="str">
        <f t="shared" si="56"/>
        <v>Error?</v>
      </c>
    </row>
    <row r="3650" spans="1:4" x14ac:dyDescent="0.2">
      <c r="A3650" s="5">
        <v>3589</v>
      </c>
      <c r="B3650" s="1832">
        <f>'Expenditures 15-22'!G367</f>
        <v>1812817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1840239</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1840239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1840239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1840239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-1782146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51241</v>
      </c>
      <c r="C3725" s="2" t="s">
        <v>569</v>
      </c>
      <c r="D3725" s="2" t="str">
        <f t="shared" si="57"/>
        <v>Error?</v>
      </c>
    </row>
    <row r="3726" spans="1:4" x14ac:dyDescent="0.2">
      <c r="A3726" s="5">
        <v>3665</v>
      </c>
      <c r="B3726" s="1832">
        <f>'Tax Sched 23'!D13</f>
        <v>47443</v>
      </c>
      <c r="C3726" s="2" t="s">
        <v>569</v>
      </c>
      <c r="D3726" s="2" t="str">
        <f t="shared" si="57"/>
        <v>Error?</v>
      </c>
    </row>
    <row r="3727" spans="1:4" x14ac:dyDescent="0.2">
      <c r="A3727" s="5">
        <v>3666</v>
      </c>
      <c r="B3727" s="1832">
        <f>'Tax Sched 23'!C13</f>
        <v>3798</v>
      </c>
      <c r="D3727" s="2" t="str">
        <f t="shared" si="57"/>
        <v>Error?</v>
      </c>
    </row>
    <row r="3728" spans="1:4" x14ac:dyDescent="0.2">
      <c r="A3728" s="5">
        <v>3667</v>
      </c>
      <c r="B3728" s="1832">
        <f>'Tax Sched 23'!F13</f>
        <v>48272</v>
      </c>
      <c r="C3728" s="2" t="s">
        <v>569</v>
      </c>
      <c r="D3728" s="2" t="str">
        <f t="shared" si="57"/>
        <v>Error?</v>
      </c>
    </row>
    <row r="3729" spans="1:4" x14ac:dyDescent="0.2">
      <c r="A3729" s="5">
        <v>3668</v>
      </c>
      <c r="B3729" s="1832">
        <f>'Tax Sched 23'!E13</f>
        <v>52070</v>
      </c>
      <c r="D3729" s="2" t="str">
        <f t="shared" si="57"/>
        <v>Error?</v>
      </c>
    </row>
    <row r="3730" spans="1:4" x14ac:dyDescent="0.2">
      <c r="A3730" s="5">
        <v>3669</v>
      </c>
      <c r="B3730" s="1832">
        <f>'ICR Computation 30'!E10</f>
        <v>258821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3158885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12285057</v>
      </c>
      <c r="C4122" s="2" t="s">
        <v>569</v>
      </c>
      <c r="D4122" s="2" t="str">
        <f t="shared" si="63"/>
        <v>Error?</v>
      </c>
    </row>
    <row r="4123" spans="1:4" x14ac:dyDescent="0.2">
      <c r="A4123" s="5">
        <v>4062</v>
      </c>
      <c r="B4123" s="1832">
        <f>'Acct Summary 7-8'!D10</f>
        <v>701465</v>
      </c>
      <c r="C4123" s="2" t="s">
        <v>569</v>
      </c>
      <c r="D4123" s="2" t="str">
        <f t="shared" si="63"/>
        <v>Error?</v>
      </c>
    </row>
    <row r="4124" spans="1:4" x14ac:dyDescent="0.2">
      <c r="A4124" s="5">
        <v>4063</v>
      </c>
      <c r="B4124" s="1832">
        <f>'Acct Summary 7-8'!E10</f>
        <v>176473</v>
      </c>
      <c r="C4124" s="2" t="s">
        <v>569</v>
      </c>
      <c r="D4124" s="2" t="str">
        <f t="shared" si="63"/>
        <v>Error?</v>
      </c>
    </row>
    <row r="4125" spans="1:4" x14ac:dyDescent="0.2">
      <c r="A4125" s="5">
        <v>4064</v>
      </c>
      <c r="B4125" s="1832">
        <f>'Acct Summary 7-8'!F10</f>
        <v>708382</v>
      </c>
      <c r="C4125" s="2" t="s">
        <v>569</v>
      </c>
      <c r="D4125" s="2" t="str">
        <f t="shared" si="63"/>
        <v>Error?</v>
      </c>
    </row>
    <row r="4126" spans="1:4" x14ac:dyDescent="0.2">
      <c r="A4126" s="5">
        <v>4065</v>
      </c>
      <c r="B4126" s="1832">
        <f>'Acct Summary 7-8'!G10</f>
        <v>218534</v>
      </c>
      <c r="C4126" s="2" t="s">
        <v>569</v>
      </c>
      <c r="D4126" s="2" t="str">
        <f t="shared" si="63"/>
        <v>Error?</v>
      </c>
    </row>
    <row r="4127" spans="1:4" x14ac:dyDescent="0.2">
      <c r="A4127" s="5">
        <v>4066</v>
      </c>
      <c r="B4127" s="1832">
        <f>'Acct Summary 7-8'!H10</f>
        <v>532163</v>
      </c>
      <c r="C4127" s="2" t="s">
        <v>569</v>
      </c>
      <c r="D4127" s="2" t="str">
        <f t="shared" si="63"/>
        <v>Error?</v>
      </c>
    </row>
    <row r="4128" spans="1:4" x14ac:dyDescent="0.2">
      <c r="A4128" s="5">
        <v>4067</v>
      </c>
      <c r="B4128" s="1832">
        <f>'Acct Summary 7-8'!I10</f>
        <v>72391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58093</v>
      </c>
      <c r="C4130" s="2" t="s">
        <v>569</v>
      </c>
      <c r="D4130" s="2" t="str">
        <f t="shared" si="63"/>
        <v>Error?</v>
      </c>
    </row>
    <row r="4131" spans="1:4" x14ac:dyDescent="0.2">
      <c r="A4131" s="5">
        <v>4070</v>
      </c>
      <c r="B4131" s="1832">
        <f>'Acct Summary 7-8'!C18</f>
        <v>3158885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11477741</v>
      </c>
      <c r="C4136" s="2" t="s">
        <v>569</v>
      </c>
      <c r="D4136" s="2" t="str">
        <f t="shared" si="63"/>
        <v>Error?</v>
      </c>
    </row>
    <row r="4137" spans="1:4" x14ac:dyDescent="0.2">
      <c r="A4137" s="5">
        <v>4076</v>
      </c>
      <c r="B4137" s="1832">
        <f>'Acct Summary 7-8'!D19</f>
        <v>377485</v>
      </c>
      <c r="C4137" s="2" t="s">
        <v>569</v>
      </c>
      <c r="D4137" s="2" t="str">
        <f t="shared" si="63"/>
        <v>Error?</v>
      </c>
    </row>
    <row r="4138" spans="1:4" x14ac:dyDescent="0.2">
      <c r="A4138" s="5">
        <v>4077</v>
      </c>
      <c r="B4138" s="1832">
        <f>'Acct Summary 7-8'!E19</f>
        <v>172102</v>
      </c>
      <c r="C4138" s="2" t="s">
        <v>569</v>
      </c>
      <c r="D4138" s="2" t="str">
        <f t="shared" si="63"/>
        <v>Error?</v>
      </c>
    </row>
    <row r="4139" spans="1:4" x14ac:dyDescent="0.2">
      <c r="A4139" s="5">
        <v>4078</v>
      </c>
      <c r="B4139" s="1832">
        <f>'Acct Summary 7-8'!F19</f>
        <v>527841</v>
      </c>
      <c r="C4139" s="2" t="s">
        <v>569</v>
      </c>
      <c r="D4139" s="2" t="str">
        <f t="shared" si="63"/>
        <v>Error?</v>
      </c>
    </row>
    <row r="4140" spans="1:4" x14ac:dyDescent="0.2">
      <c r="A4140" s="5">
        <v>4079</v>
      </c>
      <c r="B4140" s="1832">
        <f>'Acct Summary 7-8'!G19</f>
        <v>191078</v>
      </c>
      <c r="C4140" s="2" t="s">
        <v>569</v>
      </c>
      <c r="D4140" s="2" t="str">
        <f t="shared" si="63"/>
        <v>Error?</v>
      </c>
    </row>
    <row r="4141" spans="1:4" x14ac:dyDescent="0.2">
      <c r="A4141" s="5">
        <v>4080</v>
      </c>
      <c r="B4141" s="1832">
        <f>'Acct Summary 7-8'!H19</f>
        <v>448915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1840239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1377400</v>
      </c>
      <c r="C4171" s="2" t="s">
        <v>569</v>
      </c>
      <c r="D4171" s="2" t="str">
        <f t="shared" si="64"/>
        <v>Error?</v>
      </c>
    </row>
    <row r="4172" spans="1:4" x14ac:dyDescent="0.2">
      <c r="A4172" s="5">
        <v>4111</v>
      </c>
      <c r="B4172" s="1832">
        <f>'Short-Term Long-Term Debt 24'!J49</f>
        <v>1364506</v>
      </c>
      <c r="C4172" s="2" t="s">
        <v>569</v>
      </c>
      <c r="D4172" s="2" t="str">
        <f t="shared" si="64"/>
        <v>Error?</v>
      </c>
    </row>
    <row r="4173" spans="1:4" x14ac:dyDescent="0.2">
      <c r="A4173" s="5">
        <v>4112</v>
      </c>
      <c r="B4173" s="1832">
        <f>'Short-Term Long-Term Debt 24'!H49</f>
        <v>122600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449.99999999999994</v>
      </c>
      <c r="C4267" s="2" t="s">
        <v>569</v>
      </c>
      <c r="D4267" s="2" t="str">
        <f t="shared" si="65"/>
        <v>Error?</v>
      </c>
      <c r="E4267" s="125"/>
    </row>
    <row r="4268" spans="1:5" x14ac:dyDescent="0.2">
      <c r="A4268" s="12">
        <v>4207</v>
      </c>
      <c r="B4268" s="1832">
        <f>('FP Info 3'!J10)*100000</f>
        <v>4200</v>
      </c>
      <c r="C4268" s="2" t="s">
        <v>569</v>
      </c>
      <c r="D4268" s="2" t="str">
        <f t="shared" si="65"/>
        <v>Error?</v>
      </c>
    </row>
    <row r="4269" spans="1:5" x14ac:dyDescent="0.2">
      <c r="A4269" s="12">
        <v>4208</v>
      </c>
      <c r="B4269" s="1832">
        <f>'FP Info 3'!J16</f>
        <v>13793468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4836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19860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19860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40434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16578</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24644</v>
      </c>
      <c r="D4792" s="2" t="str">
        <f t="shared" si="73"/>
        <v>Error?</v>
      </c>
    </row>
    <row r="4793" spans="1:4" x14ac:dyDescent="0.2">
      <c r="A4793" s="5">
        <v>4732</v>
      </c>
      <c r="B4793" s="1832">
        <f>'Revenues 9-14'!D168</f>
        <v>25000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1446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102605518</v>
      </c>
      <c r="D4995" s="2" t="str">
        <f t="shared" si="77"/>
        <v>Error?</v>
      </c>
    </row>
    <row r="4996" spans="1:4" x14ac:dyDescent="0.2">
      <c r="A4996" s="12">
        <v>4935</v>
      </c>
      <c r="B4996" s="1832">
        <f>'FP Info 3'!H31</f>
        <v>14159561.484000001</v>
      </c>
      <c r="D4996" s="2" t="str">
        <f t="shared" si="77"/>
        <v>Error?</v>
      </c>
    </row>
    <row r="4997" spans="1:4" x14ac:dyDescent="0.2">
      <c r="A4997" s="12">
        <v>4936</v>
      </c>
      <c r="B4997" s="1832">
        <f>'FP Info 3'!H37</f>
        <v>1377400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51241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3326145</v>
      </c>
      <c r="D5061" s="2" t="str">
        <f t="shared" si="78"/>
        <v>Error?</v>
      </c>
    </row>
    <row r="5062" spans="1:4" x14ac:dyDescent="0.2">
      <c r="A5062" s="10">
        <v>5001</v>
      </c>
      <c r="B5062" s="1832"/>
      <c r="D5062" s="2" t="str">
        <f t="shared" si="78"/>
        <v>OK</v>
      </c>
    </row>
    <row r="5063" spans="1:4" x14ac:dyDescent="0.2">
      <c r="A5063" s="5">
        <v>5002</v>
      </c>
      <c r="B5063" s="1832">
        <f>'Revenues 9-14'!C7</f>
        <v>40988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3418374</v>
      </c>
      <c r="C5066" s="2" t="s">
        <v>569</v>
      </c>
      <c r="D5066" s="2" t="str">
        <f t="shared" si="78"/>
        <v>Error?</v>
      </c>
    </row>
    <row r="5067" spans="1:4" x14ac:dyDescent="0.2">
      <c r="A5067" s="5">
        <v>5006</v>
      </c>
      <c r="B5067" s="1832">
        <f>'Revenues 9-14'!C14</f>
        <v>198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198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152057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152057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49611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3095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128456</v>
      </c>
      <c r="C5096" s="2" t="s">
        <v>569</v>
      </c>
      <c r="D5096" s="2" t="str">
        <f t="shared" si="78"/>
        <v>Error?</v>
      </c>
    </row>
    <row r="5097" spans="1:4" x14ac:dyDescent="0.2">
      <c r="A5097" s="5">
        <v>5036</v>
      </c>
      <c r="B5097" s="1832">
        <f>'Revenues 9-14'!C77</f>
        <v>21482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21482</v>
      </c>
      <c r="C5102" s="2" t="s">
        <v>569</v>
      </c>
      <c r="D5102" s="2" t="str">
        <f t="shared" si="78"/>
        <v>Error?</v>
      </c>
    </row>
    <row r="5103" spans="1:4" x14ac:dyDescent="0.2">
      <c r="A5103" s="5">
        <v>5042</v>
      </c>
      <c r="B5103" s="1832">
        <f>'Revenues 9-14'!C84</f>
        <v>30253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2961</v>
      </c>
      <c r="D5111" s="2" t="str">
        <f t="shared" si="78"/>
        <v>Error?</v>
      </c>
    </row>
    <row r="5112" spans="1:4" x14ac:dyDescent="0.2">
      <c r="A5112" s="5">
        <v>5051</v>
      </c>
      <c r="B5112" s="1832">
        <f>'Revenues 9-14'!C93</f>
        <v>33214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102050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43933</v>
      </c>
      <c r="D5119" s="2" t="str">
        <f t="shared" ref="D5119:D5182" si="79">IF(ISBLANK(B5119),"OK",IF(A5119-B5119=0,"OK","Error?"))</f>
        <v>Error?</v>
      </c>
    </row>
    <row r="5120" spans="1:4" x14ac:dyDescent="0.2">
      <c r="A5120" s="5">
        <v>5059</v>
      </c>
      <c r="B5120" s="1832">
        <f>'Revenues 9-14'!C108</f>
        <v>166366</v>
      </c>
      <c r="C5120" s="2" t="s">
        <v>569</v>
      </c>
      <c r="D5120" s="2" t="str">
        <f t="shared" si="79"/>
        <v>Error?</v>
      </c>
    </row>
    <row r="5121" spans="1:4" x14ac:dyDescent="0.2">
      <c r="A5121" s="5">
        <v>5060</v>
      </c>
      <c r="B5121" s="1832">
        <f>'Revenues 9-14'!C109</f>
        <v>3920147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3775949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3775949</v>
      </c>
      <c r="C5132" s="2" t="s">
        <v>569</v>
      </c>
      <c r="D5132" s="2" t="str">
        <f t="shared" si="79"/>
        <v>Error?</v>
      </c>
    </row>
    <row r="5133" spans="1:4" x14ac:dyDescent="0.2">
      <c r="A5133" s="5">
        <v>5072</v>
      </c>
      <c r="B5133" s="1832">
        <f>'Revenues 9-14'!C125</f>
        <v>39600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2160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41760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10866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3477</v>
      </c>
      <c r="D5167" s="2" t="str">
        <f t="shared" si="79"/>
        <v>Error?</v>
      </c>
    </row>
    <row r="5168" spans="1:4" x14ac:dyDescent="0.2">
      <c r="A5168" s="5">
        <v>5107</v>
      </c>
      <c r="B5168" s="1832">
        <f>'Revenues 9-14'!C148</f>
        <v>7960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286066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374773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4150722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167698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61376</v>
      </c>
      <c r="D5241" s="2" t="str">
        <f t="shared" si="80"/>
        <v>Error?</v>
      </c>
    </row>
    <row r="5242" spans="1:4" x14ac:dyDescent="0.2">
      <c r="A5242" s="5">
        <v>5181</v>
      </c>
      <c r="B5242" s="1832">
        <f>'Revenues 9-14'!C194</f>
        <v>76007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305081</v>
      </c>
      <c r="C5246" s="2" t="s">
        <v>569</v>
      </c>
      <c r="D5246" s="2" t="str">
        <f t="shared" si="80"/>
        <v>Error?</v>
      </c>
    </row>
    <row r="5247" spans="1:4" x14ac:dyDescent="0.2">
      <c r="A5247" s="5">
        <v>5186</v>
      </c>
      <c r="B5247" s="1832">
        <f>'Revenues 9-14'!C200</f>
        <v>448689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448689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6787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228170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234957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1055303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1055303</v>
      </c>
      <c r="C5326" s="2" t="s">
        <v>569</v>
      </c>
      <c r="D5326" s="2" t="str">
        <f t="shared" si="82"/>
        <v>Error?</v>
      </c>
    </row>
    <row r="5327" spans="1:5" x14ac:dyDescent="0.2">
      <c r="A5327" s="5">
        <v>5266</v>
      </c>
      <c r="B5327" s="1832">
        <f>'Revenues 9-14'!C268</f>
        <v>9126172</v>
      </c>
      <c r="C5327" s="2" t="s">
        <v>569</v>
      </c>
      <c r="D5327" s="2" t="str">
        <f t="shared" si="82"/>
        <v>Error?</v>
      </c>
    </row>
    <row r="5328" spans="1:5" x14ac:dyDescent="0.2">
      <c r="A5328" s="5">
        <v>5267</v>
      </c>
      <c r="B5328" s="1832">
        <f>'Revenues 9-14'!D5</f>
        <v>512395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512395</v>
      </c>
      <c r="C5334" s="2" t="s">
        <v>569</v>
      </c>
      <c r="D5334" s="2" t="str">
        <f t="shared" si="82"/>
        <v>Error?</v>
      </c>
    </row>
    <row r="5335" spans="1:4" x14ac:dyDescent="0.2">
      <c r="A5335" s="5">
        <v>5274</v>
      </c>
      <c r="B5335" s="1832">
        <f>'Revenues 9-14'!D14</f>
        <v>30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142072</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142102</v>
      </c>
      <c r="C5339" s="2" t="s">
        <v>569</v>
      </c>
      <c r="D5339" s="2" t="str">
        <f t="shared" si="82"/>
        <v>Error?</v>
      </c>
    </row>
    <row r="5340" spans="1:4" x14ac:dyDescent="0.2">
      <c r="A5340" s="5">
        <v>5279</v>
      </c>
      <c r="B5340" s="1832">
        <f>'Revenues 9-14'!D65</f>
        <v>12471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12471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380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3933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5184</v>
      </c>
      <c r="D5354" s="2" t="str">
        <f t="shared" si="82"/>
        <v>Error?</v>
      </c>
    </row>
    <row r="5355" spans="1:4" x14ac:dyDescent="0.2">
      <c r="A5355" s="5">
        <v>5294</v>
      </c>
      <c r="B5355" s="1832">
        <f>'Revenues 9-14'!D108</f>
        <v>9497</v>
      </c>
      <c r="C5355" s="2" t="s">
        <v>569</v>
      </c>
      <c r="D5355" s="2" t="str">
        <f t="shared" si="82"/>
        <v>Error?</v>
      </c>
    </row>
    <row r="5356" spans="1:4" x14ac:dyDescent="0.2">
      <c r="A5356" s="5">
        <v>5295</v>
      </c>
      <c r="B5356" s="1832">
        <f>'Revenues 9-14'!D109</f>
        <v>676465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25000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701465</v>
      </c>
      <c r="C5508" s="2" t="s">
        <v>569</v>
      </c>
      <c r="D5508" s="2" t="str">
        <f t="shared" si="85"/>
        <v>Error?</v>
      </c>
    </row>
    <row r="5509" spans="1:4" x14ac:dyDescent="0.2">
      <c r="A5509" s="5">
        <v>5448</v>
      </c>
      <c r="B5509" s="1832">
        <f>'Revenues 9-14'!E5</f>
        <v>175820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175820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653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653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176473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176473</v>
      </c>
      <c r="C5552" s="2" t="s">
        <v>569</v>
      </c>
      <c r="D5552" s="2" t="str">
        <f t="shared" si="85"/>
        <v>Error?</v>
      </c>
    </row>
    <row r="5553" spans="1:4" x14ac:dyDescent="0.2">
      <c r="A5553" s="5">
        <v>5492</v>
      </c>
      <c r="B5553" s="1832">
        <f>'Revenues 9-14'!F5</f>
        <v>461155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461155</v>
      </c>
      <c r="C5557" s="2" t="s">
        <v>569</v>
      </c>
      <c r="D5557" s="2" t="str">
        <f t="shared" si="85"/>
        <v>Error?</v>
      </c>
    </row>
    <row r="5558" spans="1:4" x14ac:dyDescent="0.2">
      <c r="A5558" s="5">
        <v>5497</v>
      </c>
      <c r="B5558" s="1832">
        <f>'Revenues 9-14'!F14</f>
        <v>27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23536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23536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5957</v>
      </c>
      <c r="D5586" s="2" t="str">
        <f t="shared" si="86"/>
        <v>Error?</v>
      </c>
    </row>
    <row r="5587" spans="1:4" x14ac:dyDescent="0.2">
      <c r="A5587" s="5">
        <v>5526</v>
      </c>
      <c r="B5587" s="1832">
        <f>'Revenues 9-14'!F108</f>
        <v>5957</v>
      </c>
      <c r="C5587" s="2" t="s">
        <v>569</v>
      </c>
      <c r="D5587" s="2" t="str">
        <f t="shared" si="86"/>
        <v>Error?</v>
      </c>
    </row>
    <row r="5588" spans="1:4" x14ac:dyDescent="0.2">
      <c r="A5588" s="5">
        <v>5527</v>
      </c>
      <c r="B5588" s="1832">
        <f>'Revenues 9-14'!F109</f>
        <v>490675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151421</v>
      </c>
      <c r="D5615" s="2" t="str">
        <f t="shared" si="86"/>
        <v>Error?</v>
      </c>
    </row>
    <row r="5616" spans="1:4" x14ac:dyDescent="0.2">
      <c r="A5616" s="10">
        <v>5555</v>
      </c>
      <c r="B5616" s="1832"/>
      <c r="D5616" s="2" t="str">
        <f t="shared" si="86"/>
        <v>OK</v>
      </c>
    </row>
    <row r="5617" spans="1:5" x14ac:dyDescent="0.2">
      <c r="A5617" s="5">
        <v>5556</v>
      </c>
      <c r="B5617" s="1832">
        <f>'Revenues 9-14'!F153</f>
        <v>66286</v>
      </c>
      <c r="D5617" s="2" t="str">
        <f t="shared" si="86"/>
        <v>Error?</v>
      </c>
    </row>
    <row r="5618" spans="1:5" x14ac:dyDescent="0.2">
      <c r="A5618" s="5">
        <v>5557</v>
      </c>
      <c r="B5618" s="1832">
        <f>'Revenues 9-14'!F155</f>
        <v>217707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217707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217707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708382</v>
      </c>
      <c r="C5720" s="2" t="s">
        <v>569</v>
      </c>
      <c r="D5720" s="2" t="str">
        <f t="shared" si="88"/>
        <v>Error?</v>
      </c>
    </row>
    <row r="5721" spans="1:4" x14ac:dyDescent="0.2">
      <c r="A5721" s="5">
        <v>5660</v>
      </c>
      <c r="B5721" s="1832">
        <f>'Revenues 9-14'!G5</f>
        <v>26759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179200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205959</v>
      </c>
      <c r="C5725" s="2" t="s">
        <v>569</v>
      </c>
      <c r="D5725" s="2" t="str">
        <f t="shared" si="88"/>
        <v>Error?</v>
      </c>
    </row>
    <row r="5726" spans="1:4" x14ac:dyDescent="0.2">
      <c r="A5726" s="5">
        <v>5665</v>
      </c>
      <c r="B5726" s="1832">
        <f>'Revenues 9-14'!G14</f>
        <v>12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7080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7092</v>
      </c>
      <c r="C5730" s="2" t="s">
        <v>569</v>
      </c>
      <c r="D5730" s="2" t="str">
        <f t="shared" si="88"/>
        <v>Error?</v>
      </c>
    </row>
    <row r="5731" spans="1:4" x14ac:dyDescent="0.2">
      <c r="A5731" s="5">
        <v>5670</v>
      </c>
      <c r="B5731" s="1832">
        <f>'Revenues 9-14'!G65</f>
        <v>5483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5483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218534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237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237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531926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532163</v>
      </c>
      <c r="C5915" s="2" t="s">
        <v>569</v>
      </c>
      <c r="D5915" s="2" t="str">
        <f t="shared" si="91"/>
        <v>Error?</v>
      </c>
    </row>
    <row r="5916" spans="1:4" x14ac:dyDescent="0.2">
      <c r="A5916" s="5">
        <v>5855</v>
      </c>
      <c r="B5916" s="1832">
        <f>'Revenues 9-14'!I5</f>
        <v>51239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51239</v>
      </c>
      <c r="C5918" s="2" t="s">
        <v>569</v>
      </c>
      <c r="D5918" s="2" t="str">
        <f t="shared" si="91"/>
        <v>Error?</v>
      </c>
    </row>
    <row r="5919" spans="1:4" x14ac:dyDescent="0.2">
      <c r="A5919" s="5">
        <v>5858</v>
      </c>
      <c r="B5919" s="1832">
        <f>'Revenues 9-14'!I14</f>
        <v>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v>
      </c>
      <c r="C5923" s="2" t="s">
        <v>569</v>
      </c>
      <c r="D5923" s="2" t="str">
        <f t="shared" si="91"/>
        <v>Error?</v>
      </c>
    </row>
    <row r="5924" spans="1:4" x14ac:dyDescent="0.2">
      <c r="A5924" s="5">
        <v>5863</v>
      </c>
      <c r="B5924" s="1832">
        <f>'Revenues 9-14'!I65</f>
        <v>21149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21149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72391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51239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51239</v>
      </c>
      <c r="C5987" s="2" t="s">
        <v>569</v>
      </c>
      <c r="D5987" s="2" t="str">
        <f t="shared" si="92"/>
        <v>Error?</v>
      </c>
    </row>
    <row r="5988" spans="1:4" x14ac:dyDescent="0.2">
      <c r="A5988" s="5">
        <v>5927</v>
      </c>
      <c r="B5988" s="1832">
        <f>'Revenues 9-14'!K14</f>
        <v>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v>
      </c>
      <c r="C5992" s="2" t="s">
        <v>569</v>
      </c>
      <c r="D5992" s="2" t="str">
        <f t="shared" si="92"/>
        <v>Error?</v>
      </c>
    </row>
    <row r="5993" spans="1:4" x14ac:dyDescent="0.2">
      <c r="A5993" s="5">
        <v>5932</v>
      </c>
      <c r="B5993" s="1832">
        <f>'Revenues 9-14'!K65</f>
        <v>6851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6851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58093</v>
      </c>
      <c r="C6023" s="2" t="s">
        <v>569</v>
      </c>
      <c r="D6023" s="2" t="str">
        <f t="shared" si="93"/>
        <v>Error?</v>
      </c>
    </row>
    <row r="6024" spans="1:5" x14ac:dyDescent="0.2">
      <c r="A6024" s="5">
        <v>5963</v>
      </c>
      <c r="B6024" s="1832">
        <f>'Revenues 9-14'!G109</f>
        <v>218534</v>
      </c>
      <c r="C6024" s="2" t="s">
        <v>569</v>
      </c>
      <c r="D6024" s="2" t="str">
        <f t="shared" si="93"/>
        <v>Error?</v>
      </c>
    </row>
    <row r="6025" spans="1:5" x14ac:dyDescent="0.2">
      <c r="A6025" s="5">
        <v>5964</v>
      </c>
      <c r="B6025" s="1832">
        <f>'Revenues 9-14'!H109</f>
        <v>532163</v>
      </c>
      <c r="C6025" s="2" t="s">
        <v>569</v>
      </c>
      <c r="D6025" s="2" t="str">
        <f t="shared" si="93"/>
        <v>Error?</v>
      </c>
    </row>
    <row r="6026" spans="1:5" x14ac:dyDescent="0.2">
      <c r="A6026" s="5">
        <v>5965</v>
      </c>
      <c r="B6026" s="1832">
        <f>'Revenues 9-14'!I109</f>
        <v>72391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58093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75750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39921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917.7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60955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415152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415152</v>
      </c>
      <c r="D6215" s="2" t="str">
        <f t="shared" si="96"/>
        <v>Error?</v>
      </c>
      <c r="E6215" s="2" t="s">
        <v>189</v>
      </c>
    </row>
    <row r="6216" spans="1:5" x14ac:dyDescent="0.2">
      <c r="A6216">
        <v>6155</v>
      </c>
      <c r="B6216" s="1832">
        <f>'Assets-Liab 5-6'!J41</f>
        <v>415152</v>
      </c>
      <c r="D6216" s="2" t="str">
        <f t="shared" si="96"/>
        <v>Error?</v>
      </c>
      <c r="E6216" s="2" t="s">
        <v>189</v>
      </c>
    </row>
    <row r="6217" spans="1:5" x14ac:dyDescent="0.2">
      <c r="A6217">
        <v>6156</v>
      </c>
      <c r="B6217" s="1832">
        <f>'Assets-Liab 5-6'!J4</f>
        <v>415152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339083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339083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339083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379992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379992</v>
      </c>
      <c r="D6229" s="2" t="str">
        <f t="shared" si="96"/>
        <v>Error?</v>
      </c>
      <c r="E6229" s="2" t="s">
        <v>189</v>
      </c>
    </row>
    <row r="6230" spans="1:5" x14ac:dyDescent="0.2">
      <c r="A6230">
        <v>6169</v>
      </c>
      <c r="B6230" s="1832">
        <f>'Acct Summary 7-8'!J20</f>
        <v>-40909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-40909</v>
      </c>
      <c r="D6263" s="2" t="str">
        <f t="shared" si="96"/>
        <v>Error?</v>
      </c>
      <c r="E6263" s="2" t="s">
        <v>189</v>
      </c>
    </row>
    <row r="6264" spans="1:5" x14ac:dyDescent="0.2">
      <c r="A6264">
        <v>6203</v>
      </c>
      <c r="B6264" s="1832">
        <f>'Acct Summary 7-8'!J79</f>
        <v>456061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415152</v>
      </c>
      <c r="D6266" s="2" t="str">
        <f t="shared" si="96"/>
        <v>Error?</v>
      </c>
      <c r="E6266" s="2" t="s">
        <v>189</v>
      </c>
    </row>
    <row r="6267" spans="1:5" x14ac:dyDescent="0.2">
      <c r="A6267">
        <v>6206</v>
      </c>
      <c r="B6267" s="1832">
        <f>'Acct Summary 7-8'!C82</f>
        <v>807316</v>
      </c>
      <c r="D6267" s="2" t="str">
        <f t="shared" si="96"/>
        <v>Error?</v>
      </c>
      <c r="E6267" s="2" t="s">
        <v>189</v>
      </c>
    </row>
    <row r="6268" spans="1:5" x14ac:dyDescent="0.2">
      <c r="A6268">
        <v>6207</v>
      </c>
      <c r="B6268" s="1832">
        <f>'Acct Summary 7-8'!D82</f>
        <v>323980</v>
      </c>
      <c r="D6268" s="2" t="str">
        <f t="shared" si="96"/>
        <v>Error?</v>
      </c>
      <c r="E6268" s="2" t="s">
        <v>189</v>
      </c>
    </row>
    <row r="6269" spans="1:5" x14ac:dyDescent="0.2">
      <c r="A6269">
        <v>6208</v>
      </c>
      <c r="B6269" s="1832">
        <f>'Acct Summary 7-8'!E82</f>
        <v>4371</v>
      </c>
      <c r="D6269" s="2" t="str">
        <f t="shared" si="96"/>
        <v>Error?</v>
      </c>
      <c r="E6269" s="2" t="s">
        <v>189</v>
      </c>
    </row>
    <row r="6270" spans="1:5" x14ac:dyDescent="0.2">
      <c r="A6270">
        <v>6209</v>
      </c>
      <c r="B6270" s="1832">
        <f>'Acct Summary 7-8'!F82</f>
        <v>180541</v>
      </c>
      <c r="D6270" s="2" t="str">
        <f t="shared" si="96"/>
        <v>Error?</v>
      </c>
      <c r="E6270" s="2" t="s">
        <v>189</v>
      </c>
    </row>
    <row r="6271" spans="1:5" x14ac:dyDescent="0.2">
      <c r="A6271">
        <v>6210</v>
      </c>
      <c r="B6271" s="1832">
        <f>'Acct Summary 7-8'!G82</f>
        <v>27456</v>
      </c>
      <c r="D6271" s="2" t="str">
        <f t="shared" ref="D6271:D6334" si="97">IF(ISBLANK(B6271),"OK",IF(A6271-B6271=0,"OK","Error?"))</f>
        <v>Error?</v>
      </c>
      <c r="E6271" s="2" t="s">
        <v>189</v>
      </c>
    </row>
    <row r="6272" spans="1:5" x14ac:dyDescent="0.2">
      <c r="A6272">
        <v>6211</v>
      </c>
      <c r="B6272" s="1832">
        <f>'Acct Summary 7-8'!H82</f>
        <v>83248</v>
      </c>
      <c r="D6272" s="2" t="str">
        <f t="shared" si="97"/>
        <v>Error?</v>
      </c>
      <c r="E6272" s="2" t="s">
        <v>189</v>
      </c>
    </row>
    <row r="6273" spans="1:5" x14ac:dyDescent="0.2">
      <c r="A6273">
        <v>6212</v>
      </c>
      <c r="B6273" s="1832">
        <f>'Acct Summary 7-8'!I82</f>
        <v>72391</v>
      </c>
      <c r="D6273" s="2" t="str">
        <f t="shared" si="97"/>
        <v>Error?</v>
      </c>
      <c r="E6273" s="2" t="s">
        <v>189</v>
      </c>
    </row>
    <row r="6274" spans="1:5" x14ac:dyDescent="0.2">
      <c r="A6274">
        <v>6213</v>
      </c>
      <c r="B6274" s="1832">
        <f>'Acct Summary 7-8'!J82</f>
        <v>-40909</v>
      </c>
      <c r="D6274" s="2" t="str">
        <f t="shared" si="97"/>
        <v>Error?</v>
      </c>
      <c r="E6274" s="2" t="s">
        <v>189</v>
      </c>
    </row>
    <row r="6275" spans="1:5" x14ac:dyDescent="0.2">
      <c r="A6275">
        <v>6214</v>
      </c>
      <c r="B6275" s="1832">
        <f>'Acct Summary 7-8'!K82</f>
        <v>-1782146</v>
      </c>
      <c r="D6275" s="2" t="str">
        <f t="shared" si="97"/>
        <v>Error?</v>
      </c>
      <c r="E6275" s="2" t="s">
        <v>189</v>
      </c>
    </row>
    <row r="6276" spans="1:5" x14ac:dyDescent="0.2">
      <c r="A6276">
        <v>6215</v>
      </c>
      <c r="B6276" s="1832">
        <f>'Acct Summary 7-8'!C83</f>
        <v>8.3718239834263367E-2</v>
      </c>
      <c r="D6276" s="2" t="str">
        <f t="shared" si="97"/>
        <v>Error?</v>
      </c>
      <c r="E6276" s="2" t="s">
        <v>189</v>
      </c>
    </row>
    <row r="6277" spans="1:5" x14ac:dyDescent="0.2">
      <c r="A6277">
        <v>6216</v>
      </c>
      <c r="B6277" s="1832">
        <f>'Acct Summary 7-8'!D83</f>
        <v>0.22822114585358569</v>
      </c>
      <c r="D6277" s="2" t="str">
        <f t="shared" si="97"/>
        <v>Error?</v>
      </c>
      <c r="E6277" s="2" t="s">
        <v>189</v>
      </c>
    </row>
    <row r="6278" spans="1:5" x14ac:dyDescent="0.2">
      <c r="A6278">
        <v>6217</v>
      </c>
      <c r="B6278" s="1832">
        <f>'Acct Summary 7-8'!E83</f>
        <v>0.33899488134015821</v>
      </c>
      <c r="D6278" s="2" t="str">
        <f t="shared" si="97"/>
        <v>Error?</v>
      </c>
      <c r="E6278" s="2" t="s">
        <v>189</v>
      </c>
    </row>
    <row r="6279" spans="1:5" x14ac:dyDescent="0.2">
      <c r="A6279">
        <v>6218</v>
      </c>
      <c r="B6279" s="1832">
        <f>'Acct Summary 7-8'!F83</f>
        <v>0.10779461698612601</v>
      </c>
      <c r="D6279" s="2" t="str">
        <f t="shared" si="97"/>
        <v>Error?</v>
      </c>
      <c r="E6279" s="2" t="s">
        <v>189</v>
      </c>
    </row>
    <row r="6280" spans="1:5" x14ac:dyDescent="0.2">
      <c r="A6280">
        <v>6219</v>
      </c>
      <c r="B6280" s="1832">
        <f>'Acct Summary 7-8'!G83</f>
        <v>4.8604325105153591E-2</v>
      </c>
      <c r="D6280" s="2" t="str">
        <f t="shared" si="97"/>
        <v>Error?</v>
      </c>
      <c r="E6280" s="2" t="s">
        <v>189</v>
      </c>
    </row>
    <row r="6281" spans="1:5" x14ac:dyDescent="0.2">
      <c r="A6281">
        <v>6220</v>
      </c>
      <c r="B6281" s="1832">
        <f>'Acct Summary 7-8'!H83</f>
        <v>0.43668103945698128</v>
      </c>
      <c r="D6281" s="2" t="str">
        <f t="shared" si="97"/>
        <v>Error?</v>
      </c>
      <c r="E6281" s="2" t="s">
        <v>189</v>
      </c>
    </row>
    <row r="6282" spans="1:5" x14ac:dyDescent="0.2">
      <c r="A6282">
        <v>6221</v>
      </c>
      <c r="B6282" s="1832">
        <f>'Acct Summary 7-8'!I83</f>
        <v>6.8567147327822028E-2</v>
      </c>
      <c r="D6282" s="2" t="str">
        <f t="shared" si="97"/>
        <v>Error?</v>
      </c>
      <c r="E6282" s="2" t="s">
        <v>189</v>
      </c>
    </row>
    <row r="6283" spans="1:5" x14ac:dyDescent="0.2">
      <c r="A6283">
        <v>6222</v>
      </c>
      <c r="B6283" s="1832">
        <f>'Acct Summary 7-8'!J83</f>
        <v>-9.8539811924307247E-2</v>
      </c>
      <c r="D6283" s="2" t="str">
        <f t="shared" si="97"/>
        <v>Error?</v>
      </c>
      <c r="E6283" s="2" t="s">
        <v>189</v>
      </c>
    </row>
    <row r="6284" spans="1:5" x14ac:dyDescent="0.2">
      <c r="A6284">
        <v>6223</v>
      </c>
      <c r="B6284" s="1832">
        <f>'Acct Summary 7-8'!K83</f>
        <v>-9.6518993511768727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335427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335427</v>
      </c>
      <c r="D6301" s="2" t="str">
        <f t="shared" si="97"/>
        <v>Error?</v>
      </c>
      <c r="E6301" s="2" t="s">
        <v>189</v>
      </c>
    </row>
    <row r="6302" spans="1:5" x14ac:dyDescent="0.2">
      <c r="A6302">
        <v>6241</v>
      </c>
      <c r="B6302" s="1832">
        <f>'Revenues 9-14'!J14</f>
        <v>19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3637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3637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3805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339083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10866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251464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291464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27362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379992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339083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7978</v>
      </c>
      <c r="D7073" s="2" t="str">
        <f t="shared" si="109"/>
        <v>Error?</v>
      </c>
    </row>
    <row r="7074" spans="1:4" x14ac:dyDescent="0.2">
      <c r="A7074">
        <v>7013</v>
      </c>
      <c r="B7074" s="1832">
        <f>'Expenditures 15-22'!K216</f>
        <v>7978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312</v>
      </c>
      <c r="D7079" s="2" t="str">
        <f t="shared" si="109"/>
        <v>Error?</v>
      </c>
    </row>
    <row r="7080" spans="1:4" x14ac:dyDescent="0.2">
      <c r="A7080">
        <v>7019</v>
      </c>
      <c r="B7080" s="1832">
        <f>'Expenditures 15-22'!K226</f>
        <v>312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57727</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57727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90257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220996</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311253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11012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11012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101269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220996</v>
      </c>
      <c r="D7203" s="2" t="str">
        <f t="shared" si="111"/>
        <v>Error?</v>
      </c>
    </row>
    <row r="7204" spans="1:4" x14ac:dyDescent="0.2">
      <c r="A7204">
        <v>7143</v>
      </c>
      <c r="B7204" s="1832">
        <f>'Expenditures 15-22'!H330</f>
        <v>57727</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379992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101269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220996</v>
      </c>
      <c r="D7220" s="2" t="str">
        <f t="shared" si="111"/>
        <v>Error?</v>
      </c>
    </row>
    <row r="7221" spans="1:4" x14ac:dyDescent="0.2">
      <c r="A7221">
        <v>7160</v>
      </c>
      <c r="B7221" s="1832">
        <f>'Expenditures 15-22'!H342</f>
        <v>57727</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379992</v>
      </c>
      <c r="D7224" s="2" t="str">
        <f t="shared" si="111"/>
        <v>Error?</v>
      </c>
    </row>
    <row r="7225" spans="1:4" x14ac:dyDescent="0.2">
      <c r="A7225">
        <v>7164</v>
      </c>
      <c r="B7225" s="1832">
        <f>'Expenditures 15-22'!K343</f>
        <v>-40909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33272</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6728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24258</v>
      </c>
      <c r="D7263" s="2" t="str">
        <f t="shared" si="112"/>
        <v>Error?</v>
      </c>
    </row>
    <row r="7264" spans="1:4" x14ac:dyDescent="0.2">
      <c r="A7264">
        <f t="shared" si="113"/>
        <v>7203</v>
      </c>
      <c r="B7264" s="1832">
        <f>'Expenditures 15-22'!D17</f>
        <v>3060</v>
      </c>
      <c r="D7264" s="2" t="str">
        <f t="shared" si="112"/>
        <v>Error?</v>
      </c>
    </row>
    <row r="7265" spans="1:5" x14ac:dyDescent="0.2">
      <c r="A7265">
        <f t="shared" si="113"/>
        <v>7204</v>
      </c>
      <c r="B7265" s="1832">
        <f>'Expenditures 15-22'!E17</f>
        <v>20</v>
      </c>
      <c r="D7265" s="2" t="str">
        <f t="shared" si="112"/>
        <v>Error?</v>
      </c>
    </row>
    <row r="7266" spans="1:5" x14ac:dyDescent="0.2">
      <c r="A7266">
        <f t="shared" si="113"/>
        <v>7205</v>
      </c>
      <c r="B7266" s="1832">
        <f>'Expenditures 15-22'!F17</f>
        <v>24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251082</v>
      </c>
      <c r="D7615" s="2" t="str">
        <f t="shared" ref="D7615:D7678" si="124">IF(ISBLANK(B7615),"OK",IF(A7615-B7615=0,"OK","Error?"))</f>
        <v>Error?</v>
      </c>
      <c r="E7615" s="2" t="s">
        <v>19</v>
      </c>
    </row>
    <row r="7616" spans="1:5" x14ac:dyDescent="0.2">
      <c r="A7616">
        <f t="shared" si="123"/>
        <v>7555</v>
      </c>
      <c r="B7616" s="1832">
        <f>'Cap Outlay Deprec 26'!D14</f>
        <v>44388</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295470</v>
      </c>
      <c r="D7618" s="2" t="str">
        <f t="shared" si="124"/>
        <v>Error?</v>
      </c>
      <c r="E7618" s="2" t="s">
        <v>19</v>
      </c>
    </row>
    <row r="7619" spans="1:5" x14ac:dyDescent="0.2">
      <c r="A7619">
        <f t="shared" si="123"/>
        <v>7558</v>
      </c>
      <c r="B7619" s="1832">
        <f>'Cap Outlay Deprec 26'!H14</f>
        <v>114393</v>
      </c>
      <c r="D7619" s="2" t="str">
        <f t="shared" si="124"/>
        <v>Error?</v>
      </c>
      <c r="E7619" s="2" t="s">
        <v>19</v>
      </c>
    </row>
    <row r="7620" spans="1:5" x14ac:dyDescent="0.2">
      <c r="A7620">
        <f t="shared" si="123"/>
        <v>7559</v>
      </c>
      <c r="B7620" s="1832">
        <f>'Cap Outlay Deprec 26'!I14</f>
        <v>89415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203808</v>
      </c>
      <c r="D7622" s="2" t="str">
        <f t="shared" si="124"/>
        <v>Error?</v>
      </c>
      <c r="E7622" s="2" t="s">
        <v>19</v>
      </c>
    </row>
    <row r="7623" spans="1:5" x14ac:dyDescent="0.2">
      <c r="A7623">
        <f t="shared" si="123"/>
        <v>7562</v>
      </c>
      <c r="B7623" s="1832">
        <f>'Cap Outlay Deprec 26'!L14</f>
        <v>91662</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468859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353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237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531926</v>
      </c>
      <c r="D7713" s="2" t="str">
        <f t="shared" si="126"/>
        <v>Error?</v>
      </c>
      <c r="E7713" s="2" t="s">
        <v>822</v>
      </c>
    </row>
    <row r="7714" spans="1:6" x14ac:dyDescent="0.2">
      <c r="A7714">
        <v>7653</v>
      </c>
      <c r="B7714" s="1832">
        <f>'Rest Tax Levies-Tort Im 25'!K9</f>
        <v>3805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532163</v>
      </c>
      <c r="D7718" s="2" t="str">
        <f t="shared" si="126"/>
        <v>Error?</v>
      </c>
      <c r="E7718" s="2" t="s">
        <v>822</v>
      </c>
    </row>
    <row r="7719" spans="1:6" x14ac:dyDescent="0.2">
      <c r="A7719">
        <v>7658</v>
      </c>
      <c r="B7719" s="1832">
        <f>'Rest Tax Levies-Tort Im 25'!K12</f>
        <v>3805</v>
      </c>
      <c r="D7719" s="2" t="str">
        <f t="shared" si="126"/>
        <v>Error?</v>
      </c>
      <c r="E7719" s="2" t="s">
        <v>822</v>
      </c>
    </row>
    <row r="7720" spans="1:6" x14ac:dyDescent="0.2">
      <c r="A7720">
        <v>7659</v>
      </c>
      <c r="B7720" s="1832">
        <f>'Rest Tax Levies-Tort Im 25'!H14</f>
        <v>40988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448915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3805</v>
      </c>
      <c r="D7729" s="2" t="str">
        <f t="shared" si="126"/>
        <v>Error?</v>
      </c>
      <c r="E7729" s="2" t="s">
        <v>822</v>
      </c>
    </row>
    <row r="7730" spans="1:6" x14ac:dyDescent="0.2">
      <c r="A7730">
        <v>7669</v>
      </c>
      <c r="B7730" s="1832">
        <f>'Rest Tax Levies-Tort Im 25'!J23</f>
        <v>448915</v>
      </c>
      <c r="D7730" s="2" t="str">
        <f t="shared" si="126"/>
        <v>Error?</v>
      </c>
      <c r="E7730" s="2" t="s">
        <v>822</v>
      </c>
    </row>
    <row r="7731" spans="1:6" x14ac:dyDescent="0.2">
      <c r="A7731">
        <v>7670</v>
      </c>
      <c r="B7731" s="1832">
        <f>'Revenues 9-14'!H103</f>
        <v>531926</v>
      </c>
      <c r="D7731" s="2" t="str">
        <f t="shared" si="126"/>
        <v>Error?</v>
      </c>
      <c r="E7731" s="2" t="s">
        <v>822</v>
      </c>
    </row>
    <row r="7732" spans="1:6" x14ac:dyDescent="0.2">
      <c r="A7732">
        <v>7671</v>
      </c>
      <c r="B7732" s="1832">
        <f>'Rest Tax Levies-Tort Im 25'!J24</f>
        <v>83601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83601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3805</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1500000</v>
      </c>
      <c r="D7817" s="2" t="str">
        <f t="shared" si="128"/>
        <v>Error?</v>
      </c>
      <c r="E7817" s="4" t="s">
        <v>1963</v>
      </c>
    </row>
    <row r="7818" spans="1:5" x14ac:dyDescent="0.2">
      <c r="A7818">
        <v>7757</v>
      </c>
      <c r="B7818" s="1832">
        <f>'PCTC-OEPP 27-28'!F172</f>
        <v>241467</v>
      </c>
      <c r="D7818" s="2" t="str">
        <f t="shared" si="128"/>
        <v>Error?</v>
      </c>
      <c r="E7818" s="4" t="s">
        <v>1977</v>
      </c>
    </row>
    <row r="7819" spans="1:5" x14ac:dyDescent="0.2">
      <c r="A7819">
        <v>7758</v>
      </c>
      <c r="B7819" s="1832">
        <f>'PCTC-OEPP 27-28'!F173</f>
        <v>43</v>
      </c>
      <c r="D7819" s="2" t="str">
        <f t="shared" si="128"/>
        <v>Error?</v>
      </c>
      <c r="E7819" s="4" t="s">
        <v>1977</v>
      </c>
    </row>
    <row r="7820" spans="1:5" x14ac:dyDescent="0.2">
      <c r="A7820">
        <v>7759</v>
      </c>
      <c r="B7820" s="1832">
        <f>'ICR Computation 30'!E40</f>
        <v>-224245</v>
      </c>
      <c r="D7820" s="2" t="str">
        <f t="shared" si="128"/>
        <v>Error?</v>
      </c>
    </row>
    <row r="7821" spans="1:5" x14ac:dyDescent="0.2">
      <c r="A7821">
        <v>7760</v>
      </c>
      <c r="B7821" s="1832">
        <f>'ICR Computation 30'!G40</f>
        <v>-224245</v>
      </c>
      <c r="D7821" s="2" t="str">
        <f t="shared" si="128"/>
        <v>Error?</v>
      </c>
    </row>
    <row r="7822" spans="1:5" x14ac:dyDescent="0.2">
      <c r="A7822" s="1">
        <v>7761</v>
      </c>
      <c r="B7822" s="1832">
        <f>'PCTC-OEPP 27-28'!F14</f>
        <v>9967354</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291464</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1748656</v>
      </c>
      <c r="D7834" s="2" t="str">
        <f t="shared" si="129"/>
        <v>Error?</v>
      </c>
      <c r="E7834" s="4" t="s">
        <v>1995</v>
      </c>
    </row>
    <row r="7835" spans="1:5" x14ac:dyDescent="0.2">
      <c r="A7835">
        <v>7774</v>
      </c>
      <c r="B7835" s="1832">
        <f>'PCTC-OEPP 27-28'!F78</f>
        <v>8218698</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8955.7567832625045</v>
      </c>
      <c r="D7837" s="2" t="str">
        <f t="shared" si="129"/>
        <v>Error?</v>
      </c>
      <c r="E7837" s="4" t="s">
        <v>1995</v>
      </c>
    </row>
    <row r="7838" spans="1:5" x14ac:dyDescent="0.2">
      <c r="A7838">
        <v>7777</v>
      </c>
      <c r="B7838" s="1832">
        <f>'PCTC-OEPP 27-28'!F96</f>
        <v>21482</v>
      </c>
      <c r="D7838" s="2" t="str">
        <f t="shared" si="129"/>
        <v>Error?</v>
      </c>
      <c r="E7838" s="4" t="s">
        <v>1995</v>
      </c>
    </row>
    <row r="7839" spans="1:5" x14ac:dyDescent="0.2">
      <c r="A7839">
        <v>7778</v>
      </c>
      <c r="B7839" s="1832">
        <f>'PCTC-OEPP 27-28'!F102</f>
        <v>380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16578</v>
      </c>
      <c r="D7841" s="2" t="str">
        <f t="shared" si="129"/>
        <v>Error?</v>
      </c>
      <c r="E7841" s="4" t="s">
        <v>1995</v>
      </c>
    </row>
    <row r="7842" spans="1:5" x14ac:dyDescent="0.2">
      <c r="A7842">
        <v>7781</v>
      </c>
      <c r="B7842" s="1832">
        <f>'PCTC-OEPP 27-28'!F106</f>
        <v>41760</v>
      </c>
      <c r="D7842" s="2" t="str">
        <f t="shared" si="129"/>
        <v>Error?</v>
      </c>
      <c r="E7842" s="4" t="s">
        <v>1995</v>
      </c>
    </row>
    <row r="7843" spans="1:5" x14ac:dyDescent="0.2">
      <c r="A7843">
        <v>7782</v>
      </c>
      <c r="B7843" s="1832">
        <f>'PCTC-OEPP 27-28'!F107</f>
        <v>10866</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7960</v>
      </c>
      <c r="D7846" s="2" t="str">
        <f t="shared" si="129"/>
        <v>Error?</v>
      </c>
      <c r="E7846" s="4" t="s">
        <v>1995</v>
      </c>
    </row>
    <row r="7847" spans="1:5" x14ac:dyDescent="0.2">
      <c r="A7847">
        <v>7786</v>
      </c>
      <c r="B7847" s="1832">
        <f>'PCTC-OEPP 27-28'!F112</f>
        <v>217707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49644</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19860</v>
      </c>
      <c r="D7857" s="2" t="str">
        <f t="shared" si="129"/>
        <v>Error?</v>
      </c>
      <c r="E7857" s="4" t="s">
        <v>1995</v>
      </c>
    </row>
    <row r="7858" spans="1:5" x14ac:dyDescent="0.2">
      <c r="A7858">
        <v>7797</v>
      </c>
      <c r="B7858" s="1832">
        <f>'PCTC-OEPP 27-28'!F126</f>
        <v>305081</v>
      </c>
      <c r="D7858" s="2" t="str">
        <f t="shared" si="129"/>
        <v>Error?</v>
      </c>
      <c r="E7858" s="4" t="s">
        <v>1995</v>
      </c>
    </row>
    <row r="7859" spans="1:5" x14ac:dyDescent="0.2">
      <c r="A7859">
        <v>7798</v>
      </c>
      <c r="B7859" s="1832">
        <f>'PCTC-OEPP 27-28'!F127</f>
        <v>448689</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228170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40434</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4836</v>
      </c>
      <c r="D7875" s="2" t="str">
        <f t="shared" si="129"/>
        <v>Error?</v>
      </c>
      <c r="E7875" s="4" t="s">
        <v>1995</v>
      </c>
    </row>
    <row r="7876" spans="1:5" x14ac:dyDescent="0.2">
      <c r="A7876">
        <v>7815</v>
      </c>
      <c r="B7876" s="1832">
        <f>'PCTC-OEPP 27-28'!F171</f>
        <v>1446</v>
      </c>
      <c r="D7876" s="2" t="str">
        <f t="shared" si="129"/>
        <v>Error?</v>
      </c>
      <c r="E7876" s="4" t="s">
        <v>1995</v>
      </c>
    </row>
    <row r="7877" spans="1:5" x14ac:dyDescent="0.2">
      <c r="A7877">
        <v>7816</v>
      </c>
      <c r="B7877" s="1832">
        <f>'PCTC-OEPP 27-28'!F175</f>
        <v>1821550</v>
      </c>
      <c r="D7877" s="2" t="str">
        <f t="shared" si="129"/>
        <v>Error?</v>
      </c>
      <c r="E7877" s="4" t="s">
        <v>1995</v>
      </c>
    </row>
    <row r="7878" spans="1:5" x14ac:dyDescent="0.2">
      <c r="A7878">
        <v>7817</v>
      </c>
      <c r="B7878" s="1832">
        <f>'PCTC-OEPP 27-28'!F176</f>
        <v>6397148</v>
      </c>
      <c r="D7878" s="2" t="str">
        <f t="shared" si="129"/>
        <v>Error?</v>
      </c>
      <c r="E7878" s="4" t="s">
        <v>1995</v>
      </c>
    </row>
    <row r="7879" spans="1:5" x14ac:dyDescent="0.2">
      <c r="A7879">
        <v>7818</v>
      </c>
      <c r="B7879" s="1832">
        <f>'PCTC-OEPP 27-28'!F178</f>
        <v>6866007</v>
      </c>
      <c r="D7879" s="2" t="str">
        <f t="shared" si="129"/>
        <v>Error?</v>
      </c>
      <c r="E7879" s="4" t="s">
        <v>1995</v>
      </c>
    </row>
    <row r="7880" spans="1:5" x14ac:dyDescent="0.2">
      <c r="A7880">
        <v>7819</v>
      </c>
      <c r="B7880" s="1832">
        <f>'PCTC-OEPP 27-28'!F180</f>
        <v>7481.7554756456357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220996</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7" sqref="A17:F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Abingdon-Avon CUSD 276</v>
      </c>
      <c r="B7" s="2516"/>
      <c r="C7" s="2516"/>
      <c r="D7" s="2554"/>
      <c r="E7" s="2555">
        <f>COVER!A13</f>
        <v>33048276026</v>
      </c>
      <c r="F7" s="2556"/>
      <c r="G7" s="2522" t="str">
        <f>COVER!T23</f>
        <v>066-005055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Ginoli &amp; Company Ltd</v>
      </c>
      <c r="H9" s="2529"/>
      <c r="I9" s="2529"/>
      <c r="J9" s="2529"/>
      <c r="K9" s="2529"/>
      <c r="L9" s="2530"/>
    </row>
    <row r="10" spans="1:29" ht="13.5" customHeight="1" x14ac:dyDescent="0.2">
      <c r="A10" s="2512" t="str">
        <f>COVER!A38</f>
        <v>Michael Curry</v>
      </c>
      <c r="B10" s="2513"/>
      <c r="C10" s="2513"/>
      <c r="D10" s="2513"/>
      <c r="E10" s="2513"/>
      <c r="F10" s="2514"/>
      <c r="G10" s="2528" t="str">
        <f>COVER!T17</f>
        <v>7625 N. University Street, Suite A</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mreinken@ginolicpa.com</v>
      </c>
      <c r="J13" s="2550"/>
      <c r="K13" s="2550"/>
      <c r="L13" s="2551"/>
    </row>
    <row r="14" spans="1:29" ht="13.5" customHeight="1" x14ac:dyDescent="0.2">
      <c r="A14" s="2528" t="str">
        <f>COVER!A19</f>
        <v>507 N Monroe Street, Ste #3</v>
      </c>
      <c r="B14" s="2541"/>
      <c r="C14" s="2541"/>
      <c r="D14" s="2541"/>
      <c r="E14" s="2541"/>
      <c r="F14" s="2542"/>
      <c r="G14" s="974" t="s">
        <v>1175</v>
      </c>
      <c r="H14" s="972"/>
      <c r="I14" s="972"/>
      <c r="J14" s="972"/>
      <c r="K14" s="972"/>
      <c r="L14" s="973"/>
    </row>
    <row r="15" spans="1:29" ht="13.5" customHeight="1" x14ac:dyDescent="0.2">
      <c r="A15" s="2528" t="str">
        <f>COVER!A21</f>
        <v>Abingdon</v>
      </c>
      <c r="B15" s="2541"/>
      <c r="C15" s="2541"/>
      <c r="D15" s="2541"/>
      <c r="E15" s="2541"/>
      <c r="F15" s="2542"/>
      <c r="G15" s="2538" t="str">
        <f>COVER!T15</f>
        <v>Mark D. Reinken</v>
      </c>
      <c r="H15" s="2539"/>
      <c r="I15" s="2539"/>
      <c r="J15" s="2539"/>
      <c r="K15" s="2539"/>
      <c r="L15" s="2540"/>
    </row>
    <row r="16" spans="1:29" ht="12.2" customHeight="1" x14ac:dyDescent="0.2">
      <c r="A16" s="2518" t="str">
        <f>COVER!A25</f>
        <v>61410-1285</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(309)671-2350</v>
      </c>
      <c r="H18" s="2516"/>
      <c r="I18" s="2516"/>
      <c r="J18" s="2516"/>
      <c r="K18" s="2515" t="str">
        <f>COVER!X21</f>
        <v>(309)671-5459</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32" sqref="X3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Abingdon-Avon CUSD 276</v>
      </c>
      <c r="B1" s="2558"/>
      <c r="C1" s="2558"/>
      <c r="D1" s="2558"/>
    </row>
    <row r="2" spans="1:11" s="991" customFormat="1" ht="12.75" x14ac:dyDescent="0.2">
      <c r="A2" s="2559">
        <f>'Single Audit Cover'!E7</f>
        <v>33048276026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 zoomScale="110" zoomScaleNormal="110" zoomScaleSheetLayoutView="100" workbookViewId="0">
      <selection activeCell="X32" sqref="X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Abingdon-Avon CUSD 276</v>
      </c>
      <c r="B1" s="2562"/>
      <c r="C1" s="2562"/>
      <c r="D1" s="2562"/>
      <c r="E1" s="2562"/>
    </row>
    <row r="2" spans="1:5" x14ac:dyDescent="0.2">
      <c r="A2" s="2563">
        <f>'Single Audit Cover'!E7</f>
        <v>33048276026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1055303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39921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-4836</v>
      </c>
    </row>
    <row r="19" spans="1:4" ht="13.5" thickBot="1" x14ac:dyDescent="0.25">
      <c r="A19" s="1041" t="s">
        <v>1224</v>
      </c>
      <c r="D19" s="1042">
        <f>SUM(D10:D17)</f>
        <v>1090388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1090388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1090388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I11" sqref="I11:I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Abingdon-Avon CUSD 276</v>
      </c>
      <c r="C1" s="2566"/>
      <c r="D1" s="2566"/>
      <c r="E1" s="2566"/>
      <c r="F1" s="2566"/>
      <c r="G1" s="2566"/>
      <c r="H1" s="2566"/>
      <c r="I1" s="2566"/>
      <c r="J1" s="2566"/>
      <c r="K1" s="2566"/>
      <c r="L1" s="2566"/>
      <c r="M1" s="2566"/>
    </row>
    <row r="2" spans="2:14" ht="15" x14ac:dyDescent="0.2">
      <c r="B2" s="2567">
        <f>'Single Audit Cover'!E7</f>
        <v>33048276026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2074</v>
      </c>
      <c r="C11" s="1821">
        <v>84.358000000000004</v>
      </c>
      <c r="D11" s="1822"/>
      <c r="E11" s="1823">
        <f>16657-1738</f>
        <v>14919</v>
      </c>
      <c r="F11" s="1823">
        <v>1738</v>
      </c>
      <c r="G11" s="1823">
        <v>14919</v>
      </c>
      <c r="H11" s="1823"/>
      <c r="I11" s="1823">
        <v>1738</v>
      </c>
      <c r="J11" s="1823"/>
      <c r="K11" s="1823"/>
      <c r="L11" s="1823">
        <f>+G11+I11+K11</f>
        <v>16657</v>
      </c>
      <c r="M11" s="1823"/>
    </row>
    <row r="12" spans="2:14" ht="20.100000000000001" customHeight="1" x14ac:dyDescent="0.2">
      <c r="B12" s="1113" t="s">
        <v>2074</v>
      </c>
      <c r="C12" s="1824">
        <v>84.358000000000004</v>
      </c>
      <c r="D12" s="1825"/>
      <c r="E12" s="1826"/>
      <c r="F12" s="1826">
        <v>18122</v>
      </c>
      <c r="G12" s="1826"/>
      <c r="H12" s="1826"/>
      <c r="I12" s="1826">
        <v>18122</v>
      </c>
      <c r="J12" s="1826"/>
      <c r="K12" s="1826"/>
      <c r="L12" s="1823">
        <f t="shared" ref="L12:L27" si="0">+G12+I12+K12</f>
        <v>18122</v>
      </c>
      <c r="M12" s="1826"/>
    </row>
    <row r="13" spans="2:14" ht="20.100000000000001" customHeight="1" x14ac:dyDescent="0.2">
      <c r="B13" s="1113" t="s">
        <v>2115</v>
      </c>
      <c r="C13" s="1824">
        <v>84.01</v>
      </c>
      <c r="D13" s="1825"/>
      <c r="E13" s="1826">
        <f>316640-35539</f>
        <v>281101</v>
      </c>
      <c r="F13" s="1826">
        <v>35539</v>
      </c>
      <c r="G13" s="1826">
        <v>281101</v>
      </c>
      <c r="H13" s="1826"/>
      <c r="I13" s="1826">
        <v>35539</v>
      </c>
      <c r="J13" s="1826"/>
      <c r="K13" s="1826"/>
      <c r="L13" s="1823">
        <f t="shared" ref="L13:L19" si="1">+G13+I13+K13</f>
        <v>316640</v>
      </c>
      <c r="M13" s="1826"/>
    </row>
    <row r="14" spans="2:14" ht="20.100000000000001" customHeight="1" x14ac:dyDescent="0.2">
      <c r="B14" s="1113" t="s">
        <v>2115</v>
      </c>
      <c r="C14" s="1824">
        <v>84.01</v>
      </c>
      <c r="D14" s="1825"/>
      <c r="E14" s="1826"/>
      <c r="F14" s="1826">
        <v>369909</v>
      </c>
      <c r="G14" s="1826"/>
      <c r="H14" s="1826"/>
      <c r="I14" s="1826">
        <v>369909</v>
      </c>
      <c r="J14" s="1826"/>
      <c r="K14" s="1826"/>
      <c r="L14" s="1823">
        <f t="shared" si="1"/>
        <v>369909</v>
      </c>
      <c r="M14" s="1826"/>
    </row>
    <row r="15" spans="2:14" ht="20.100000000000001" customHeight="1" x14ac:dyDescent="0.2">
      <c r="B15" s="1113" t="s">
        <v>2075</v>
      </c>
      <c r="C15" s="1824" t="s">
        <v>2076</v>
      </c>
      <c r="D15" s="1825"/>
      <c r="E15" s="1826"/>
      <c r="F15" s="1826">
        <v>13660</v>
      </c>
      <c r="G15" s="1826"/>
      <c r="H15" s="1826"/>
      <c r="I15" s="1826">
        <v>13660</v>
      </c>
      <c r="J15" s="1826"/>
      <c r="K15" s="1826"/>
      <c r="L15" s="1823">
        <f t="shared" si="1"/>
        <v>13660</v>
      </c>
      <c r="M15" s="1826"/>
    </row>
    <row r="16" spans="2:14" ht="20.100000000000001" customHeight="1" x14ac:dyDescent="0.2">
      <c r="B16" s="1113" t="s">
        <v>2075</v>
      </c>
      <c r="C16" s="1824" t="s">
        <v>2076</v>
      </c>
      <c r="D16" s="1825"/>
      <c r="E16" s="1826">
        <v>801</v>
      </c>
      <c r="F16" s="1826">
        <f>30382-801</f>
        <v>29581</v>
      </c>
      <c r="G16" s="1826">
        <v>801</v>
      </c>
      <c r="H16" s="1826"/>
      <c r="I16" s="1826">
        <v>29581</v>
      </c>
      <c r="J16" s="1826"/>
      <c r="K16" s="1826"/>
      <c r="L16" s="1823">
        <f t="shared" si="1"/>
        <v>30382</v>
      </c>
      <c r="M16" s="1826"/>
    </row>
    <row r="17" spans="2:14" ht="20.100000000000001" customHeight="1" x14ac:dyDescent="0.2">
      <c r="B17" s="1113" t="s">
        <v>2077</v>
      </c>
      <c r="C17" s="1824" t="s">
        <v>2078</v>
      </c>
      <c r="D17" s="1825"/>
      <c r="E17" s="1826">
        <f>33080-4750</f>
        <v>28330</v>
      </c>
      <c r="F17" s="1826">
        <v>4750</v>
      </c>
      <c r="G17" s="1826">
        <v>28330</v>
      </c>
      <c r="H17" s="1826"/>
      <c r="I17" s="1826">
        <v>4750</v>
      </c>
      <c r="J17" s="1826"/>
      <c r="K17" s="1826"/>
      <c r="L17" s="1823">
        <f t="shared" si="1"/>
        <v>33080</v>
      </c>
      <c r="M17" s="1826"/>
    </row>
    <row r="18" spans="2:14" ht="20.100000000000001" customHeight="1" x14ac:dyDescent="0.2">
      <c r="B18" s="1113" t="s">
        <v>2077</v>
      </c>
      <c r="C18" s="1824" t="s">
        <v>2078</v>
      </c>
      <c r="D18" s="1825"/>
      <c r="E18" s="1826"/>
      <c r="F18" s="1826">
        <f>37392-1708</f>
        <v>35684</v>
      </c>
      <c r="G18" s="1826"/>
      <c r="H18" s="1826"/>
      <c r="I18" s="1826">
        <v>35684</v>
      </c>
      <c r="J18" s="1826"/>
      <c r="K18" s="1826"/>
      <c r="L18" s="1823">
        <f t="shared" si="1"/>
        <v>35684</v>
      </c>
      <c r="M18" s="1826"/>
    </row>
    <row r="19" spans="2:14" ht="20.100000000000001" customHeight="1" x14ac:dyDescent="0.2">
      <c r="B19" s="1113" t="s">
        <v>2104</v>
      </c>
      <c r="C19" s="1824" t="s">
        <v>2105</v>
      </c>
      <c r="D19" s="1825"/>
      <c r="E19" s="1826"/>
      <c r="F19" s="1826">
        <v>1446</v>
      </c>
      <c r="G19" s="1826"/>
      <c r="H19" s="1826"/>
      <c r="I19" s="1826">
        <v>1446</v>
      </c>
      <c r="J19" s="1826"/>
      <c r="K19" s="1826"/>
      <c r="L19" s="1823">
        <f t="shared" si="1"/>
        <v>1446</v>
      </c>
      <c r="M19" s="1826"/>
    </row>
    <row r="20" spans="2:14" ht="20.100000000000001" customHeight="1" x14ac:dyDescent="0.2">
      <c r="B20" s="1113" t="s">
        <v>1049</v>
      </c>
      <c r="C20" s="1824">
        <v>10.555</v>
      </c>
      <c r="D20" s="1825"/>
      <c r="E20" s="1826"/>
      <c r="F20" s="1826">
        <v>167698</v>
      </c>
      <c r="G20" s="1826"/>
      <c r="H20" s="1826"/>
      <c r="I20" s="1826">
        <v>167698</v>
      </c>
      <c r="J20" s="1826"/>
      <c r="K20" s="1826"/>
      <c r="L20" s="1823">
        <f t="shared" si="0"/>
        <v>167698</v>
      </c>
      <c r="M20" s="1826"/>
    </row>
    <row r="21" spans="2:14" ht="20.100000000000001" customHeight="1" x14ac:dyDescent="0.2">
      <c r="B21" s="1113" t="s">
        <v>1050</v>
      </c>
      <c r="C21" s="1824">
        <v>10.553000000000001</v>
      </c>
      <c r="D21" s="1825"/>
      <c r="E21" s="1826"/>
      <c r="F21" s="1826">
        <v>61376</v>
      </c>
      <c r="G21" s="1826"/>
      <c r="H21" s="1826"/>
      <c r="I21" s="1826">
        <v>61376</v>
      </c>
      <c r="J21" s="1826"/>
      <c r="K21" s="1826"/>
      <c r="L21" s="1823">
        <f t="shared" si="0"/>
        <v>61376</v>
      </c>
      <c r="M21" s="1826"/>
    </row>
    <row r="22" spans="2:14" ht="20.100000000000001" customHeight="1" x14ac:dyDescent="0.2">
      <c r="B22" s="1113" t="s">
        <v>2073</v>
      </c>
      <c r="C22" s="1824">
        <v>10.558999999999999</v>
      </c>
      <c r="D22" s="1825"/>
      <c r="E22" s="1826"/>
      <c r="F22" s="1826">
        <v>76007</v>
      </c>
      <c r="G22" s="1826"/>
      <c r="H22" s="1826"/>
      <c r="I22" s="1826">
        <v>76007</v>
      </c>
      <c r="J22" s="1826"/>
      <c r="K22" s="1826"/>
      <c r="L22" s="1823">
        <f t="shared" si="0"/>
        <v>76007</v>
      </c>
      <c r="M22" s="1826"/>
    </row>
    <row r="23" spans="2:14" ht="20.100000000000001" customHeight="1" x14ac:dyDescent="0.2">
      <c r="B23" s="1113" t="s">
        <v>2103</v>
      </c>
      <c r="C23" s="1824" t="s">
        <v>2097</v>
      </c>
      <c r="D23" s="1825"/>
      <c r="E23" s="1826"/>
      <c r="F23" s="1826">
        <v>6787</v>
      </c>
      <c r="G23" s="1826"/>
      <c r="H23" s="1826"/>
      <c r="I23" s="1826">
        <v>6787</v>
      </c>
      <c r="J23" s="1826"/>
      <c r="K23" s="1826"/>
      <c r="L23" s="1823">
        <f t="shared" si="0"/>
        <v>6787</v>
      </c>
      <c r="M23" s="1826"/>
    </row>
    <row r="24" spans="2:14" ht="20.100000000000001" customHeight="1" x14ac:dyDescent="0.2">
      <c r="B24" s="1113" t="s">
        <v>2116</v>
      </c>
      <c r="C24" s="1824" t="s">
        <v>2097</v>
      </c>
      <c r="D24" s="1825"/>
      <c r="E24" s="1826"/>
      <c r="F24" s="1826">
        <v>228170</v>
      </c>
      <c r="G24" s="1826"/>
      <c r="H24" s="1826"/>
      <c r="I24" s="1826">
        <v>228170</v>
      </c>
      <c r="J24" s="1826"/>
      <c r="K24" s="1826"/>
      <c r="L24" s="1823">
        <f t="shared" si="0"/>
        <v>228170</v>
      </c>
      <c r="M24" s="1826"/>
    </row>
    <row r="25" spans="2:14" ht="20.100000000000001" customHeight="1" x14ac:dyDescent="0.2">
      <c r="B25" s="1113" t="s">
        <v>2072</v>
      </c>
      <c r="C25" s="1824">
        <v>10.565</v>
      </c>
      <c r="D25" s="1825"/>
      <c r="E25" s="1826"/>
      <c r="F25" s="1826">
        <v>39921</v>
      </c>
      <c r="G25" s="1826"/>
      <c r="H25" s="1826"/>
      <c r="I25" s="1826">
        <v>39921</v>
      </c>
      <c r="J25" s="1826"/>
      <c r="K25" s="1826"/>
      <c r="L25" s="1823">
        <f t="shared" si="0"/>
        <v>39921</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32" sqref="X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6"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Abingdon-Avon CUSD 276</v>
      </c>
      <c r="B1" s="2571"/>
      <c r="C1" s="2571"/>
      <c r="D1" s="2571"/>
      <c r="E1" s="2571"/>
      <c r="F1" s="2571"/>
    </row>
    <row r="2" spans="1:7" ht="13.5" customHeight="1" x14ac:dyDescent="0.2">
      <c r="A2" s="2567">
        <f>'Single Audit Cover'!E7</f>
        <v>33048276026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2117</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8.5" customHeight="1" x14ac:dyDescent="0.2">
      <c r="A13" s="2570" t="s">
        <v>2118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2079</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2119</v>
      </c>
      <c r="B32" s="2578"/>
      <c r="C32" s="2578"/>
      <c r="D32" s="2578"/>
      <c r="E32" s="2578"/>
      <c r="F32" s="2578"/>
    </row>
    <row r="33" spans="1:6" ht="13.5" customHeight="1" x14ac:dyDescent="0.2">
      <c r="A33" s="306" t="s">
        <v>1417</v>
      </c>
      <c r="B33" s="306"/>
      <c r="C33" s="1064">
        <v>39921</v>
      </c>
      <c r="D33" s="1526"/>
      <c r="E33" s="1062"/>
    </row>
    <row r="34" spans="1:6" ht="13.5" customHeight="1" x14ac:dyDescent="0.2">
      <c r="A34" s="306" t="s">
        <v>1808</v>
      </c>
      <c r="B34" s="306"/>
      <c r="C34" s="1065">
        <v>0</v>
      </c>
      <c r="D34" s="1526" t="s">
        <v>1572</v>
      </c>
      <c r="E34" s="2579">
        <f>+C33+C34</f>
        <v>39921</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t="s">
        <v>99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7" zoomScale="110" zoomScaleNormal="110" workbookViewId="0">
      <selection activeCell="E50" sqref="E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Abingdon-Avon CUSD 276</v>
      </c>
      <c r="C1" s="2587"/>
      <c r="D1" s="2587"/>
      <c r="E1" s="2587"/>
      <c r="F1" s="2587"/>
      <c r="G1" s="2587"/>
      <c r="H1" s="2587"/>
      <c r="I1" s="2587"/>
      <c r="J1" s="1178"/>
    </row>
    <row r="2" spans="2:10" s="295" customFormat="1" ht="12.75" customHeight="1" x14ac:dyDescent="0.2">
      <c r="B2" s="2588">
        <f>'Single Audit Cover'!E7</f>
        <v>33048276026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2081</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2048</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2080</v>
      </c>
      <c r="E29" s="2593"/>
      <c r="F29" s="2593"/>
      <c r="G29" s="2593"/>
      <c r="H29" s="2593"/>
      <c r="I29" s="259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2048</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4" t="s">
        <v>1725</v>
      </c>
      <c r="D37" s="2595"/>
      <c r="E37" s="2595"/>
      <c r="F37" s="2596"/>
      <c r="G37" s="2594" t="s">
        <v>1575</v>
      </c>
      <c r="H37" s="2595"/>
      <c r="I37" s="2596"/>
    </row>
    <row r="38" spans="2:9" ht="16.5" customHeight="1" x14ac:dyDescent="0.2">
      <c r="B38" s="1200">
        <v>84.01</v>
      </c>
      <c r="C38" s="2582" t="s">
        <v>2109</v>
      </c>
      <c r="D38" s="2583"/>
      <c r="E38" s="2583"/>
      <c r="F38" s="2584"/>
      <c r="G38" s="2597">
        <v>405448</v>
      </c>
      <c r="H38" s="2598"/>
      <c r="I38" s="2599"/>
    </row>
    <row r="39" spans="2:9" ht="16.5" customHeight="1" x14ac:dyDescent="0.2">
      <c r="B39" s="1200" t="s">
        <v>2097</v>
      </c>
      <c r="C39" s="2582" t="s">
        <v>2082</v>
      </c>
      <c r="D39" s="2583"/>
      <c r="E39" s="2583"/>
      <c r="F39" s="2584"/>
      <c r="G39" s="2585">
        <v>228170</v>
      </c>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633618</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1090388</v>
      </c>
      <c r="E45" s="2605"/>
    </row>
    <row r="46" spans="2:9" ht="5.25" customHeight="1" x14ac:dyDescent="0.2">
      <c r="B46" s="1201"/>
      <c r="D46" s="1202"/>
      <c r="E46" s="1203"/>
    </row>
    <row r="47" spans="2:9" ht="12.75" customHeight="1" x14ac:dyDescent="0.2">
      <c r="B47" s="1076" t="s">
        <v>1577</v>
      </c>
      <c r="C47" s="1076"/>
      <c r="D47" s="1204">
        <f>+G43/D45</f>
        <v>0.58109406926708662</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X32" sqref="X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Abingdon-Avon CUSD 276</v>
      </c>
      <c r="C1" s="2586"/>
      <c r="D1" s="2586"/>
      <c r="E1" s="2586"/>
      <c r="F1" s="2586"/>
      <c r="G1" s="2586"/>
      <c r="H1" s="2586"/>
      <c r="I1" s="2586"/>
      <c r="J1" s="2586"/>
      <c r="K1" s="2586"/>
      <c r="L1" s="1144"/>
      <c r="M1" s="1144"/>
    </row>
    <row r="2" spans="1:13" ht="12" customHeight="1" x14ac:dyDescent="0.2">
      <c r="B2" s="2588">
        <f>'Single Audit Cover'!E7</f>
        <v>33048276026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2014</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2083</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2084</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t="s">
        <v>2085</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2085</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2085</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2086</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t="s">
        <v>2087</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32" sqref="X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Abingdon-Avon CUSD 276</v>
      </c>
      <c r="C1" s="2613"/>
      <c r="D1" s="2613"/>
      <c r="E1" s="2613"/>
      <c r="F1" s="2613"/>
      <c r="G1" s="2613"/>
      <c r="H1" s="2613"/>
      <c r="I1" s="2613"/>
      <c r="J1" s="2613"/>
      <c r="K1" s="2613"/>
      <c r="L1" s="1221"/>
    </row>
    <row r="2" spans="1:12" ht="12.75" customHeight="1" x14ac:dyDescent="0.2">
      <c r="B2" s="2614">
        <f>'Single Audit Cover'!E7</f>
        <v>33048276026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32" sqref="X3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Abingdon-Avon CUSD 276</v>
      </c>
      <c r="C1" s="2586"/>
      <c r="D1" s="2586"/>
      <c r="E1" s="1240"/>
    </row>
    <row r="2" spans="2:5" s="1058" customFormat="1" ht="12.75" customHeight="1" x14ac:dyDescent="0.2">
      <c r="B2" s="2588">
        <f>'Single Audit Cover'!E7</f>
        <v>33048276026</v>
      </c>
      <c r="C2" s="2588"/>
      <c r="D2" s="2588"/>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2079</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2065</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2066</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2106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X77" sqref="X7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102605518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3.2500000000000001E-2</v>
      </c>
      <c r="E10" s="333" t="s">
        <v>998</v>
      </c>
      <c r="F10" s="332">
        <v>5.0000000000000001E-3</v>
      </c>
      <c r="G10" s="333" t="s">
        <v>998</v>
      </c>
      <c r="H10" s="332">
        <v>4.4999999999999997E-3</v>
      </c>
      <c r="I10" s="333" t="s">
        <v>999</v>
      </c>
      <c r="J10" s="1424">
        <f>ROUND(D10+F10+H10,5)</f>
        <v>4.2000000000000003E-2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10608410</v>
      </c>
      <c r="E16" s="1547"/>
      <c r="F16" s="1546">
        <f>SUM('Acct Summary 7-8'!C17,'Acct Summary 7-8'!D17,'Acct Summary 7-8'!F17)</f>
        <v>9224182</v>
      </c>
      <c r="G16" s="1547"/>
      <c r="H16" s="1546">
        <f>SUM(D16-F16)</f>
        <v>1384228</v>
      </c>
      <c r="I16" s="1548"/>
      <c r="J16" s="1546">
        <f>SUM('Acct Summary 7-8'!C81,'Acct Summary 7-8'!D81,'Acct Summary 7-8'!F81,'Acct Summary 7-8'!I81)</f>
        <v>13793468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14159561.484000001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1377400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X32" sqref="X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Abingdon-Avon CUSD 276</v>
      </c>
      <c r="E7" s="368"/>
      <c r="G7" s="247"/>
      <c r="H7" s="364"/>
      <c r="I7" s="364"/>
      <c r="J7" s="364"/>
      <c r="K7" s="364"/>
      <c r="L7" s="307"/>
      <c r="M7" s="307"/>
      <c r="N7" s="307"/>
      <c r="O7" s="307"/>
      <c r="P7" s="307"/>
    </row>
    <row r="8" spans="1:18" ht="12.75" x14ac:dyDescent="0.2">
      <c r="A8" s="307"/>
      <c r="B8" s="307"/>
      <c r="C8" s="366" t="s">
        <v>1115</v>
      </c>
      <c r="D8" s="369">
        <f>COVER!A13</f>
        <v>33048276026</v>
      </c>
      <c r="E8" s="370"/>
      <c r="G8" s="307"/>
      <c r="H8" s="307"/>
      <c r="I8" s="307"/>
      <c r="J8" s="307"/>
      <c r="K8" s="307"/>
      <c r="L8" s="307"/>
      <c r="M8" s="307"/>
      <c r="N8" s="307"/>
      <c r="O8" s="307"/>
      <c r="P8" s="307"/>
    </row>
    <row r="9" spans="1:18" ht="12.75" x14ac:dyDescent="0.2">
      <c r="A9" s="307"/>
      <c r="B9" s="307"/>
      <c r="C9" s="366" t="s">
        <v>708</v>
      </c>
      <c r="D9" s="371" t="str">
        <f>COVER!A15</f>
        <v>Fulton, Knox, and 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13793468</v>
      </c>
      <c r="I12" s="380"/>
      <c r="J12" s="380"/>
      <c r="K12" s="1559">
        <f>TRUNC((H12/H13*100000),5)/100000</f>
        <v>1.3002389612999998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10608410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9224182</v>
      </c>
      <c r="I17" s="380"/>
      <c r="J17" s="389"/>
      <c r="K17" s="1559">
        <f>TRUNC((H17/H18*100000),5)/100000</f>
        <v>0.86951597829999994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10608410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13732493</v>
      </c>
      <c r="I24" s="394"/>
      <c r="J24" s="394"/>
      <c r="K24" s="1555">
        <f>TRUNC(((H24/H25*100000)/100000),2)</f>
        <v>535.94000000000005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25622.727780000001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3663016.9926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1377400</v>
      </c>
      <c r="I32" s="392"/>
      <c r="J32" s="392"/>
      <c r="K32" s="1555">
        <f>TRUNC(100-((((H32/H33*100))*100)/100),2)</f>
        <v>90.27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14159561.484000001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5" activePane="bottomLeft" state="frozen"/>
      <selection activeCell="X32" sqref="X32"/>
      <selection pane="bottomLeft" activeCell="H40" sqref="H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4060129+6025+2379725</f>
        <v>6445879</v>
      </c>
      <c r="D4" s="1573">
        <f>1426667+1-7080</f>
        <v>1419588</v>
      </c>
      <c r="E4" s="1573">
        <v>12894</v>
      </c>
      <c r="F4" s="1573">
        <f>1038499+135106+1</f>
        <v>1173606</v>
      </c>
      <c r="G4" s="1573">
        <f>557808+7080</f>
        <v>564888</v>
      </c>
      <c r="H4" s="1573">
        <v>190638</v>
      </c>
      <c r="I4" s="1573">
        <f>1055768-773200</f>
        <v>282568</v>
      </c>
      <c r="J4" s="1574">
        <f>415151+1</f>
        <v>415152</v>
      </c>
      <c r="K4" s="1573">
        <f>184643-1</f>
        <v>184642</v>
      </c>
      <c r="L4" s="1573">
        <v>165376</v>
      </c>
      <c r="M4" s="1575"/>
      <c r="N4" s="1576"/>
    </row>
    <row r="5" spans="1:14" x14ac:dyDescent="0.2">
      <c r="A5" s="427" t="s">
        <v>985</v>
      </c>
      <c r="B5" s="429">
        <v>120</v>
      </c>
      <c r="C5" s="1572">
        <f>630122+2500000+6275</f>
        <v>3136397</v>
      </c>
      <c r="D5" s="1573"/>
      <c r="E5" s="1573"/>
      <c r="F5" s="1573">
        <v>501255</v>
      </c>
      <c r="G5" s="1573"/>
      <c r="H5" s="1573"/>
      <c r="I5" s="1573">
        <v>773200</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60955</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9643231</v>
      </c>
      <c r="D13" s="1587">
        <f t="shared" ref="D13:L13" si="0">SUM(D4:D12)</f>
        <v>1419588</v>
      </c>
      <c r="E13" s="1587">
        <f t="shared" si="0"/>
        <v>12894</v>
      </c>
      <c r="F13" s="1587">
        <f t="shared" si="0"/>
        <v>1674861</v>
      </c>
      <c r="G13" s="1587">
        <f t="shared" si="0"/>
        <v>564888</v>
      </c>
      <c r="H13" s="1587">
        <f t="shared" si="0"/>
        <v>190638</v>
      </c>
      <c r="I13" s="1587">
        <f t="shared" si="0"/>
        <v>1055768</v>
      </c>
      <c r="J13" s="1587">
        <f t="shared" si="0"/>
        <v>415152</v>
      </c>
      <c r="K13" s="1587">
        <f t="shared" si="0"/>
        <v>184642</v>
      </c>
      <c r="L13" s="1587">
        <f t="shared" si="0"/>
        <v>165376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48351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9208011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429372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1197744+264839+295470+43839+773009</f>
        <v>2574901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12894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1364506</v>
      </c>
    </row>
    <row r="23" spans="1:14" ht="13.5" customHeight="1" thickBot="1" x14ac:dyDescent="0.25">
      <c r="A23" s="1426" t="s">
        <v>638</v>
      </c>
      <c r="B23" s="1429"/>
      <c r="C23" s="1575"/>
      <c r="D23" s="1575"/>
      <c r="E23" s="1575"/>
      <c r="F23" s="1575"/>
      <c r="G23" s="1575"/>
      <c r="H23" s="1575"/>
      <c r="I23" s="1575"/>
      <c r="J23" s="1575"/>
      <c r="K23" s="1575"/>
      <c r="L23" s="1575"/>
      <c r="M23" s="1594">
        <f>SUM(M15:M22)</f>
        <v>12260635</v>
      </c>
      <c r="N23" s="1594">
        <f>SUM(N21:N22)</f>
        <v>1377400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f>405-425</f>
        <v>-20</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165376</v>
      </c>
      <c r="M33" s="1575"/>
      <c r="N33" s="1576"/>
    </row>
    <row r="34" spans="1:14" ht="13.5" customHeight="1" thickBot="1" x14ac:dyDescent="0.25">
      <c r="A34" s="1427" t="s">
        <v>649</v>
      </c>
      <c r="B34" s="1428"/>
      <c r="C34" s="1600">
        <f>SUM(C25:C33)</f>
        <v>-20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165376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1377400</v>
      </c>
    </row>
    <row r="37" spans="1:14" ht="13.5" thickBot="1" x14ac:dyDescent="0.25">
      <c r="A37" s="1426" t="s">
        <v>648</v>
      </c>
      <c r="B37" s="1429"/>
      <c r="C37" s="1582"/>
      <c r="D37" s="1582"/>
      <c r="E37" s="1582"/>
      <c r="F37" s="1582"/>
      <c r="G37" s="1582"/>
      <c r="H37" s="1582"/>
      <c r="I37" s="1582"/>
      <c r="J37" s="1582"/>
      <c r="K37" s="1582"/>
      <c r="L37" s="1585"/>
      <c r="M37" s="1575"/>
      <c r="N37" s="1594">
        <f>SUM(N36:N36)</f>
        <v>1377400</v>
      </c>
    </row>
    <row r="38" spans="1:14" s="307" customFormat="1" ht="13.5" customHeight="1" thickTop="1" x14ac:dyDescent="0.2">
      <c r="A38" s="438" t="s">
        <v>417</v>
      </c>
      <c r="B38" s="432">
        <v>714</v>
      </c>
      <c r="C38" s="1573"/>
      <c r="D38" s="1573"/>
      <c r="E38" s="1573"/>
      <c r="F38" s="1573"/>
      <c r="G38" s="1573"/>
      <c r="H38" s="1573">
        <v>190638</v>
      </c>
      <c r="I38" s="1573"/>
      <c r="J38" s="1574"/>
      <c r="K38" s="1573"/>
      <c r="L38" s="1586"/>
      <c r="M38" s="1604"/>
      <c r="N38" s="1604"/>
    </row>
    <row r="39" spans="1:14" s="307" customFormat="1" ht="13.5" customHeight="1" x14ac:dyDescent="0.2">
      <c r="A39" s="438" t="s">
        <v>339</v>
      </c>
      <c r="B39" s="432">
        <v>730</v>
      </c>
      <c r="C39" s="1573">
        <v>9643251</v>
      </c>
      <c r="D39" s="1573">
        <v>1419588</v>
      </c>
      <c r="E39" s="1573">
        <v>12894</v>
      </c>
      <c r="F39" s="1573">
        <v>1674861</v>
      </c>
      <c r="G39" s="1573">
        <f>557808+7080</f>
        <v>564888</v>
      </c>
      <c r="H39" s="1573">
        <v>0</v>
      </c>
      <c r="I39" s="1573">
        <v>1055768</v>
      </c>
      <c r="J39" s="1574">
        <v>415152</v>
      </c>
      <c r="K39" s="1573">
        <v>184642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12260635</v>
      </c>
      <c r="N40" s="1604"/>
    </row>
    <row r="41" spans="1:14" ht="13.5" customHeight="1" thickBot="1" x14ac:dyDescent="0.25">
      <c r="A41" s="1426" t="s">
        <v>650</v>
      </c>
      <c r="B41" s="1405"/>
      <c r="C41" s="1594">
        <f>(SUM(C34,C37,C38,C39))</f>
        <v>9643231</v>
      </c>
      <c r="D41" s="1594">
        <f t="shared" ref="D41:L41" si="2">SUM(D34,D37,D38:D39)</f>
        <v>1419588</v>
      </c>
      <c r="E41" s="1594">
        <f t="shared" si="2"/>
        <v>12894</v>
      </c>
      <c r="F41" s="1594">
        <f t="shared" si="2"/>
        <v>1674861</v>
      </c>
      <c r="G41" s="1594">
        <f t="shared" si="2"/>
        <v>564888</v>
      </c>
      <c r="H41" s="1594">
        <f t="shared" si="2"/>
        <v>190638</v>
      </c>
      <c r="I41" s="1594">
        <f t="shared" si="2"/>
        <v>1055768</v>
      </c>
      <c r="J41" s="1594">
        <f t="shared" si="2"/>
        <v>415152</v>
      </c>
      <c r="K41" s="1594">
        <f t="shared" si="2"/>
        <v>184642</v>
      </c>
      <c r="L41" s="1594">
        <f t="shared" si="2"/>
        <v>165376</v>
      </c>
      <c r="M41" s="1594">
        <f>SUM(M40)</f>
        <v>12260635</v>
      </c>
      <c r="N41" s="1594">
        <f>SUM(N37)</f>
        <v>1377400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&amp;F&amp;CNotes to the financial statements are an integral part of this statement.</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X32" sqref="X32"/>
      <selection pane="bottomLeft" activeCell="X32" sqref="X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3920147</v>
      </c>
      <c r="D4" s="1606">
        <f>'Revenues 9-14'!D109</f>
        <v>676465</v>
      </c>
      <c r="E4" s="1606">
        <f>'Revenues 9-14'!E109</f>
        <v>176473</v>
      </c>
      <c r="F4" s="1606">
        <f>'Revenues 9-14'!F109</f>
        <v>490675</v>
      </c>
      <c r="G4" s="1606">
        <f>'Revenues 9-14'!G109</f>
        <v>218534</v>
      </c>
      <c r="H4" s="1606">
        <f>'Revenues 9-14'!H109</f>
        <v>532163</v>
      </c>
      <c r="I4" s="1606">
        <f>'Revenues 9-14'!I109</f>
        <v>72391</v>
      </c>
      <c r="J4" s="1606">
        <f>'Revenues 9-14'!J109</f>
        <v>339083</v>
      </c>
      <c r="K4" s="1606">
        <f>'Revenues 9-14'!K109</f>
        <v>58093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4150722</v>
      </c>
      <c r="D6" s="1607">
        <f>'Revenues 9-14'!D170</f>
        <v>25000</v>
      </c>
      <c r="E6" s="1607">
        <f>'Revenues 9-14'!E170</f>
        <v>0</v>
      </c>
      <c r="F6" s="1607">
        <f>'Revenues 9-14'!F170</f>
        <v>217707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1055303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9126172</v>
      </c>
      <c r="D8" s="1594">
        <f t="shared" ref="D8:K8" si="0">SUM(D4:D7)</f>
        <v>701465</v>
      </c>
      <c r="E8" s="1594">
        <f t="shared" si="0"/>
        <v>176473</v>
      </c>
      <c r="F8" s="1594">
        <f t="shared" si="0"/>
        <v>708382</v>
      </c>
      <c r="G8" s="1594">
        <f t="shared" si="0"/>
        <v>218534</v>
      </c>
      <c r="H8" s="1594">
        <f t="shared" si="0"/>
        <v>532163</v>
      </c>
      <c r="I8" s="1594">
        <f t="shared" si="0"/>
        <v>72391</v>
      </c>
      <c r="J8" s="1594">
        <f t="shared" si="0"/>
        <v>339083</v>
      </c>
      <c r="K8" s="1594">
        <f t="shared" si="0"/>
        <v>58093</v>
      </c>
      <c r="L8" s="325"/>
    </row>
    <row r="9" spans="1:13" ht="15.75" thickTop="1" x14ac:dyDescent="0.2">
      <c r="A9" s="449" t="s">
        <v>1634</v>
      </c>
      <c r="B9" s="450">
        <v>3998</v>
      </c>
      <c r="C9" s="1586">
        <f>3105207+53678</f>
        <v>3158885</v>
      </c>
      <c r="D9" s="1613"/>
      <c r="E9" s="1586"/>
      <c r="F9" s="1586"/>
      <c r="G9" s="1614"/>
      <c r="H9" s="1586"/>
      <c r="I9" s="1609" t="s">
        <v>1159</v>
      </c>
      <c r="J9" s="1583"/>
      <c r="K9" s="1586"/>
      <c r="L9" s="325"/>
    </row>
    <row r="10" spans="1:13" s="452" customFormat="1" ht="13.5" thickBot="1" x14ac:dyDescent="0.25">
      <c r="A10" s="1426" t="s">
        <v>1163</v>
      </c>
      <c r="B10" s="1407"/>
      <c r="C10" s="1594">
        <f>SUM(C8:C9)</f>
        <v>12285057</v>
      </c>
      <c r="D10" s="1594">
        <f t="shared" ref="D10:K10" si="1">SUM(D8:D9)</f>
        <v>701465</v>
      </c>
      <c r="E10" s="1594">
        <f t="shared" si="1"/>
        <v>176473</v>
      </c>
      <c r="F10" s="1594">
        <f t="shared" si="1"/>
        <v>708382</v>
      </c>
      <c r="G10" s="1594">
        <f t="shared" si="1"/>
        <v>218534</v>
      </c>
      <c r="H10" s="1594">
        <f t="shared" si="1"/>
        <v>532163</v>
      </c>
      <c r="I10" s="1594">
        <f t="shared" si="1"/>
        <v>72391</v>
      </c>
      <c r="J10" s="1594">
        <f t="shared" si="1"/>
        <v>339083</v>
      </c>
      <c r="K10" s="1594">
        <f t="shared" si="1"/>
        <v>58093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4952405</v>
      </c>
      <c r="D12" s="1616" t="s">
        <v>1159</v>
      </c>
      <c r="E12" s="1575" t="s">
        <v>1159</v>
      </c>
      <c r="F12" s="1575" t="s">
        <v>1159</v>
      </c>
      <c r="G12" s="1606">
        <f>'Expenditures 15-22'!K229</f>
        <v>77433</v>
      </c>
      <c r="H12" s="1617"/>
      <c r="I12" s="1575" t="s">
        <v>1159</v>
      </c>
      <c r="J12" s="1575" t="s">
        <v>1159</v>
      </c>
      <c r="K12" s="1617" t="s">
        <v>1159</v>
      </c>
      <c r="L12" s="325"/>
    </row>
    <row r="13" spans="1:13" ht="15.75" customHeight="1" x14ac:dyDescent="0.2">
      <c r="A13" s="1314" t="s">
        <v>454</v>
      </c>
      <c r="B13" s="1316">
        <v>2000</v>
      </c>
      <c r="C13" s="1607">
        <f>'Expenditures 15-22'!K74</f>
        <v>2420468</v>
      </c>
      <c r="D13" s="1607">
        <f>'Expenditures 15-22'!K129</f>
        <v>377485</v>
      </c>
      <c r="E13" s="1576" t="s">
        <v>1159</v>
      </c>
      <c r="F13" s="1607">
        <f>'Expenditures 15-22'!K184</f>
        <v>527841</v>
      </c>
      <c r="G13" s="1607">
        <f>'Expenditures 15-22'!K279</f>
        <v>113645</v>
      </c>
      <c r="H13" s="1607">
        <f>'Expenditures 15-22'!K303</f>
        <v>448915</v>
      </c>
      <c r="I13" s="1575" t="s">
        <v>1159</v>
      </c>
      <c r="J13" s="1607">
        <f>'Expenditures 15-22'!K330</f>
        <v>379992</v>
      </c>
      <c r="K13" s="1618">
        <f>'Expenditures 15-22'!K352</f>
        <v>1840239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945983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172102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8318856</v>
      </c>
      <c r="D17" s="1594">
        <f t="shared" si="2"/>
        <v>377485</v>
      </c>
      <c r="E17" s="1594">
        <f t="shared" si="2"/>
        <v>172102</v>
      </c>
      <c r="F17" s="1594">
        <f t="shared" si="2"/>
        <v>527841</v>
      </c>
      <c r="G17" s="1594">
        <f t="shared" si="2"/>
        <v>191078</v>
      </c>
      <c r="H17" s="1594">
        <f t="shared" si="2"/>
        <v>448915</v>
      </c>
      <c r="I17" s="1575"/>
      <c r="J17" s="1594">
        <f>SUM(J12:J16)</f>
        <v>379992</v>
      </c>
      <c r="K17" s="1594">
        <f>SUM(K12:K16)</f>
        <v>1840239</v>
      </c>
      <c r="L17" s="325"/>
    </row>
    <row r="18" spans="1:12" ht="15" customHeight="1" thickTop="1" x14ac:dyDescent="0.2">
      <c r="A18" s="1430" t="s">
        <v>1635</v>
      </c>
      <c r="B18" s="1431">
        <v>4180</v>
      </c>
      <c r="C18" s="1606">
        <f t="shared" ref="C18:H18" si="3">C9</f>
        <v>3158885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11477741</v>
      </c>
      <c r="D19" s="1594">
        <f t="shared" si="4"/>
        <v>377485</v>
      </c>
      <c r="E19" s="1594">
        <f t="shared" si="4"/>
        <v>172102</v>
      </c>
      <c r="F19" s="1594">
        <f t="shared" si="4"/>
        <v>527841</v>
      </c>
      <c r="G19" s="1594">
        <f t="shared" si="4"/>
        <v>191078</v>
      </c>
      <c r="H19" s="1594">
        <f t="shared" si="4"/>
        <v>448915</v>
      </c>
      <c r="I19" s="1575"/>
      <c r="J19" s="1594">
        <f>SUM(J17:J18)</f>
        <v>379992</v>
      </c>
      <c r="K19" s="1594">
        <f>SUM(K17:K18)</f>
        <v>1840239</v>
      </c>
      <c r="L19" s="325"/>
    </row>
    <row r="20" spans="1:12" ht="16.5" thickTop="1" thickBot="1" x14ac:dyDescent="0.25">
      <c r="A20" s="2231" t="s">
        <v>1636</v>
      </c>
      <c r="B20" s="2232"/>
      <c r="C20" s="1622">
        <f>C8-C17</f>
        <v>807316</v>
      </c>
      <c r="D20" s="1622">
        <f t="shared" ref="D20:K20" si="5">D8-D17</f>
        <v>323980</v>
      </c>
      <c r="E20" s="1622">
        <f t="shared" si="5"/>
        <v>4371</v>
      </c>
      <c r="F20" s="1622">
        <f t="shared" si="5"/>
        <v>180541</v>
      </c>
      <c r="G20" s="1622">
        <f t="shared" si="5"/>
        <v>27456</v>
      </c>
      <c r="H20" s="1622">
        <f t="shared" si="5"/>
        <v>83248</v>
      </c>
      <c r="I20" s="1622">
        <f t="shared" si="5"/>
        <v>72391</v>
      </c>
      <c r="J20" s="1622">
        <f t="shared" si="5"/>
        <v>-40909</v>
      </c>
      <c r="K20" s="1622">
        <f t="shared" si="5"/>
        <v>-1782146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807316</v>
      </c>
      <c r="D78" s="1629">
        <f t="shared" si="9"/>
        <v>323980</v>
      </c>
      <c r="E78" s="1629">
        <f t="shared" si="9"/>
        <v>4371</v>
      </c>
      <c r="F78" s="1629">
        <f t="shared" si="9"/>
        <v>180541</v>
      </c>
      <c r="G78" s="1629">
        <f t="shared" si="9"/>
        <v>27456</v>
      </c>
      <c r="H78" s="1629">
        <f t="shared" si="9"/>
        <v>83248</v>
      </c>
      <c r="I78" s="1629">
        <f t="shared" si="9"/>
        <v>72391</v>
      </c>
      <c r="J78" s="1629">
        <f t="shared" si="9"/>
        <v>-40909</v>
      </c>
      <c r="K78" s="1629">
        <f t="shared" si="9"/>
        <v>-1782146</v>
      </c>
      <c r="L78" s="457"/>
    </row>
    <row r="79" spans="1:12" ht="13.5" thickTop="1" x14ac:dyDescent="0.2">
      <c r="A79" s="1844" t="str">
        <f>"Fund Balances - July 1, "&amp;'AFR20'!E2-1</f>
        <v>Fund Balances - July 1, 2019</v>
      </c>
      <c r="B79" s="458"/>
      <c r="C79" s="1583">
        <f>9624643-788708</f>
        <v>8835935</v>
      </c>
      <c r="D79" s="1630">
        <f>1154756-59149+1</f>
        <v>1095608</v>
      </c>
      <c r="E79" s="1630">
        <f>501507-492984</f>
        <v>8523</v>
      </c>
      <c r="F79" s="1630">
        <f>1486390+7929+1</f>
        <v>1494320</v>
      </c>
      <c r="G79" s="1630">
        <f>569394-31962</f>
        <v>537432</v>
      </c>
      <c r="H79" s="1630">
        <f>3+107387</f>
        <v>107390</v>
      </c>
      <c r="I79" s="1630">
        <f>950578+32799</f>
        <v>983377</v>
      </c>
      <c r="J79" s="1630">
        <f>468981-12921+1</f>
        <v>456061</v>
      </c>
      <c r="K79" s="1630">
        <f>483086+1483703-1</f>
        <v>1966788</v>
      </c>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9643251</v>
      </c>
      <c r="D81" s="1594">
        <f>SUM(D78:D80)</f>
        <v>1419588</v>
      </c>
      <c r="E81" s="1594">
        <f t="shared" ref="E81:K81" si="10">SUM(E78:E80)</f>
        <v>12894</v>
      </c>
      <c r="F81" s="1594">
        <f t="shared" si="10"/>
        <v>1674861</v>
      </c>
      <c r="G81" s="1594">
        <f t="shared" si="10"/>
        <v>564888</v>
      </c>
      <c r="H81" s="1594">
        <f t="shared" si="10"/>
        <v>190638</v>
      </c>
      <c r="I81" s="1594">
        <f t="shared" si="10"/>
        <v>1055768</v>
      </c>
      <c r="J81" s="1594">
        <f t="shared" si="10"/>
        <v>415152</v>
      </c>
      <c r="K81" s="1594">
        <f t="shared" si="10"/>
        <v>184642</v>
      </c>
      <c r="L81" s="325"/>
    </row>
    <row r="82" spans="1:12" ht="0.75" customHeight="1" thickTop="1" thickBot="1" x14ac:dyDescent="0.25">
      <c r="A82" s="459" t="s">
        <v>340</v>
      </c>
      <c r="B82" s="460"/>
      <c r="C82" s="461">
        <f>(C81-C79)</f>
        <v>807316</v>
      </c>
      <c r="D82" s="461">
        <f t="shared" ref="D82:K82" si="11">(D81-D79)</f>
        <v>323980</v>
      </c>
      <c r="E82" s="461">
        <f t="shared" si="11"/>
        <v>4371</v>
      </c>
      <c r="F82" s="461">
        <f t="shared" si="11"/>
        <v>180541</v>
      </c>
      <c r="G82" s="461">
        <f t="shared" si="11"/>
        <v>27456</v>
      </c>
      <c r="H82" s="461">
        <f t="shared" si="11"/>
        <v>83248</v>
      </c>
      <c r="I82" s="461">
        <f t="shared" si="11"/>
        <v>72391</v>
      </c>
      <c r="J82" s="461">
        <f t="shared" si="11"/>
        <v>-40909</v>
      </c>
      <c r="K82" s="461">
        <f t="shared" si="11"/>
        <v>-1782146</v>
      </c>
    </row>
    <row r="83" spans="1:12" ht="14.25" hidden="1" thickTop="1" thickBot="1" x14ac:dyDescent="0.25">
      <c r="A83" s="462" t="s">
        <v>341</v>
      </c>
      <c r="B83" s="428"/>
      <c r="C83" s="463">
        <f>C82/C81</f>
        <v>8.3718239834263367E-2</v>
      </c>
      <c r="D83" s="463">
        <f t="shared" ref="D83:K83" si="12">D82/D81</f>
        <v>0.22822114585358569</v>
      </c>
      <c r="E83" s="463">
        <f t="shared" si="12"/>
        <v>0.33899488134015821</v>
      </c>
      <c r="F83" s="463">
        <f t="shared" si="12"/>
        <v>0.10779461698612601</v>
      </c>
      <c r="G83" s="463">
        <f t="shared" si="12"/>
        <v>4.8604325105153591E-2</v>
      </c>
      <c r="H83" s="463">
        <f t="shared" si="12"/>
        <v>0.43668103945698128</v>
      </c>
      <c r="I83" s="463">
        <f t="shared" si="12"/>
        <v>6.8567147327822028E-2</v>
      </c>
      <c r="J83" s="463">
        <f t="shared" si="12"/>
        <v>-9.8539811924307247E-2</v>
      </c>
      <c r="K83" s="463">
        <f t="shared" si="12"/>
        <v>-9.6518993511768727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&amp;F&amp;CNotes to the financial statements are an integral part of this statement.</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X32" sqref="X32"/>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f>3081966+246910-2486+617-862</f>
        <v>3326145</v>
      </c>
      <c r="D5" s="1586">
        <f>474341+37986+68</f>
        <v>512395</v>
      </c>
      <c r="E5" s="1573">
        <f>162989+12798+23+10</f>
        <v>175820</v>
      </c>
      <c r="F5" s="1631">
        <f>426907+34187+61</f>
        <v>461155</v>
      </c>
      <c r="G5" s="1573">
        <f>24534+2221+4</f>
        <v>26759</v>
      </c>
      <c r="H5" s="1573"/>
      <c r="I5" s="1573">
        <f>47434+3798+7</f>
        <v>51239</v>
      </c>
      <c r="J5" s="1574">
        <f>311320+24064+43</f>
        <v>335427</v>
      </c>
      <c r="K5" s="1573">
        <f>47434+3798+7</f>
        <v>51239</v>
      </c>
    </row>
    <row r="6" spans="1:12" ht="15" x14ac:dyDescent="0.2">
      <c r="A6" s="427" t="s">
        <v>1643</v>
      </c>
      <c r="B6" s="429">
        <v>1130</v>
      </c>
      <c r="C6" s="1573">
        <v>51241</v>
      </c>
      <c r="D6" s="1573"/>
      <c r="E6" s="1580"/>
      <c r="F6" s="1580"/>
      <c r="G6" s="1575"/>
      <c r="H6" s="1575"/>
      <c r="I6" s="1575"/>
      <c r="J6" s="1575"/>
      <c r="K6" s="1575"/>
    </row>
    <row r="7" spans="1:12" x14ac:dyDescent="0.2">
      <c r="A7" s="427" t="s">
        <v>110</v>
      </c>
      <c r="B7" s="471">
        <v>1140</v>
      </c>
      <c r="C7" s="1573">
        <v>40988</v>
      </c>
      <c r="D7" s="1573"/>
      <c r="E7" s="1575"/>
      <c r="F7" s="1574"/>
      <c r="G7" s="1574"/>
      <c r="H7" s="1574"/>
      <c r="I7" s="1575"/>
      <c r="J7" s="1575"/>
      <c r="K7" s="1575"/>
    </row>
    <row r="8" spans="1:12" x14ac:dyDescent="0.2">
      <c r="A8" s="427" t="s">
        <v>410</v>
      </c>
      <c r="B8" s="429">
        <v>1150</v>
      </c>
      <c r="C8" s="1580"/>
      <c r="D8" s="1580"/>
      <c r="E8" s="1582"/>
      <c r="F8" s="1582"/>
      <c r="G8" s="1586">
        <f>165107+14068+25</f>
        <v>179200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3418374</v>
      </c>
      <c r="D12" s="1633">
        <f t="shared" si="0"/>
        <v>512395</v>
      </c>
      <c r="E12" s="1633">
        <f t="shared" si="0"/>
        <v>175820</v>
      </c>
      <c r="F12" s="1633">
        <f t="shared" si="0"/>
        <v>461155</v>
      </c>
      <c r="G12" s="1633">
        <f t="shared" si="0"/>
        <v>205959</v>
      </c>
      <c r="H12" s="1633">
        <f t="shared" si="0"/>
        <v>0</v>
      </c>
      <c r="I12" s="1633">
        <f t="shared" si="0"/>
        <v>51239</v>
      </c>
      <c r="J12" s="1633">
        <f t="shared" si="0"/>
        <v>335427</v>
      </c>
      <c r="K12" s="1594">
        <f t="shared" si="0"/>
        <v>51239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198</v>
      </c>
      <c r="D14" s="1573">
        <v>30</v>
      </c>
      <c r="E14" s="1573"/>
      <c r="F14" s="1573">
        <v>27</v>
      </c>
      <c r="G14" s="1573">
        <v>12</v>
      </c>
      <c r="H14" s="1573"/>
      <c r="I14" s="1573">
        <v>3</v>
      </c>
      <c r="J14" s="1574">
        <v>19</v>
      </c>
      <c r="K14" s="1573">
        <v>3</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f>149152-7080</f>
        <v>142072</v>
      </c>
      <c r="E16" s="1573"/>
      <c r="F16" s="1573"/>
      <c r="G16" s="1573">
        <v>7080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198</v>
      </c>
      <c r="D18" s="1635">
        <f t="shared" ref="D18:K18" si="1">SUM(D14:D17)</f>
        <v>142102</v>
      </c>
      <c r="E18" s="1635">
        <f t="shared" si="1"/>
        <v>0</v>
      </c>
      <c r="F18" s="1635">
        <f t="shared" si="1"/>
        <v>27</v>
      </c>
      <c r="G18" s="1635">
        <f t="shared" si="1"/>
        <v>7092</v>
      </c>
      <c r="H18" s="1635">
        <f t="shared" si="1"/>
        <v>0</v>
      </c>
      <c r="I18" s="1635">
        <f t="shared" si="1"/>
        <v>3</v>
      </c>
      <c r="J18" s="1635">
        <f t="shared" si="1"/>
        <v>19</v>
      </c>
      <c r="K18" s="1636">
        <f t="shared" si="1"/>
        <v>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151195+862</f>
        <v>152057</v>
      </c>
      <c r="D65" s="1573">
        <v>12471</v>
      </c>
      <c r="E65" s="1573">
        <v>653</v>
      </c>
      <c r="F65" s="1574">
        <f>1255+22281</f>
        <v>23536</v>
      </c>
      <c r="G65" s="1573">
        <v>5483</v>
      </c>
      <c r="H65" s="1573">
        <v>237</v>
      </c>
      <c r="I65" s="1573">
        <v>21149</v>
      </c>
      <c r="J65" s="1574">
        <v>3637</v>
      </c>
      <c r="K65" s="1573">
        <v>6851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152057</v>
      </c>
      <c r="D67" s="1594">
        <f t="shared" ref="D67:K67" si="2">SUM(D65:D66)</f>
        <v>12471</v>
      </c>
      <c r="E67" s="1594">
        <f t="shared" si="2"/>
        <v>653</v>
      </c>
      <c r="F67" s="1594">
        <f t="shared" si="2"/>
        <v>23536</v>
      </c>
      <c r="G67" s="1594">
        <f t="shared" si="2"/>
        <v>5483</v>
      </c>
      <c r="H67" s="1594">
        <f t="shared" si="2"/>
        <v>237</v>
      </c>
      <c r="I67" s="1594">
        <f t="shared" si="2"/>
        <v>21149</v>
      </c>
      <c r="J67" s="1594">
        <f t="shared" si="2"/>
        <v>3637</v>
      </c>
      <c r="K67" s="1594">
        <f t="shared" si="2"/>
        <v>6851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26499+18510+19186+11555</f>
        <v>75750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49611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3095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128456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f>1064+2639+3200+2007+4098+1152+7320+2</f>
        <v>21482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21482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4290+4757+10192+1915+7349+1750</f>
        <v>30253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2961</v>
      </c>
      <c r="D92" s="1575"/>
      <c r="E92" s="1575"/>
      <c r="F92" s="1575"/>
      <c r="G92" s="1575"/>
      <c r="H92" s="1575"/>
      <c r="I92" s="1575"/>
      <c r="J92" s="1575"/>
      <c r="K92" s="1575"/>
    </row>
    <row r="93" spans="1:11" ht="12.75" customHeight="1" thickBot="1" x14ac:dyDescent="0.25">
      <c r="A93" s="1406" t="s">
        <v>241</v>
      </c>
      <c r="B93" s="1407"/>
      <c r="C93" s="1594">
        <f>SUM(C84:C92)</f>
        <v>33214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380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102050</v>
      </c>
      <c r="D99" s="1573">
        <v>3933</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3805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531926</v>
      </c>
      <c r="I103" s="1575"/>
      <c r="J103" s="1610"/>
      <c r="K103" s="1610"/>
    </row>
    <row r="104" spans="1:12" ht="12.75" customHeight="1" x14ac:dyDescent="0.2">
      <c r="A104" s="427" t="s">
        <v>825</v>
      </c>
      <c r="B104" s="429">
        <v>1991</v>
      </c>
      <c r="C104" s="1598">
        <v>16578</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32160+12390-617</f>
        <v>43933</v>
      </c>
      <c r="D107" s="1573">
        <v>5184</v>
      </c>
      <c r="E107" s="1573"/>
      <c r="F107" s="1573">
        <v>5957</v>
      </c>
      <c r="G107" s="1573"/>
      <c r="H107" s="1573"/>
      <c r="I107" s="1573"/>
      <c r="J107" s="1574"/>
      <c r="K107" s="1573"/>
    </row>
    <row r="108" spans="1:12" ht="12.75" customHeight="1" thickBot="1" x14ac:dyDescent="0.25">
      <c r="A108" s="1406" t="s">
        <v>484</v>
      </c>
      <c r="B108" s="1408"/>
      <c r="C108" s="1633">
        <f>SUM(C95:C107)</f>
        <v>166366</v>
      </c>
      <c r="D108" s="1633">
        <f t="shared" ref="D108:K108" si="3">SUM(D95:D107)</f>
        <v>9497</v>
      </c>
      <c r="E108" s="1633">
        <f t="shared" si="3"/>
        <v>0</v>
      </c>
      <c r="F108" s="1633">
        <f t="shared" si="3"/>
        <v>5957</v>
      </c>
      <c r="G108" s="1633">
        <f t="shared" si="3"/>
        <v>0</v>
      </c>
      <c r="H108" s="1633">
        <f t="shared" si="3"/>
        <v>531926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3920147</v>
      </c>
      <c r="D109" s="1641">
        <f t="shared" si="4"/>
        <v>676465</v>
      </c>
      <c r="E109" s="1641">
        <f t="shared" si="4"/>
        <v>176473</v>
      </c>
      <c r="F109" s="1641">
        <f t="shared" si="4"/>
        <v>490675</v>
      </c>
      <c r="G109" s="1641">
        <f t="shared" si="4"/>
        <v>218534</v>
      </c>
      <c r="H109" s="1641">
        <f t="shared" si="4"/>
        <v>532163</v>
      </c>
      <c r="I109" s="1641">
        <f t="shared" si="4"/>
        <v>72391</v>
      </c>
      <c r="J109" s="1641">
        <f t="shared" si="4"/>
        <v>339083</v>
      </c>
      <c r="K109" s="1629">
        <f t="shared" si="4"/>
        <v>58093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3775949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3775949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39600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2160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41760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10866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10866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3477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7960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151421</v>
      </c>
      <c r="G152" s="1574"/>
      <c r="H152" s="1575"/>
      <c r="I152" s="1575"/>
      <c r="J152" s="1575"/>
      <c r="K152" s="1575"/>
    </row>
    <row r="153" spans="1:11" ht="12.75" customHeight="1" x14ac:dyDescent="0.2">
      <c r="A153" s="427" t="s">
        <v>1048</v>
      </c>
      <c r="B153" s="478">
        <v>3510</v>
      </c>
      <c r="C153" s="1632"/>
      <c r="D153" s="1573"/>
      <c r="E153" s="1640"/>
      <c r="F153" s="1573">
        <v>66286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217707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286066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24644</v>
      </c>
      <c r="D168" s="1655">
        <v>25000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374773</v>
      </c>
      <c r="D169" s="1658">
        <f t="shared" si="6"/>
        <v>25000</v>
      </c>
      <c r="E169" s="1658">
        <f t="shared" si="6"/>
        <v>0</v>
      </c>
      <c r="F169" s="1658">
        <f t="shared" si="6"/>
        <v>217707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4150722</v>
      </c>
      <c r="D170" s="1641">
        <f t="shared" si="7"/>
        <v>25000</v>
      </c>
      <c r="E170" s="1641">
        <f t="shared" si="7"/>
        <v>0</v>
      </c>
      <c r="F170" s="1641">
        <f t="shared" si="7"/>
        <v>217707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19860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19860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167698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61376</v>
      </c>
      <c r="D193" s="1575"/>
      <c r="E193" s="1640"/>
      <c r="F193" s="1575"/>
      <c r="G193" s="1664"/>
      <c r="H193" s="1575"/>
      <c r="I193" s="1575"/>
      <c r="J193" s="1575"/>
      <c r="K193" s="1575"/>
    </row>
    <row r="194" spans="1:11" ht="12.75" customHeight="1" x14ac:dyDescent="0.2">
      <c r="A194" s="427" t="s">
        <v>1434</v>
      </c>
      <c r="B194" s="429">
        <v>4225</v>
      </c>
      <c r="C194" s="1632">
        <v>76007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305081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f>405448+43241</f>
        <v>448689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448689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6787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228170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234957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40434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4836</v>
      </c>
      <c r="D264" s="1651"/>
      <c r="E264" s="1575"/>
      <c r="F264" s="1651"/>
      <c r="G264" s="1651"/>
      <c r="H264" s="1575"/>
      <c r="I264" s="1575"/>
      <c r="J264" s="1575"/>
      <c r="K264" s="1575"/>
    </row>
    <row r="265" spans="1:11" s="489" customFormat="1" ht="12.75" customHeight="1" thickTop="1" thickBot="1" x14ac:dyDescent="0.25">
      <c r="A265" s="479" t="s">
        <v>75</v>
      </c>
      <c r="B265" s="475">
        <v>4998</v>
      </c>
      <c r="C265" s="1650">
        <v>1446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1055303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1055303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9126172</v>
      </c>
      <c r="D268" s="1641">
        <f t="shared" si="12"/>
        <v>701465</v>
      </c>
      <c r="E268" s="1641">
        <f t="shared" si="12"/>
        <v>176473</v>
      </c>
      <c r="F268" s="1641">
        <f t="shared" si="12"/>
        <v>708382</v>
      </c>
      <c r="G268" s="1641">
        <f t="shared" si="12"/>
        <v>218534</v>
      </c>
      <c r="H268" s="1641">
        <f t="shared" si="12"/>
        <v>532163</v>
      </c>
      <c r="I268" s="1641">
        <f t="shared" si="12"/>
        <v>72391</v>
      </c>
      <c r="J268" s="1641">
        <f t="shared" si="12"/>
        <v>339083</v>
      </c>
      <c r="K268" s="1629">
        <f t="shared" si="12"/>
        <v>58093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&amp;F&amp;CNotes to the financial statements are an integral part of this statement.</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office/2006/metadata/properties"/>
    <ds:schemaRef ds:uri="http://schemas.microsoft.com/sharepoint/v3"/>
    <ds:schemaRef ds:uri="4d435f69-8686-490b-bd6d-b153bf22ab50"/>
    <ds:schemaRef ds:uri="6ce3111e-7420-4802-b50a-75d4e9a0b980"/>
    <ds:schemaRef ds:uri="d21dc803-237d-4c68-8692-8d731fd29118"/>
    <ds:schemaRef ds:uri="http://schemas.microsoft.com/office/infopath/2007/PartnerControls"/>
    <ds:schemaRef ds:uri="http://www.w3.org/XML/1998/namespace"/>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Sheet1</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2020-11-12T15:36:12Z</cp:lastPrinted>
  <dcterms:created xsi:type="dcterms:W3CDTF">2003-10-29T19:06:34Z</dcterms:created>
  <dcterms:modified xsi:type="dcterms:W3CDTF">2020-11-24T18:48:45Z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