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9813A00-B73D-47E5-A215-D55DED30ECC0}" xr6:coauthVersionLast="36" xr6:coauthVersionMax="36" xr10:uidLastSave="{00000000-0000-0000-0000-000000000000}"/>
  <bookViews>
    <workbookView xWindow="-19320" yWindow="-90" windowWidth="19440" windowHeight="1500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7"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 sheetId="185" r:id="rId32"/>
    <sheet name="SF&amp;QC Sec-2 (2)" sheetId="184" r:id="rId33"/>
    <sheet name="SF&amp;QC Sec-2 (3)" sheetId="175" r:id="rId34"/>
    <sheet name="SF&amp;QC Sec-2 (4)" sheetId="189" r:id="rId35"/>
    <sheet name="SF&amp;QC Sec-2 (5)" sheetId="186" r:id="rId36"/>
    <sheet name="SF&amp;QC Sec-3" sheetId="176" r:id="rId37"/>
    <sheet name="SSPAF" sheetId="177" r:id="rId38"/>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6">'SF&amp;QC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35">#REF!</definedName>
    <definedName name="SCHADDRS" localSheetId="36">#REF!</definedName>
    <definedName name="SCHADDRS" localSheetId="26">#REF!</definedName>
    <definedName name="SCHADDRS" localSheetId="25">#REF!</definedName>
    <definedName name="SCHADDRS" localSheetId="37">#REF!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35">#REF!</definedName>
    <definedName name="SCHCTY" localSheetId="36">#REF!</definedName>
    <definedName name="SCHCTY" localSheetId="26">#REF!</definedName>
    <definedName name="SCHCTY" localSheetId="25">#REF!</definedName>
    <definedName name="SCHCTY" localSheetId="37">#REF!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35">#REF!</definedName>
    <definedName name="SCHNMBR" localSheetId="36">#REF!</definedName>
    <definedName name="SCHNMBR" localSheetId="26">#REF!</definedName>
    <definedName name="SCHNMBR" localSheetId="25">#REF!</definedName>
    <definedName name="SCHNMBR" localSheetId="37">#REF!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35">#REF!</definedName>
    <definedName name="SCHNME" localSheetId="36">#REF!</definedName>
    <definedName name="SCHNME" localSheetId="26">#REF!</definedName>
    <definedName name="SCHNME" localSheetId="25">#REF!</definedName>
    <definedName name="SCHNME" localSheetId="37">#REF!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35">#REF!</definedName>
    <definedName name="SUPT" localSheetId="36">#REF!</definedName>
    <definedName name="SUPT" localSheetId="26">#REF!</definedName>
    <definedName name="SUPT" localSheetId="25">#REF!</definedName>
    <definedName name="SUPT" localSheetId="37">#REF!</definedName>
    <definedName name="SUPT">#REF!</definedName>
    <definedName name="TT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5" i="187" l="1"/>
  <c r="C10" i="189" l="1"/>
  <c r="B4" i="189"/>
  <c r="E67" i="187"/>
  <c r="E66" i="187"/>
  <c r="E65" i="187"/>
  <c r="E64" i="187"/>
  <c r="E63" i="187"/>
  <c r="E62" i="187"/>
  <c r="E61" i="187"/>
  <c r="E60" i="187"/>
  <c r="E59" i="187"/>
  <c r="E58" i="187"/>
  <c r="E57" i="187"/>
  <c r="E17" i="187"/>
  <c r="E16" i="187"/>
  <c r="E15" i="187"/>
  <c r="E14" i="187"/>
  <c r="E13" i="187"/>
  <c r="E12" i="187"/>
  <c r="J7" i="187"/>
  <c r="J6" i="187"/>
  <c r="N57" i="187"/>
  <c r="N58" i="187"/>
  <c r="N59" i="187"/>
  <c r="N60" i="187"/>
  <c r="N61" i="187"/>
  <c r="N62" i="187"/>
  <c r="N63" i="187"/>
  <c r="N64" i="187"/>
  <c r="N65" i="187"/>
  <c r="N66" i="187"/>
  <c r="N67" i="187"/>
  <c r="N68" i="187"/>
  <c r="M68" i="187"/>
  <c r="L68" i="187"/>
  <c r="K68" i="187"/>
  <c r="J68" i="187"/>
  <c r="I68" i="187"/>
  <c r="H68" i="187"/>
  <c r="G68" i="187"/>
  <c r="E68" i="187"/>
  <c r="L53" i="187"/>
  <c r="L52" i="187"/>
  <c r="G12" i="187"/>
  <c r="H12" i="187"/>
  <c r="G13" i="187"/>
  <c r="H13" i="187"/>
  <c r="G14" i="187"/>
  <c r="H14" i="187"/>
  <c r="G15" i="187"/>
  <c r="H15" i="187"/>
  <c r="G16" i="187"/>
  <c r="H16" i="187"/>
  <c r="G17" i="187"/>
  <c r="H17" i="187"/>
  <c r="H18" i="187"/>
  <c r="H19" i="187"/>
  <c r="L12" i="187"/>
  <c r="L13" i="187"/>
  <c r="L14" i="187"/>
  <c r="L15" i="187"/>
  <c r="L16" i="187"/>
  <c r="L17" i="187"/>
  <c r="L18" i="187"/>
  <c r="L19" i="187"/>
  <c r="L20" i="187"/>
  <c r="K19" i="187"/>
  <c r="J19" i="187"/>
  <c r="I19" i="187"/>
  <c r="G19" i="187"/>
  <c r="F19" i="187"/>
  <c r="E19" i="187"/>
  <c r="C10" i="186"/>
  <c r="B4" i="186"/>
  <c r="A7" i="169"/>
  <c r="B1" i="189" s="1"/>
  <c r="C10" i="185"/>
  <c r="B4" i="185"/>
  <c r="B1" i="185"/>
  <c r="C10" i="184"/>
  <c r="B4" i="184"/>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c r="E17" i="183"/>
  <c r="F17" i="183"/>
  <c r="F80" i="34"/>
  <c r="C39" i="145"/>
  <c r="C33" i="145"/>
  <c r="K18" i="145"/>
  <c r="K17" i="145"/>
  <c r="K16" i="145"/>
  <c r="K15" i="145"/>
  <c r="K14" i="145"/>
  <c r="K13" i="145"/>
  <c r="K12" i="145"/>
  <c r="J19" i="145"/>
  <c r="B7885" i="106"/>
  <c r="D7885" i="106"/>
  <c r="B7884" i="106"/>
  <c r="B7883" i="106"/>
  <c r="D7883" i="106"/>
  <c r="B7882" i="106"/>
  <c r="D7884" i="106"/>
  <c r="D7882" i="106"/>
  <c r="B11" i="7"/>
  <c r="D7836" i="106"/>
  <c r="J88" i="28"/>
  <c r="J85" i="28"/>
  <c r="J90" i="28"/>
  <c r="B7819" i="106"/>
  <c r="D7819" i="106"/>
  <c r="B7818" i="106"/>
  <c r="D7818" i="106"/>
  <c r="D142" i="183"/>
  <c r="A15" i="183"/>
  <c r="D82" i="36"/>
  <c r="F142" i="183"/>
  <c r="E142" i="183"/>
  <c r="D81" i="36"/>
  <c r="E40" i="108"/>
  <c r="B7820" i="106"/>
  <c r="D7820" i="106"/>
  <c r="G40" i="108"/>
  <c r="B7821" i="106"/>
  <c r="D7821" i="106"/>
  <c r="D80" i="36"/>
  <c r="D79" i="36"/>
  <c r="D79" i="34"/>
  <c r="D179" i="34"/>
  <c r="A46" i="24"/>
  <c r="F2" i="8"/>
  <c r="B2" i="24"/>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c r="A3" i="24"/>
  <c r="B7236" i="106"/>
  <c r="B15" i="7"/>
  <c r="D168" i="34"/>
  <c r="D167" i="34"/>
  <c r="C168" i="34"/>
  <c r="C167" i="34"/>
  <c r="F168" i="34"/>
  <c r="F167" i="34"/>
  <c r="B7812" i="106"/>
  <c r="B7811" i="106"/>
  <c r="B7810" i="106"/>
  <c r="B7809" i="106"/>
  <c r="C12" i="5"/>
  <c r="C40" i="5"/>
  <c r="C67" i="5"/>
  <c r="C75" i="5"/>
  <c r="C82" i="5"/>
  <c r="C93" i="5"/>
  <c r="C108" i="5"/>
  <c r="C109" i="5"/>
  <c r="C4" i="4"/>
  <c r="C122" i="5"/>
  <c r="C141" i="5"/>
  <c r="C169" i="5"/>
  <c r="C170" i="5"/>
  <c r="C6" i="4"/>
  <c r="C198" i="5"/>
  <c r="C204" i="5"/>
  <c r="C266" i="5"/>
  <c r="C267" i="5"/>
  <c r="C7" i="4"/>
  <c r="C8" i="4"/>
  <c r="K5" i="29"/>
  <c r="K7" i="29"/>
  <c r="K8" i="29"/>
  <c r="K10" i="29"/>
  <c r="K13" i="29"/>
  <c r="K14" i="29"/>
  <c r="K17" i="29"/>
  <c r="K19" i="29"/>
  <c r="K33" i="29"/>
  <c r="C12" i="4"/>
  <c r="K36" i="29"/>
  <c r="K38" i="29"/>
  <c r="K41" i="29"/>
  <c r="K37" i="29"/>
  <c r="K42" i="29"/>
  <c r="K44" i="29"/>
  <c r="K45" i="29"/>
  <c r="K47" i="29"/>
  <c r="K49" i="29"/>
  <c r="K50" i="29"/>
  <c r="K53" i="29"/>
  <c r="K55" i="29"/>
  <c r="K57" i="29"/>
  <c r="K60" i="29"/>
  <c r="K63" i="29"/>
  <c r="K65" i="29"/>
  <c r="K74" i="29"/>
  <c r="C13" i="4"/>
  <c r="K79" i="29"/>
  <c r="K81" i="29"/>
  <c r="K84" i="29"/>
  <c r="H92" i="29"/>
  <c r="K92" i="29"/>
  <c r="K102" i="29"/>
  <c r="C15" i="4"/>
  <c r="C17" i="4"/>
  <c r="C20" i="4"/>
  <c r="C78" i="4"/>
  <c r="C81" i="4"/>
  <c r="B11" i="146"/>
  <c r="D12" i="5"/>
  <c r="D18" i="5"/>
  <c r="D67" i="5"/>
  <c r="D108" i="5"/>
  <c r="D109" i="5"/>
  <c r="D4" i="4"/>
  <c r="D169" i="5"/>
  <c r="D170" i="5"/>
  <c r="D6" i="4"/>
  <c r="D8" i="4"/>
  <c r="K124" i="29"/>
  <c r="K127" i="29"/>
  <c r="K129" i="29"/>
  <c r="D13" i="4"/>
  <c r="D17" i="4"/>
  <c r="D20" i="4"/>
  <c r="D78" i="4"/>
  <c r="D81" i="4"/>
  <c r="C11" i="146"/>
  <c r="F12" i="5"/>
  <c r="F67" i="5"/>
  <c r="F108" i="5"/>
  <c r="F109" i="5"/>
  <c r="F4" i="4"/>
  <c r="F155" i="5"/>
  <c r="F169" i="5"/>
  <c r="F170" i="5"/>
  <c r="F6" i="4"/>
  <c r="F8" i="4"/>
  <c r="K182" i="29"/>
  <c r="K184" i="29"/>
  <c r="F13" i="4"/>
  <c r="F17" i="4"/>
  <c r="F20" i="4"/>
  <c r="F78" i="4"/>
  <c r="F81" i="4"/>
  <c r="D11" i="146"/>
  <c r="F11" i="146"/>
  <c r="D8" i="146"/>
  <c r="C8" i="146"/>
  <c r="B8" i="146"/>
  <c r="F8" i="146"/>
  <c r="D9" i="146"/>
  <c r="C9" i="146"/>
  <c r="B9" i="146"/>
  <c r="F9" i="146"/>
  <c r="F10" i="146"/>
  <c r="D29" i="36"/>
  <c r="J24" i="24"/>
  <c r="B7816" i="106"/>
  <c r="D7816" i="106"/>
  <c r="B7815" i="106"/>
  <c r="D7815" i="106"/>
  <c r="B7814" i="106"/>
  <c r="D7814" i="106"/>
  <c r="B7813" i="106"/>
  <c r="D7813" i="106"/>
  <c r="D7811" i="106"/>
  <c r="D7812" i="106"/>
  <c r="D7810" i="106"/>
  <c r="D7809" i="106"/>
  <c r="B7808" i="106"/>
  <c r="D7808" i="106"/>
  <c r="B7807" i="106"/>
  <c r="D7807" i="106"/>
  <c r="B7806" i="106"/>
  <c r="B7805" i="106"/>
  <c r="D7805" i="106"/>
  <c r="B7804" i="106"/>
  <c r="D7804" i="106"/>
  <c r="B7803" i="106"/>
  <c r="D7803" i="106"/>
  <c r="B7802" i="106"/>
  <c r="D7802" i="106"/>
  <c r="B7801" i="106"/>
  <c r="D7801" i="106"/>
  <c r="D7806" i="106"/>
  <c r="B5196" i="106"/>
  <c r="F29" i="34"/>
  <c r="B7881" i="106"/>
  <c r="D7881" i="106"/>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c r="J34" i="182"/>
  <c r="H34" i="182"/>
  <c r="K34" i="182"/>
  <c r="D83" i="36"/>
  <c r="B7837" i="106"/>
  <c r="D7837" i="106"/>
  <c r="K356" i="29"/>
  <c r="B3673" i="106"/>
  <c r="K355" i="29"/>
  <c r="B7794" i="106"/>
  <c r="K354" i="29"/>
  <c r="H357" i="29"/>
  <c r="B7237" i="106"/>
  <c r="L334" i="29"/>
  <c r="K333" i="29"/>
  <c r="B7788" i="106"/>
  <c r="K332" i="29"/>
  <c r="H334" i="29"/>
  <c r="B7789" i="106"/>
  <c r="K282" i="29"/>
  <c r="B7784" i="106"/>
  <c r="H160" i="29"/>
  <c r="B7053" i="106"/>
  <c r="K159" i="29"/>
  <c r="B7782" i="106"/>
  <c r="K158" i="29"/>
  <c r="B7780" i="106"/>
  <c r="K157" i="29"/>
  <c r="B7778" i="106"/>
  <c r="B7795" i="106"/>
  <c r="K133" i="29"/>
  <c r="B7776" i="106"/>
  <c r="B7793" i="106"/>
  <c r="B7791" i="106"/>
  <c r="B7787" i="106"/>
  <c r="B7786" i="106"/>
  <c r="B7785" i="106"/>
  <c r="B7783" i="106"/>
  <c r="B7781" i="106"/>
  <c r="B7779" i="106"/>
  <c r="B7777" i="106"/>
  <c r="B7775" i="106"/>
  <c r="B7774" i="106"/>
  <c r="K334" i="29"/>
  <c r="F74" i="34"/>
  <c r="K357" i="29"/>
  <c r="B3674" i="106"/>
  <c r="B7792" i="106"/>
  <c r="K15" i="4"/>
  <c r="B7790" i="106"/>
  <c r="J15" i="4"/>
  <c r="B7796" i="106"/>
  <c r="L357" i="29"/>
  <c r="L285" i="29"/>
  <c r="D285" i="29"/>
  <c r="L160" i="29"/>
  <c r="K160" i="29"/>
  <c r="L137" i="29"/>
  <c r="H137" i="29"/>
  <c r="E137" i="29"/>
  <c r="E139" i="29"/>
  <c r="F60" i="34"/>
  <c r="B1323" i="106"/>
  <c r="E15" i="4"/>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B2" i="189" s="1"/>
  <c r="B4" i="177"/>
  <c r="B4" i="176"/>
  <c r="B4" i="175"/>
  <c r="G43" i="174"/>
  <c r="D47" i="174"/>
  <c r="B4" i="174"/>
  <c r="E34" i="173"/>
  <c r="A4" i="173"/>
  <c r="D47" i="171"/>
  <c r="A5" i="171"/>
  <c r="C110" i="170"/>
  <c r="C112" i="170"/>
  <c r="C115" i="170"/>
  <c r="C117" i="170"/>
  <c r="C119" i="170"/>
  <c r="C123" i="170"/>
  <c r="C44" i="170"/>
  <c r="C48" i="170"/>
  <c r="C50" i="170"/>
  <c r="C52" i="170"/>
  <c r="C54" i="170"/>
  <c r="C56" i="170"/>
  <c r="C72" i="170"/>
  <c r="C74" i="170"/>
  <c r="C76" i="170"/>
  <c r="C78" i="170"/>
  <c r="C80" i="170"/>
  <c r="C82" i="170"/>
  <c r="C85" i="170"/>
  <c r="C87" i="170"/>
  <c r="C89" i="170"/>
  <c r="C91" i="170"/>
  <c r="C96" i="170"/>
  <c r="C98" i="170"/>
  <c r="C100" i="170"/>
  <c r="C102" i="170"/>
  <c r="C106" i="170"/>
  <c r="C36" i="170"/>
  <c r="C39" i="170"/>
  <c r="C13" i="170"/>
  <c r="C15" i="170"/>
  <c r="C18" i="170"/>
  <c r="C21" i="170"/>
  <c r="C24" i="170"/>
  <c r="C28" i="170"/>
  <c r="A2" i="170"/>
  <c r="A1" i="171"/>
  <c r="B1" i="179"/>
  <c r="B1" i="175"/>
  <c r="B1" i="177"/>
  <c r="A1" i="170"/>
  <c r="A1" i="173"/>
  <c r="B1" i="174"/>
  <c r="B1" i="176"/>
  <c r="B7773" i="106"/>
  <c r="B61" i="106"/>
  <c r="B52" i="106"/>
  <c r="B51" i="106"/>
  <c r="B49" i="106"/>
  <c r="B48" i="106"/>
  <c r="B47" i="106"/>
  <c r="B46" i="106"/>
  <c r="B45" i="106"/>
  <c r="B44" i="106"/>
  <c r="B43" i="106"/>
  <c r="B42" i="106"/>
  <c r="B41" i="106"/>
  <c r="B50" i="106"/>
  <c r="F160" i="34"/>
  <c r="B7867" i="106"/>
  <c r="D7867" i="106"/>
  <c r="B7769" i="106"/>
  <c r="D7769" i="106"/>
  <c r="B7768" i="106"/>
  <c r="B7766" i="106"/>
  <c r="D7766" i="106"/>
  <c r="B7765" i="106"/>
  <c r="B7764" i="106"/>
  <c r="D7764" i="106"/>
  <c r="B7758" i="106"/>
  <c r="D7758" i="106"/>
  <c r="K6" i="29"/>
  <c r="B7763" i="106"/>
  <c r="D7763" i="106"/>
  <c r="B7762" i="106"/>
  <c r="D7762" i="106"/>
  <c r="K12" i="12"/>
  <c r="K23" i="12"/>
  <c r="B7800" i="106"/>
  <c r="J12" i="12"/>
  <c r="B7718" i="106"/>
  <c r="D7718" i="106"/>
  <c r="J21" i="12"/>
  <c r="J23" i="12"/>
  <c r="B7729" i="106"/>
  <c r="D7729" i="106"/>
  <c r="B7734" i="106"/>
  <c r="B7726" i="106"/>
  <c r="D7726" i="106"/>
  <c r="D76" i="36"/>
  <c r="F159" i="34"/>
  <c r="B30" i="36"/>
  <c r="B33" i="36"/>
  <c r="B43" i="36"/>
  <c r="B56" i="36"/>
  <c r="B66" i="36"/>
  <c r="B70" i="36"/>
  <c r="B74" i="36"/>
  <c r="D73" i="36"/>
  <c r="C188" i="5"/>
  <c r="B4395" i="106"/>
  <c r="D4395" i="106"/>
  <c r="B5246" i="106"/>
  <c r="D5246" i="106"/>
  <c r="C209" i="5"/>
  <c r="B4411" i="106"/>
  <c r="D4411" i="106"/>
  <c r="C217" i="5"/>
  <c r="B5286" i="106"/>
  <c r="D5286" i="106"/>
  <c r="C221" i="5"/>
  <c r="B5304" i="106"/>
  <c r="D5304" i="106"/>
  <c r="C252" i="5"/>
  <c r="B7761" i="106"/>
  <c r="D7761" i="106"/>
  <c r="L127" i="29"/>
  <c r="L129" i="29"/>
  <c r="L139" i="29"/>
  <c r="L149" i="29"/>
  <c r="I7" i="145"/>
  <c r="I6" i="145"/>
  <c r="K19" i="145"/>
  <c r="D84" i="36"/>
  <c r="D78" i="36"/>
  <c r="K75" i="29"/>
  <c r="C14" i="4"/>
  <c r="B2558" i="106"/>
  <c r="D2558" i="106"/>
  <c r="K130" i="29"/>
  <c r="K185" i="29"/>
  <c r="F62" i="34"/>
  <c r="B7833" i="106"/>
  <c r="D7833" i="106"/>
  <c r="K122" i="29"/>
  <c r="F15" i="145"/>
  <c r="F19" i="145"/>
  <c r="K67" i="29"/>
  <c r="G33" i="108"/>
  <c r="K64" i="29"/>
  <c r="D31" i="108"/>
  <c r="K59" i="29"/>
  <c r="E15" i="145"/>
  <c r="K56" i="29"/>
  <c r="E14" i="145"/>
  <c r="G14" i="145"/>
  <c r="K51" i="29"/>
  <c r="E13" i="145"/>
  <c r="G13" i="145"/>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c r="D77" i="106"/>
  <c r="D78" i="106"/>
  <c r="D79" i="106"/>
  <c r="D80" i="106"/>
  <c r="D81" i="106"/>
  <c r="D82" i="106"/>
  <c r="D83" i="106"/>
  <c r="D84" i="106"/>
  <c r="D85" i="106"/>
  <c r="B86" i="106"/>
  <c r="D86" i="106"/>
  <c r="D87" i="106"/>
  <c r="B88" i="106"/>
  <c r="D88" i="106"/>
  <c r="D89" i="106"/>
  <c r="D90" i="106"/>
  <c r="C34" i="3"/>
  <c r="B91" i="106"/>
  <c r="D91" i="106"/>
  <c r="B92" i="106"/>
  <c r="D92" i="106"/>
  <c r="D94" i="106"/>
  <c r="D95" i="106"/>
  <c r="D96" i="106"/>
  <c r="B97" i="106"/>
  <c r="D97" i="106"/>
  <c r="D98" i="106"/>
  <c r="D99" i="106"/>
  <c r="D100" i="106"/>
  <c r="D101" i="106"/>
  <c r="D102" i="106"/>
  <c r="D103" i="106"/>
  <c r="B104" i="106"/>
  <c r="D104" i="106"/>
  <c r="B105" i="106"/>
  <c r="D105" i="106"/>
  <c r="D106" i="106"/>
  <c r="D107" i="106"/>
  <c r="B108" i="106"/>
  <c r="D108" i="106"/>
  <c r="D13" i="3"/>
  <c r="B109" i="106"/>
  <c r="D109" i="106"/>
  <c r="D110" i="106"/>
  <c r="D111" i="106"/>
  <c r="D112" i="106"/>
  <c r="D113" i="106"/>
  <c r="D114" i="106"/>
  <c r="D115" i="106"/>
  <c r="D116" i="106"/>
  <c r="B117" i="106"/>
  <c r="D117" i="106"/>
  <c r="D118" i="106"/>
  <c r="B119" i="106"/>
  <c r="D119" i="106"/>
  <c r="D120" i="106"/>
  <c r="D121" i="106"/>
  <c r="D34" i="3"/>
  <c r="B123" i="106"/>
  <c r="D123" i="106"/>
  <c r="D125" i="106"/>
  <c r="B126" i="106"/>
  <c r="D126" i="106"/>
  <c r="D127" i="106"/>
  <c r="D128" i="106"/>
  <c r="B129" i="106"/>
  <c r="D129" i="106"/>
  <c r="B130" i="106"/>
  <c r="D130" i="106"/>
  <c r="E13" i="3"/>
  <c r="B131" i="106"/>
  <c r="D131" i="106"/>
  <c r="D132" i="106"/>
  <c r="D133" i="106"/>
  <c r="B134" i="106"/>
  <c r="D134" i="106"/>
  <c r="D135" i="106"/>
  <c r="D136" i="106"/>
  <c r="D137" i="106"/>
  <c r="D138" i="106"/>
  <c r="E34" i="3"/>
  <c r="B140" i="106"/>
  <c r="D140" i="106"/>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c r="D158" i="106"/>
  <c r="D159" i="106"/>
  <c r="D160" i="106"/>
  <c r="D161" i="106"/>
  <c r="D162" i="106"/>
  <c r="D163" i="106"/>
  <c r="B164" i="106"/>
  <c r="D164" i="106"/>
  <c r="D165" i="106"/>
  <c r="B166" i="106"/>
  <c r="D166" i="106"/>
  <c r="D167" i="106"/>
  <c r="D168" i="106"/>
  <c r="F34" i="3"/>
  <c r="B170" i="106"/>
  <c r="D170" i="106"/>
  <c r="D172" i="106"/>
  <c r="B173" i="106"/>
  <c r="D173" i="106"/>
  <c r="D174" i="106"/>
  <c r="D175" i="106"/>
  <c r="D176" i="106"/>
  <c r="B177" i="106"/>
  <c r="D177" i="106"/>
  <c r="D178" i="106"/>
  <c r="B179" i="106"/>
  <c r="D179" i="106"/>
  <c r="G13" i="3"/>
  <c r="B180" i="106"/>
  <c r="D180" i="106"/>
  <c r="D181" i="106"/>
  <c r="D182" i="106"/>
  <c r="D183" i="106"/>
  <c r="B184" i="106"/>
  <c r="D184" i="106"/>
  <c r="B185" i="106"/>
  <c r="D185" i="106"/>
  <c r="D186" i="106"/>
  <c r="D187" i="106"/>
  <c r="G34" i="3"/>
  <c r="B189" i="106"/>
  <c r="D189" i="106"/>
  <c r="D191" i="106"/>
  <c r="D192" i="106"/>
  <c r="D193" i="106"/>
  <c r="D194" i="106"/>
  <c r="D195" i="106"/>
  <c r="D196" i="106"/>
  <c r="D197" i="106"/>
  <c r="B198" i="106"/>
  <c r="D198" i="106"/>
  <c r="B199" i="106"/>
  <c r="D199" i="106"/>
  <c r="D200" i="106"/>
  <c r="D201" i="106"/>
  <c r="B202" i="106"/>
  <c r="D202" i="106"/>
  <c r="H13" i="3"/>
  <c r="B203" i="106"/>
  <c r="D203" i="106"/>
  <c r="D204" i="106"/>
  <c r="D205" i="106"/>
  <c r="B206" i="106"/>
  <c r="D206" i="106"/>
  <c r="D207" i="106"/>
  <c r="B208" i="106"/>
  <c r="D208" i="106"/>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M23" i="3"/>
  <c r="B279" i="106"/>
  <c r="D279" i="106"/>
  <c r="B280" i="106"/>
  <c r="D280" i="106"/>
  <c r="M41" i="3"/>
  <c r="B281" i="106"/>
  <c r="D281" i="106"/>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c r="B706" i="106"/>
  <c r="D706" i="106"/>
  <c r="D707" i="106"/>
  <c r="D708" i="106"/>
  <c r="D709" i="106"/>
  <c r="D710" i="106"/>
  <c r="D711" i="106"/>
  <c r="B712" i="106"/>
  <c r="D712" i="106"/>
  <c r="D713" i="106"/>
  <c r="D714" i="106"/>
  <c r="D715" i="106"/>
  <c r="B716" i="106"/>
  <c r="D716" i="106"/>
  <c r="B717" i="106"/>
  <c r="D717" i="106"/>
  <c r="B718" i="106"/>
  <c r="D718" i="106"/>
  <c r="B719" i="106"/>
  <c r="D719" i="106"/>
  <c r="B721" i="106"/>
  <c r="D721" i="106"/>
  <c r="B722" i="106"/>
  <c r="D722" i="106"/>
  <c r="B723" i="106"/>
  <c r="D723" i="106"/>
  <c r="B724" i="106"/>
  <c r="D724" i="106"/>
  <c r="B725" i="106"/>
  <c r="D725" i="106"/>
  <c r="B726" i="106"/>
  <c r="D726" i="106"/>
  <c r="C42" i="29"/>
  <c r="B727" i="106"/>
  <c r="D727" i="106"/>
  <c r="B728" i="106"/>
  <c r="D728" i="106"/>
  <c r="B729" i="106"/>
  <c r="D729" i="106"/>
  <c r="B730" i="106"/>
  <c r="D730" i="106"/>
  <c r="B732" i="106"/>
  <c r="D732" i="106"/>
  <c r="B733" i="106"/>
  <c r="D733" i="106"/>
  <c r="B735" i="106"/>
  <c r="D735" i="106"/>
  <c r="B736" i="106"/>
  <c r="D736" i="106"/>
  <c r="C57" i="29"/>
  <c r="B737" i="106"/>
  <c r="D737" i="106"/>
  <c r="B738" i="106"/>
  <c r="D738" i="106"/>
  <c r="B739" i="106"/>
  <c r="D739" i="106"/>
  <c r="B740" i="106"/>
  <c r="D740" i="106"/>
  <c r="B741" i="106"/>
  <c r="D741" i="106"/>
  <c r="B742" i="106"/>
  <c r="D742" i="106"/>
  <c r="B743" i="106"/>
  <c r="D743" i="106"/>
  <c r="D744" i="106"/>
  <c r="C65" i="29"/>
  <c r="B745" i="106"/>
  <c r="D745" i="106"/>
  <c r="B746" i="106"/>
  <c r="D746" i="106"/>
  <c r="B747" i="106"/>
  <c r="D747" i="106"/>
  <c r="B748" i="106"/>
  <c r="D748" i="106"/>
  <c r="B749" i="106"/>
  <c r="D749" i="106"/>
  <c r="D750" i="106"/>
  <c r="B751" i="106"/>
  <c r="D751" i="106"/>
  <c r="D752" i="106"/>
  <c r="C72" i="29"/>
  <c r="B753" i="106"/>
  <c r="D753" i="106"/>
  <c r="B754" i="106"/>
  <c r="D754" i="106"/>
  <c r="B756" i="106"/>
  <c r="D756" i="106"/>
  <c r="D758" i="106"/>
  <c r="D759" i="106"/>
  <c r="D760" i="106"/>
  <c r="D761" i="106"/>
  <c r="D762" i="106"/>
  <c r="B763" i="106"/>
  <c r="D763" i="106"/>
  <c r="B764" i="106"/>
  <c r="D764" i="106"/>
  <c r="D765" i="106"/>
  <c r="D766" i="106"/>
  <c r="D767" i="106"/>
  <c r="D768" i="106"/>
  <c r="D769" i="106"/>
  <c r="B770" i="106"/>
  <c r="D770" i="106"/>
  <c r="D771" i="106"/>
  <c r="D772" i="106"/>
  <c r="D773" i="106"/>
  <c r="B774" i="106"/>
  <c r="D774" i="106"/>
  <c r="B775" i="106"/>
  <c r="D775" i="106"/>
  <c r="B776" i="106"/>
  <c r="D776" i="106"/>
  <c r="B777" i="106"/>
  <c r="D777" i="106"/>
  <c r="B779" i="106"/>
  <c r="D779" i="106"/>
  <c r="B780" i="106"/>
  <c r="D780" i="106"/>
  <c r="B781" i="106"/>
  <c r="D781" i="106"/>
  <c r="B782" i="106"/>
  <c r="D782" i="106"/>
  <c r="B783" i="106"/>
  <c r="D783" i="106"/>
  <c r="B784" i="106"/>
  <c r="D784" i="106"/>
  <c r="D42" i="29"/>
  <c r="B785" i="106"/>
  <c r="D785" i="106"/>
  <c r="B786" i="106"/>
  <c r="D786" i="106"/>
  <c r="B787" i="106"/>
  <c r="D787" i="106"/>
  <c r="B788" i="106"/>
  <c r="D788" i="106"/>
  <c r="D47" i="29"/>
  <c r="B789" i="106"/>
  <c r="D789" i="106"/>
  <c r="B790" i="106"/>
  <c r="D790" i="106"/>
  <c r="B791" i="106"/>
  <c r="D791" i="106"/>
  <c r="D53" i="29"/>
  <c r="B792" i="106"/>
  <c r="D792" i="106"/>
  <c r="B793" i="106"/>
  <c r="D793" i="106"/>
  <c r="B794" i="106"/>
  <c r="D794" i="106"/>
  <c r="D57" i="29"/>
  <c r="B795" i="106"/>
  <c r="D795" i="106"/>
  <c r="B796" i="106"/>
  <c r="D796" i="106"/>
  <c r="B797" i="106"/>
  <c r="D797" i="106"/>
  <c r="B798" i="106"/>
  <c r="D798" i="106"/>
  <c r="B799" i="106"/>
  <c r="D799" i="106"/>
  <c r="B800" i="106"/>
  <c r="D800" i="106"/>
  <c r="B801" i="106"/>
  <c r="D801" i="106"/>
  <c r="D802" i="106"/>
  <c r="D65" i="29"/>
  <c r="B803" i="106"/>
  <c r="D803" i="106"/>
  <c r="B804" i="106"/>
  <c r="D804" i="106"/>
  <c r="B805" i="106"/>
  <c r="D805" i="106"/>
  <c r="B806" i="106"/>
  <c r="D806" i="106"/>
  <c r="B807" i="106"/>
  <c r="D807" i="106"/>
  <c r="D808" i="106"/>
  <c r="B809" i="106"/>
  <c r="D809" i="106"/>
  <c r="D810" i="106"/>
  <c r="D72" i="29"/>
  <c r="B811" i="106"/>
  <c r="D811" i="106"/>
  <c r="B812" i="106"/>
  <c r="D812" i="106"/>
  <c r="B814" i="106"/>
  <c r="D814" i="106"/>
  <c r="D816" i="106"/>
  <c r="D817" i="106"/>
  <c r="D818" i="106"/>
  <c r="D819" i="106"/>
  <c r="D820" i="106"/>
  <c r="B821" i="106"/>
  <c r="D821" i="106"/>
  <c r="B822" i="106"/>
  <c r="D822" i="106"/>
  <c r="D823" i="106"/>
  <c r="D824" i="106"/>
  <c r="D825" i="106"/>
  <c r="D826" i="106"/>
  <c r="D827" i="106"/>
  <c r="B828" i="106"/>
  <c r="D828" i="106"/>
  <c r="D829" i="106"/>
  <c r="D830" i="106"/>
  <c r="D831" i="106"/>
  <c r="B832" i="106"/>
  <c r="D832" i="106"/>
  <c r="B833" i="106"/>
  <c r="D833" i="106"/>
  <c r="B834" i="106"/>
  <c r="D834" i="106"/>
  <c r="B835" i="106"/>
  <c r="D835" i="106"/>
  <c r="E33" i="29"/>
  <c r="B836" i="106"/>
  <c r="D836" i="106"/>
  <c r="B837" i="106"/>
  <c r="D837" i="106"/>
  <c r="B838" i="106"/>
  <c r="D838" i="106"/>
  <c r="B839" i="106"/>
  <c r="D839" i="106"/>
  <c r="B840" i="106"/>
  <c r="D840" i="106"/>
  <c r="B841" i="106"/>
  <c r="D841" i="106"/>
  <c r="B842" i="106"/>
  <c r="D842" i="106"/>
  <c r="E42" i="29"/>
  <c r="B843" i="106"/>
  <c r="D843" i="106"/>
  <c r="B844" i="106"/>
  <c r="D844" i="106"/>
  <c r="B845" i="106"/>
  <c r="D845" i="106"/>
  <c r="B846" i="106"/>
  <c r="D846" i="106"/>
  <c r="E47" i="29"/>
  <c r="B848" i="106"/>
  <c r="D848" i="106"/>
  <c r="B849" i="106"/>
  <c r="D849" i="106"/>
  <c r="E53" i="29"/>
  <c r="B850" i="106"/>
  <c r="D850" i="106"/>
  <c r="B851" i="106"/>
  <c r="D851" i="106"/>
  <c r="B852" i="106"/>
  <c r="D852" i="106"/>
  <c r="E57" i="29"/>
  <c r="B853" i="106"/>
  <c r="D853" i="106"/>
  <c r="B854" i="106"/>
  <c r="D854" i="106"/>
  <c r="B855" i="106"/>
  <c r="D855" i="106"/>
  <c r="B856" i="106"/>
  <c r="D856" i="106"/>
  <c r="B857" i="106"/>
  <c r="D857" i="106"/>
  <c r="B858" i="106"/>
  <c r="D858" i="106"/>
  <c r="B859" i="106"/>
  <c r="D859" i="106"/>
  <c r="D860" i="106"/>
  <c r="E65" i="29"/>
  <c r="B861" i="106"/>
  <c r="D861" i="106"/>
  <c r="B862" i="106"/>
  <c r="D862" i="106"/>
  <c r="B863" i="106"/>
  <c r="D863" i="106"/>
  <c r="B864" i="106"/>
  <c r="D864" i="106"/>
  <c r="B865" i="106"/>
  <c r="D865" i="106"/>
  <c r="D866" i="106"/>
  <c r="B867" i="106"/>
  <c r="D867" i="106"/>
  <c r="D868" i="106"/>
  <c r="E72" i="29"/>
  <c r="B869" i="106"/>
  <c r="D869" i="106"/>
  <c r="B870" i="106"/>
  <c r="D870" i="106"/>
  <c r="B872" i="106"/>
  <c r="D872" i="106"/>
  <c r="E84" i="29"/>
  <c r="B2789" i="106"/>
  <c r="D2789" i="106"/>
  <c r="E100" i="29"/>
  <c r="B7011" i="106"/>
  <c r="D7011" i="106"/>
  <c r="D874" i="106"/>
  <c r="D875" i="106"/>
  <c r="D876" i="106"/>
  <c r="D877" i="106"/>
  <c r="D878" i="106"/>
  <c r="B879" i="106"/>
  <c r="D879" i="106"/>
  <c r="B880" i="106"/>
  <c r="D880" i="106"/>
  <c r="D881" i="106"/>
  <c r="D882" i="106"/>
  <c r="D883" i="106"/>
  <c r="D884" i="106"/>
  <c r="D885" i="106"/>
  <c r="B886" i="106"/>
  <c r="D886" i="106"/>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c r="B902" i="106"/>
  <c r="D902" i="106"/>
  <c r="B903" i="106"/>
  <c r="D903" i="106"/>
  <c r="B904" i="106"/>
  <c r="D904" i="106"/>
  <c r="F47" i="29"/>
  <c r="B906" i="106"/>
  <c r="D906" i="106"/>
  <c r="B907" i="106"/>
  <c r="D907" i="106"/>
  <c r="F53" i="29"/>
  <c r="B908" i="106"/>
  <c r="D908" i="106"/>
  <c r="B909" i="106"/>
  <c r="D909" i="106"/>
  <c r="B910" i="106"/>
  <c r="D910" i="106"/>
  <c r="F57" i="29"/>
  <c r="B911" i="106"/>
  <c r="D911" i="106"/>
  <c r="B912" i="106"/>
  <c r="D912" i="106"/>
  <c r="B913" i="106"/>
  <c r="D913" i="106"/>
  <c r="B914" i="106"/>
  <c r="D914" i="106"/>
  <c r="B915" i="106"/>
  <c r="D915" i="106"/>
  <c r="B916" i="106"/>
  <c r="D916" i="106"/>
  <c r="B917" i="106"/>
  <c r="D917" i="106"/>
  <c r="D918" i="106"/>
  <c r="F65" i="29"/>
  <c r="B919" i="106"/>
  <c r="D919" i="106"/>
  <c r="B920" i="106"/>
  <c r="D920" i="106"/>
  <c r="B921" i="106"/>
  <c r="D921" i="106"/>
  <c r="B922" i="106"/>
  <c r="D922" i="106"/>
  <c r="B923" i="106"/>
  <c r="D923" i="106"/>
  <c r="D924" i="106"/>
  <c r="B925" i="106"/>
  <c r="D925" i="106"/>
  <c r="D926" i="106"/>
  <c r="F72" i="29"/>
  <c r="B927" i="106"/>
  <c r="D927" i="106"/>
  <c r="B928" i="106"/>
  <c r="D928" i="106"/>
  <c r="B930" i="106"/>
  <c r="D930" i="106"/>
  <c r="D932" i="106"/>
  <c r="D933" i="106"/>
  <c r="D934" i="106"/>
  <c r="D935" i="106"/>
  <c r="D936" i="106"/>
  <c r="B937" i="106"/>
  <c r="D937" i="106"/>
  <c r="B938" i="106"/>
  <c r="D938" i="106"/>
  <c r="D939" i="106"/>
  <c r="D940" i="106"/>
  <c r="D941" i="106"/>
  <c r="D942" i="106"/>
  <c r="D943" i="106"/>
  <c r="B944" i="106"/>
  <c r="D944" i="106"/>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G42" i="29"/>
  <c r="B959" i="106"/>
  <c r="D959" i="106"/>
  <c r="B960" i="106"/>
  <c r="D960" i="106"/>
  <c r="B961" i="106"/>
  <c r="D961" i="106"/>
  <c r="B962" i="106"/>
  <c r="D962" i="106"/>
  <c r="G47" i="29"/>
  <c r="B963" i="106"/>
  <c r="D963" i="106"/>
  <c r="B964" i="106"/>
  <c r="D964" i="106"/>
  <c r="B965" i="106"/>
  <c r="D965" i="106"/>
  <c r="G53" i="29"/>
  <c r="B966" i="106"/>
  <c r="D966" i="106"/>
  <c r="B967" i="106"/>
  <c r="D967" i="106"/>
  <c r="B968" i="106"/>
  <c r="D968" i="106"/>
  <c r="G57" i="29"/>
  <c r="B969" i="106"/>
  <c r="D969" i="106"/>
  <c r="B970" i="106"/>
  <c r="D970" i="106"/>
  <c r="B971" i="106"/>
  <c r="D971" i="106"/>
  <c r="B972" i="106"/>
  <c r="D972" i="106"/>
  <c r="B973" i="106"/>
  <c r="D973" i="106"/>
  <c r="B974" i="106"/>
  <c r="D974" i="106"/>
  <c r="B975" i="106"/>
  <c r="D975" i="106"/>
  <c r="D976" i="106"/>
  <c r="G65" i="29"/>
  <c r="B977" i="106"/>
  <c r="D977" i="106"/>
  <c r="B978" i="106"/>
  <c r="D978" i="106"/>
  <c r="B979" i="106"/>
  <c r="D979" i="106"/>
  <c r="B980" i="106"/>
  <c r="D980" i="106"/>
  <c r="B981" i="106"/>
  <c r="D981" i="106"/>
  <c r="D982" i="106"/>
  <c r="B983" i="106"/>
  <c r="D983" i="106"/>
  <c r="D984" i="106"/>
  <c r="G72" i="29"/>
  <c r="B985" i="106"/>
  <c r="D985" i="106"/>
  <c r="B986" i="106"/>
  <c r="D986" i="106"/>
  <c r="B988" i="106"/>
  <c r="D988" i="106"/>
  <c r="D990" i="106"/>
  <c r="D991" i="106"/>
  <c r="D992" i="106"/>
  <c r="D993" i="106"/>
  <c r="D994" i="106"/>
  <c r="B995" i="106"/>
  <c r="D995" i="106"/>
  <c r="B996" i="106"/>
  <c r="D996" i="106"/>
  <c r="D997" i="106"/>
  <c r="D998" i="106"/>
  <c r="D999" i="106"/>
  <c r="D1000" i="106"/>
  <c r="D1001" i="106"/>
  <c r="B1002" i="106"/>
  <c r="D1002" i="106"/>
  <c r="D1003" i="106"/>
  <c r="D1004" i="106"/>
  <c r="D1005" i="106"/>
  <c r="B1006" i="106"/>
  <c r="D1006" i="106"/>
  <c r="B1007" i="106"/>
  <c r="D1007" i="106"/>
  <c r="B1008" i="106"/>
  <c r="D1008" i="106"/>
  <c r="B1009" i="106"/>
  <c r="D1009" i="106"/>
  <c r="B1011" i="106"/>
  <c r="D1011" i="106"/>
  <c r="B1012" i="106"/>
  <c r="D1012" i="106"/>
  <c r="B1013" i="106"/>
  <c r="D1013" i="106"/>
  <c r="B1014" i="106"/>
  <c r="D1014" i="106"/>
  <c r="B1015" i="106"/>
  <c r="D1015" i="106"/>
  <c r="B1016" i="106"/>
  <c r="D1016" i="106"/>
  <c r="H42" i="29"/>
  <c r="B1017" i="106"/>
  <c r="D1017" i="106"/>
  <c r="B1018" i="106"/>
  <c r="D1018" i="106"/>
  <c r="B1019" i="106"/>
  <c r="D1019" i="106"/>
  <c r="B1020" i="106"/>
  <c r="D1020" i="106"/>
  <c r="H47" i="29"/>
  <c r="B1022" i="106"/>
  <c r="D1022" i="106"/>
  <c r="B1023" i="106"/>
  <c r="D1023" i="106"/>
  <c r="H53" i="29"/>
  <c r="B1024" i="106"/>
  <c r="D1024" i="106"/>
  <c r="B1025" i="106"/>
  <c r="D1025" i="106"/>
  <c r="B1026" i="106"/>
  <c r="D1026" i="106"/>
  <c r="H57" i="29"/>
  <c r="B1027" i="106"/>
  <c r="D1027" i="106"/>
  <c r="B1028" i="106"/>
  <c r="D1028" i="106"/>
  <c r="B1029" i="106"/>
  <c r="D1029" i="106"/>
  <c r="B1030" i="106"/>
  <c r="D1030" i="106"/>
  <c r="B1031" i="106"/>
  <c r="D1031" i="106"/>
  <c r="B1032" i="106"/>
  <c r="D1032" i="106"/>
  <c r="B1033" i="106"/>
  <c r="D1033" i="106"/>
  <c r="D1034" i="106"/>
  <c r="H65" i="29"/>
  <c r="B1035" i="106"/>
  <c r="D1035" i="106"/>
  <c r="B1036" i="106"/>
  <c r="D1036" i="106"/>
  <c r="B1037" i="106"/>
  <c r="D1037" i="106"/>
  <c r="B1038" i="106"/>
  <c r="D1038" i="106"/>
  <c r="B1039" i="106"/>
  <c r="D1039" i="106"/>
  <c r="D1040" i="106"/>
  <c r="B1041" i="106"/>
  <c r="D1041" i="106"/>
  <c r="D1042" i="106"/>
  <c r="H72" i="29"/>
  <c r="B1043" i="106"/>
  <c r="D1043" i="106"/>
  <c r="B1044" i="106"/>
  <c r="D1044" i="106"/>
  <c r="B1046" i="106"/>
  <c r="D1046" i="106"/>
  <c r="H84" i="29"/>
  <c r="B2081" i="106"/>
  <c r="D2081" i="106"/>
  <c r="B2089" i="106"/>
  <c r="D2089" i="106"/>
  <c r="H100" i="29"/>
  <c r="B7012" i="106"/>
  <c r="D7012" i="106"/>
  <c r="B1048" i="106"/>
  <c r="D1048" i="106"/>
  <c r="B1049" i="106"/>
  <c r="D1049" i="106"/>
  <c r="D1050" i="106"/>
  <c r="B1051" i="106"/>
  <c r="D1051" i="106"/>
  <c r="D1052" i="106"/>
  <c r="H110" i="29"/>
  <c r="B1053" i="106"/>
  <c r="D1053"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c r="D1094" i="106"/>
  <c r="D1095" i="106"/>
  <c r="D1096" i="106"/>
  <c r="D1097" i="106"/>
  <c r="D1098" i="106"/>
  <c r="D1099" i="106"/>
  <c r="K18" i="29"/>
  <c r="B1100" i="106"/>
  <c r="D1100" i="106"/>
  <c r="D1101" i="106"/>
  <c r="D1102" i="106"/>
  <c r="D1103" i="106"/>
  <c r="K12" i="29"/>
  <c r="B1104" i="106"/>
  <c r="D1104" i="106"/>
  <c r="B1106" i="106"/>
  <c r="D1106" i="106"/>
  <c r="K15" i="29"/>
  <c r="B1107" i="106"/>
  <c r="D1107" i="106"/>
  <c r="B1110" i="106"/>
  <c r="D1110" i="106"/>
  <c r="B1111" i="106"/>
  <c r="D1111" i="106"/>
  <c r="K39" i="29"/>
  <c r="B1112" i="106"/>
  <c r="D1112" i="106"/>
  <c r="K40" i="29"/>
  <c r="B1113" i="106"/>
  <c r="D1113" i="106"/>
  <c r="B1114" i="106"/>
  <c r="D1114" i="106"/>
  <c r="K46" i="29"/>
  <c r="B1118" i="106"/>
  <c r="D1118" i="106"/>
  <c r="B1120" i="106"/>
  <c r="D1120" i="106"/>
  <c r="D27" i="108"/>
  <c r="K61" i="29"/>
  <c r="B1128" i="106"/>
  <c r="D1128" i="106"/>
  <c r="K62" i="29"/>
  <c r="B1129" i="106"/>
  <c r="D1129" i="106"/>
  <c r="B1130" i="106"/>
  <c r="D1130" i="106"/>
  <c r="D1132" i="106"/>
  <c r="K68" i="29"/>
  <c r="G34" i="108"/>
  <c r="K69" i="29"/>
  <c r="B1136" i="106"/>
  <c r="D1136" i="106"/>
  <c r="K70" i="29"/>
  <c r="B1137" i="106"/>
  <c r="D1137" i="106"/>
  <c r="D1138" i="106"/>
  <c r="K71" i="29"/>
  <c r="B1139" i="106"/>
  <c r="D1139" i="106"/>
  <c r="D1140" i="106"/>
  <c r="K73" i="29"/>
  <c r="B1142" i="106"/>
  <c r="D1142" i="106"/>
  <c r="K78" i="29"/>
  <c r="B2973" i="106"/>
  <c r="D2973" i="106"/>
  <c r="B2974" i="106"/>
  <c r="D2974" i="106"/>
  <c r="K80" i="29"/>
  <c r="B2976" i="106"/>
  <c r="D2976" i="106"/>
  <c r="K82" i="29"/>
  <c r="B2977" i="106"/>
  <c r="D2977" i="106"/>
  <c r="K83" i="29"/>
  <c r="B2978" i="106"/>
  <c r="D2978" i="106"/>
  <c r="K93" i="29"/>
  <c r="K94" i="29"/>
  <c r="K95" i="29"/>
  <c r="K96" i="29"/>
  <c r="K97" i="29"/>
  <c r="K98" i="29"/>
  <c r="K99" i="29"/>
  <c r="B7010" i="106"/>
  <c r="D7010" i="106"/>
  <c r="K101" i="29"/>
  <c r="B7015" i="106"/>
  <c r="D7015" i="106"/>
  <c r="K105" i="29"/>
  <c r="K106" i="29"/>
  <c r="B1147" i="106"/>
  <c r="D1147" i="106"/>
  <c r="D1148" i="106"/>
  <c r="K109" i="29"/>
  <c r="B1149" i="106"/>
  <c r="D1149" i="106"/>
  <c r="D1150" i="106"/>
  <c r="K107" i="29"/>
  <c r="B2795" i="106"/>
  <c r="D2795" i="106"/>
  <c r="K108" i="29"/>
  <c r="B2796" i="106"/>
  <c r="D2796"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B1223" i="106"/>
  <c r="D1223" i="106"/>
  <c r="B1224" i="106"/>
  <c r="D1224" i="106"/>
  <c r="B1227" i="106"/>
  <c r="D1227" i="106"/>
  <c r="B1228" i="106"/>
  <c r="D1228" i="106"/>
  <c r="B1229" i="106"/>
  <c r="D1229" i="106"/>
  <c r="D1230" i="106"/>
  <c r="D127" i="29"/>
  <c r="B1232" i="106"/>
  <c r="D1232" i="106"/>
  <c r="B1235" i="106"/>
  <c r="D1235" i="106"/>
  <c r="B1236" i="106"/>
  <c r="D1236" i="106"/>
  <c r="B1237" i="106"/>
  <c r="D1237" i="106"/>
  <c r="D1238" i="106"/>
  <c r="E127" i="29"/>
  <c r="B1240" i="106"/>
  <c r="D1240" i="106"/>
  <c r="B1243" i="106"/>
  <c r="D1243" i="106"/>
  <c r="B1244" i="106"/>
  <c r="D1244" i="106"/>
  <c r="B1245" i="106"/>
  <c r="D1245" i="106"/>
  <c r="D1246" i="106"/>
  <c r="F127" i="29"/>
  <c r="B1248" i="106"/>
  <c r="D1248" i="106"/>
  <c r="B1251" i="106"/>
  <c r="D1251" i="106"/>
  <c r="B1252" i="106"/>
  <c r="D1252" i="106"/>
  <c r="B1253" i="106"/>
  <c r="D1253" i="106"/>
  <c r="B1254" i="106"/>
  <c r="D1254" i="106"/>
  <c r="D1255" i="106"/>
  <c r="G127" i="29"/>
  <c r="B1257" i="106"/>
  <c r="D1257" i="106"/>
  <c r="B1260" i="106"/>
  <c r="D1260" i="106"/>
  <c r="B1261" i="106"/>
  <c r="D1261" i="106"/>
  <c r="B1262" i="106"/>
  <c r="D1262" i="106"/>
  <c r="D1263" i="106"/>
  <c r="H127" i="29"/>
  <c r="B1265" i="106"/>
  <c r="D1265" i="106"/>
  <c r="H139" i="29"/>
  <c r="B1267" i="106"/>
  <c r="D1267" i="106"/>
  <c r="B1268" i="106"/>
  <c r="D1268" i="106"/>
  <c r="B1269" i="106"/>
  <c r="D1269" i="106"/>
  <c r="B1270" i="106"/>
  <c r="D1270" i="106"/>
  <c r="D1271" i="106"/>
  <c r="H147" i="29"/>
  <c r="H149" i="29"/>
  <c r="B1272" i="106"/>
  <c r="D1272" i="106"/>
  <c r="B1274" i="106"/>
  <c r="D1274" i="106"/>
  <c r="K123" i="29"/>
  <c r="B1276" i="106"/>
  <c r="D1276" i="106"/>
  <c r="K126" i="29"/>
  <c r="B1277" i="106"/>
  <c r="D1277" i="106"/>
  <c r="D1278" i="106"/>
  <c r="K125" i="29"/>
  <c r="K128" i="29"/>
  <c r="B1280" i="106"/>
  <c r="D1280" i="106"/>
  <c r="K120" i="29"/>
  <c r="B4080" i="106"/>
  <c r="D4080" i="106"/>
  <c r="K134" i="29"/>
  <c r="K135" i="29"/>
  <c r="B2987" i="106"/>
  <c r="D2987" i="106"/>
  <c r="K136" i="29"/>
  <c r="B2988" i="106"/>
  <c r="D2988" i="106"/>
  <c r="K138" i="29"/>
  <c r="B2094" i="106"/>
  <c r="D2094" i="106"/>
  <c r="K142" i="29"/>
  <c r="K143" i="29"/>
  <c r="B1284" i="106"/>
  <c r="D1284" i="106"/>
  <c r="K146" i="29"/>
  <c r="B1285" i="106"/>
  <c r="D1285" i="106"/>
  <c r="D1286" i="106"/>
  <c r="K144" i="29"/>
  <c r="B2810" i="106"/>
  <c r="D2810" i="106"/>
  <c r="K145" i="29"/>
  <c r="B2811" i="106"/>
  <c r="D2811" i="106"/>
  <c r="K148" i="29"/>
  <c r="B7050" i="106"/>
  <c r="D7050" i="106"/>
  <c r="D1290" i="106"/>
  <c r="D1291" i="106"/>
  <c r="D1292" i="106"/>
  <c r="D1293" i="106"/>
  <c r="D1294" i="106"/>
  <c r="D1295" i="106"/>
  <c r="D1296" i="106"/>
  <c r="D1297" i="106"/>
  <c r="D1298" i="106"/>
  <c r="D1299" i="106"/>
  <c r="D1300" i="106"/>
  <c r="D1301" i="106"/>
  <c r="D1302" i="106"/>
  <c r="D1303" i="106"/>
  <c r="D1304" i="106"/>
  <c r="D1305" i="106"/>
  <c r="D1306" i="106"/>
  <c r="B1307" i="106"/>
  <c r="D1307" i="106"/>
  <c r="E172" i="29"/>
  <c r="B1310" i="106"/>
  <c r="D1310" i="106"/>
  <c r="B1311" i="106"/>
  <c r="D1311" i="106"/>
  <c r="B1312" i="106"/>
  <c r="D1312" i="106"/>
  <c r="B1313" i="106"/>
  <c r="D1313" i="106"/>
  <c r="H168" i="29"/>
  <c r="B1314" i="106"/>
  <c r="D1314" i="106"/>
  <c r="B1315" i="106"/>
  <c r="D1315" i="106"/>
  <c r="B1316" i="106"/>
  <c r="D1316" i="106"/>
  <c r="D1319" i="106"/>
  <c r="D1320" i="106"/>
  <c r="D1321" i="106"/>
  <c r="D1322" i="106"/>
  <c r="D1323" i="106"/>
  <c r="K163" i="29"/>
  <c r="B1324" i="106"/>
  <c r="D1324" i="106"/>
  <c r="K164" i="29"/>
  <c r="B1325" i="106"/>
  <c r="D1325" i="106"/>
  <c r="K169" i="29"/>
  <c r="B1326" i="106"/>
  <c r="D1326" i="106"/>
  <c r="K167" i="29"/>
  <c r="B1327" i="106"/>
  <c r="D1327" i="106"/>
  <c r="K165" i="29"/>
  <c r="B2818" i="106"/>
  <c r="D2818" i="106"/>
  <c r="K166" i="29"/>
  <c r="K170" i="29"/>
  <c r="K171" i="29"/>
  <c r="B1330" i="106"/>
  <c r="D1330" i="106"/>
  <c r="D1334" i="106"/>
  <c r="B1335" i="106"/>
  <c r="D1335" i="106"/>
  <c r="D1336" i="106"/>
  <c r="D1337" i="106"/>
  <c r="B1338" i="106"/>
  <c r="D1338" i="106"/>
  <c r="C184" i="29"/>
  <c r="B1341" i="106"/>
  <c r="D1341" i="106"/>
  <c r="D1342" i="106"/>
  <c r="D1343" i="106"/>
  <c r="B1344" i="106"/>
  <c r="D1344" i="106"/>
  <c r="D184" i="29"/>
  <c r="B1347" i="106"/>
  <c r="D1347" i="106"/>
  <c r="D1348" i="106"/>
  <c r="D1349" i="106"/>
  <c r="B1350" i="106"/>
  <c r="D1350" i="106"/>
  <c r="E184" i="29"/>
  <c r="B1351" i="106"/>
  <c r="D1351" i="106"/>
  <c r="E194" i="29"/>
  <c r="E196" i="29"/>
  <c r="B1354" i="106"/>
  <c r="D1354" i="106"/>
  <c r="D1355" i="106"/>
  <c r="D1356" i="106"/>
  <c r="B1357" i="106"/>
  <c r="D1357" i="106"/>
  <c r="F184" i="29"/>
  <c r="B1360" i="106"/>
  <c r="D1360" i="106"/>
  <c r="D1361" i="106"/>
  <c r="D1362" i="106"/>
  <c r="B1363" i="106"/>
  <c r="D1363" i="106"/>
  <c r="G184" i="29"/>
  <c r="B1364" i="106"/>
  <c r="D1364" i="106"/>
  <c r="B1366" i="106"/>
  <c r="D1366" i="106"/>
  <c r="D1367" i="106"/>
  <c r="D1368" i="106"/>
  <c r="B1369" i="106"/>
  <c r="D1369" i="106"/>
  <c r="H184" i="29"/>
  <c r="B1370" i="106"/>
  <c r="D1370" i="106"/>
  <c r="B1371" i="106"/>
  <c r="D1371" i="106"/>
  <c r="B1372" i="106"/>
  <c r="D1372" i="106"/>
  <c r="B1373" i="106"/>
  <c r="D1373" i="106"/>
  <c r="D1374" i="106"/>
  <c r="H204" i="29"/>
  <c r="H208" i="29"/>
  <c r="B1375" i="106"/>
  <c r="D1375" i="106"/>
  <c r="H194" i="29"/>
  <c r="B1377" i="106"/>
  <c r="D1377" i="106"/>
  <c r="D1378" i="106"/>
  <c r="D1379" i="106"/>
  <c r="K183" i="29"/>
  <c r="B1380" i="106"/>
  <c r="D1380" i="106"/>
  <c r="K180" i="29"/>
  <c r="K188" i="29"/>
  <c r="B3007" i="106"/>
  <c r="D3007" i="106"/>
  <c r="K189" i="29"/>
  <c r="B3008" i="106"/>
  <c r="D3008" i="106"/>
  <c r="K190" i="29"/>
  <c r="K191" i="29"/>
  <c r="B3010" i="106"/>
  <c r="D3010" i="106"/>
  <c r="K192" i="29"/>
  <c r="K193" i="29"/>
  <c r="B3012" i="106"/>
  <c r="D3012" i="106"/>
  <c r="K195" i="29"/>
  <c r="B2839" i="106"/>
  <c r="D2839" i="106"/>
  <c r="K199" i="29"/>
  <c r="B1383" i="106"/>
  <c r="D1383" i="106"/>
  <c r="K200" i="29"/>
  <c r="B1384" i="106"/>
  <c r="D1384" i="106"/>
  <c r="K203" i="29"/>
  <c r="B1385" i="106"/>
  <c r="D1385" i="106"/>
  <c r="D1386" i="106"/>
  <c r="K201" i="29"/>
  <c r="B2841" i="106"/>
  <c r="D2841" i="106"/>
  <c r="K202" i="29"/>
  <c r="K205" i="29"/>
  <c r="B7068" i="106"/>
  <c r="D7068" i="106"/>
  <c r="K206" i="29"/>
  <c r="B4211" i="106"/>
  <c r="D4211" i="106"/>
  <c r="K207" i="29"/>
  <c r="B7070" i="106"/>
  <c r="D7070" i="106"/>
  <c r="D1390" i="106"/>
  <c r="D1391" i="106"/>
  <c r="D1392" i="106"/>
  <c r="D1393" i="106"/>
  <c r="D1394" i="106"/>
  <c r="D1395" i="106"/>
  <c r="B1396" i="106"/>
  <c r="D1396" i="106"/>
  <c r="D1397" i="106"/>
  <c r="D1398" i="106"/>
  <c r="D1399" i="106"/>
  <c r="D1400" i="106"/>
  <c r="D1401" i="106"/>
  <c r="B1402" i="106"/>
  <c r="D1402" i="106"/>
  <c r="D1403" i="106"/>
  <c r="D1404" i="106"/>
  <c r="D1405" i="106"/>
  <c r="B1406" i="106"/>
  <c r="D1406" i="106"/>
  <c r="B1407" i="106"/>
  <c r="D1407" i="106"/>
  <c r="B1408" i="106"/>
  <c r="D1408" i="106"/>
  <c r="B1409" i="106"/>
  <c r="D1409" i="106"/>
  <c r="D229" i="29"/>
  <c r="B1411" i="106"/>
  <c r="D1411" i="106"/>
  <c r="B1412" i="106"/>
  <c r="D1412" i="106"/>
  <c r="B1413" i="106"/>
  <c r="D1413" i="106"/>
  <c r="B1414" i="106"/>
  <c r="D1414" i="106"/>
  <c r="B1415" i="106"/>
  <c r="D1415" i="106"/>
  <c r="B1416" i="106"/>
  <c r="D1416" i="106"/>
  <c r="D238" i="29"/>
  <c r="B1418" i="106"/>
  <c r="D1418" i="106"/>
  <c r="B1419" i="106"/>
  <c r="D1419" i="106"/>
  <c r="B1420" i="106"/>
  <c r="D1420" i="106"/>
  <c r="D243" i="29"/>
  <c r="B1421" i="106"/>
  <c r="D1421" i="106"/>
  <c r="B1422" i="106"/>
  <c r="D1422" i="106"/>
  <c r="B1423" i="106"/>
  <c r="D1423" i="106"/>
  <c r="D257" i="29"/>
  <c r="B1424" i="106"/>
  <c r="D1424" i="106"/>
  <c r="B1425" i="106"/>
  <c r="D1425" i="106"/>
  <c r="B1426" i="106"/>
  <c r="D1426" i="106"/>
  <c r="D261" i="29"/>
  <c r="B1427" i="106"/>
  <c r="D1427" i="106"/>
  <c r="B1428" i="106"/>
  <c r="D1428" i="106"/>
  <c r="B1429" i="106"/>
  <c r="D1429" i="106"/>
  <c r="B1430" i="106"/>
  <c r="D1430" i="106"/>
  <c r="B1431" i="106"/>
  <c r="D1431" i="106"/>
  <c r="B1432" i="106"/>
  <c r="D1432" i="106"/>
  <c r="B1433" i="106"/>
  <c r="D1433" i="106"/>
  <c r="B1434" i="106"/>
  <c r="D1434" i="106"/>
  <c r="D1435" i="106"/>
  <c r="D270" i="29"/>
  <c r="B1436" i="106"/>
  <c r="D1436" i="106"/>
  <c r="B1437" i="106"/>
  <c r="D1437" i="106"/>
  <c r="B1438" i="106"/>
  <c r="D1438" i="106"/>
  <c r="B1439" i="106"/>
  <c r="D1439" i="106"/>
  <c r="B1440" i="106"/>
  <c r="D1440" i="106"/>
  <c r="D1441" i="106"/>
  <c r="B1442" i="106"/>
  <c r="D1442" i="106"/>
  <c r="D1443" i="106"/>
  <c r="D277" i="29"/>
  <c r="B1444" i="106"/>
  <c r="D1444" i="106"/>
  <c r="B1445" i="106"/>
  <c r="D1445" i="106"/>
  <c r="B1447" i="106"/>
  <c r="D1447" i="106"/>
  <c r="B1449" i="106"/>
  <c r="D1449" i="106"/>
  <c r="B1450" i="106"/>
  <c r="D1450" i="106"/>
  <c r="B1451" i="106"/>
  <c r="D1451" i="106"/>
  <c r="H293" i="29"/>
  <c r="B1452" i="106"/>
  <c r="D1452" i="106"/>
  <c r="D1453" i="106"/>
  <c r="D1455" i="106"/>
  <c r="D1456" i="106"/>
  <c r="D1457" i="106"/>
  <c r="D1458" i="106"/>
  <c r="D1459" i="106"/>
  <c r="K225" i="29"/>
  <c r="B1460" i="106"/>
  <c r="D1460" i="106"/>
  <c r="D1461" i="106"/>
  <c r="D1462" i="106"/>
  <c r="D1463" i="106"/>
  <c r="D1464" i="106"/>
  <c r="D1465" i="106"/>
  <c r="K227" i="29"/>
  <c r="B1466" i="106"/>
  <c r="D1466" i="106"/>
  <c r="D1467" i="106"/>
  <c r="D1468" i="106"/>
  <c r="D1469" i="106"/>
  <c r="K221" i="29"/>
  <c r="B1470" i="106"/>
  <c r="D1470" i="106"/>
  <c r="K222" i="29"/>
  <c r="B1471" i="106"/>
  <c r="D1471" i="106"/>
  <c r="K223" i="29"/>
  <c r="B1472" i="106"/>
  <c r="D1472" i="106"/>
  <c r="K224" i="29"/>
  <c r="B1473" i="106"/>
  <c r="D1473" i="106"/>
  <c r="K215" i="29"/>
  <c r="B3390" i="106"/>
  <c r="D3390" i="106"/>
  <c r="K216" i="29"/>
  <c r="K217" i="29"/>
  <c r="B3391" i="106"/>
  <c r="D3391" i="106"/>
  <c r="K218" i="29"/>
  <c r="K219" i="29"/>
  <c r="B3065" i="106"/>
  <c r="D3065" i="106"/>
  <c r="K220" i="29"/>
  <c r="K226" i="29"/>
  <c r="B7080" i="106"/>
  <c r="D7080" i="106"/>
  <c r="K228" i="29"/>
  <c r="K232" i="29"/>
  <c r="K233" i="29"/>
  <c r="B1476" i="106"/>
  <c r="D1476" i="106"/>
  <c r="K234" i="29"/>
  <c r="B1477" i="106"/>
  <c r="D1477" i="106"/>
  <c r="K235" i="29"/>
  <c r="B1478" i="106"/>
  <c r="D1478" i="106"/>
  <c r="K236" i="29"/>
  <c r="B1479" i="106"/>
  <c r="D1479" i="106"/>
  <c r="K237" i="29"/>
  <c r="B1480" i="106"/>
  <c r="D1480" i="106"/>
  <c r="K240" i="29"/>
  <c r="B1482" i="106"/>
  <c r="D1482" i="106"/>
  <c r="K241" i="29"/>
  <c r="B1483" i="106"/>
  <c r="D1483" i="106"/>
  <c r="K242" i="29"/>
  <c r="B1484" i="106"/>
  <c r="D1484" i="106"/>
  <c r="K245" i="29"/>
  <c r="B1486" i="106"/>
  <c r="D1486" i="106"/>
  <c r="K246" i="29"/>
  <c r="B1487" i="106"/>
  <c r="D1487" i="106"/>
  <c r="K247" i="29"/>
  <c r="B2726" i="106"/>
  <c r="D2726" i="106"/>
  <c r="K248" i="29"/>
  <c r="B7082" i="106"/>
  <c r="D7082" i="106"/>
  <c r="K249" i="29"/>
  <c r="K250" i="29"/>
  <c r="B7086" i="106"/>
  <c r="D7086" i="106"/>
  <c r="K251" i="29"/>
  <c r="K252" i="29"/>
  <c r="B7090" i="106"/>
  <c r="D7090" i="106"/>
  <c r="K253" i="29"/>
  <c r="K254" i="29"/>
  <c r="B7094" i="106"/>
  <c r="D7094" i="106"/>
  <c r="K255" i="29"/>
  <c r="K256" i="29"/>
  <c r="B7098" i="106"/>
  <c r="D7098" i="106"/>
  <c r="K259" i="29"/>
  <c r="B1489" i="106"/>
  <c r="D1489" i="106"/>
  <c r="K260" i="29"/>
  <c r="B1490" i="106"/>
  <c r="D1490" i="106"/>
  <c r="K263" i="29"/>
  <c r="K264" i="29"/>
  <c r="B1493" i="106"/>
  <c r="D1493" i="106"/>
  <c r="K265" i="29"/>
  <c r="B1494" i="106"/>
  <c r="D1494" i="106"/>
  <c r="K266" i="29"/>
  <c r="B1495" i="106"/>
  <c r="D1495" i="106"/>
  <c r="K267" i="29"/>
  <c r="B1496" i="106"/>
  <c r="D1496" i="106"/>
  <c r="K268" i="29"/>
  <c r="B1497" i="106"/>
  <c r="D1497" i="106"/>
  <c r="K269" i="29"/>
  <c r="B1498" i="106"/>
  <c r="D1498" i="106"/>
  <c r="D1499" i="106"/>
  <c r="K272" i="29"/>
  <c r="B1501" i="106"/>
  <c r="D1501" i="106"/>
  <c r="K273" i="29"/>
  <c r="B1502" i="106"/>
  <c r="D1502" i="106"/>
  <c r="K274" i="29"/>
  <c r="B1503" i="106"/>
  <c r="D1503" i="106"/>
  <c r="K275" i="29"/>
  <c r="B1504" i="106"/>
  <c r="D1504" i="106"/>
  <c r="D1505" i="106"/>
  <c r="K276" i="29"/>
  <c r="B1506" i="106"/>
  <c r="D1506" i="106"/>
  <c r="D1507" i="106"/>
  <c r="K278" i="29"/>
  <c r="B1509" i="106"/>
  <c r="D1509" i="106"/>
  <c r="K280" i="29"/>
  <c r="B1511" i="106"/>
  <c r="D1511" i="106"/>
  <c r="K288" i="29"/>
  <c r="K289" i="29"/>
  <c r="B1513" i="106"/>
  <c r="D1513" i="106"/>
  <c r="K292" i="29"/>
  <c r="B1514" i="106"/>
  <c r="D1514" i="106"/>
  <c r="K290" i="29"/>
  <c r="B2845" i="106"/>
  <c r="D2845" i="106"/>
  <c r="K291" i="29"/>
  <c r="B2846" i="106"/>
  <c r="D2846" i="106"/>
  <c r="D1516" i="106"/>
  <c r="K283" i="29"/>
  <c r="K284" i="29"/>
  <c r="B4166" i="106"/>
  <c r="D4166" i="106"/>
  <c r="B1519" i="106"/>
  <c r="D1519" i="106"/>
  <c r="D1520" i="106"/>
  <c r="D1521" i="106"/>
  <c r="B1522" i="106"/>
  <c r="D1522" i="106"/>
  <c r="C303" i="29"/>
  <c r="B1525" i="106"/>
  <c r="D1525" i="106"/>
  <c r="D1526" i="106"/>
  <c r="D1527" i="106"/>
  <c r="B1528" i="106"/>
  <c r="D1528" i="106"/>
  <c r="D303" i="29"/>
  <c r="B1529" i="106"/>
  <c r="D1529" i="106"/>
  <c r="B1531" i="106"/>
  <c r="D1531" i="106"/>
  <c r="D1532" i="106"/>
  <c r="D1533" i="106"/>
  <c r="B1534" i="106"/>
  <c r="D1534" i="106"/>
  <c r="E303" i="29"/>
  <c r="B1535" i="106"/>
  <c r="D1535" i="106"/>
  <c r="E310" i="29"/>
  <c r="B1537" i="106"/>
  <c r="D1537" i="106"/>
  <c r="D1538" i="106"/>
  <c r="D1539" i="106"/>
  <c r="B1540" i="106"/>
  <c r="D1540" i="106"/>
  <c r="F303" i="29"/>
  <c r="B1541" i="106"/>
  <c r="D1541" i="106"/>
  <c r="B1543" i="106"/>
  <c r="D1543" i="106"/>
  <c r="D1544" i="106"/>
  <c r="D1545" i="106"/>
  <c r="B1546" i="106"/>
  <c r="D1546" i="106"/>
  <c r="G303" i="29"/>
  <c r="B1547" i="106"/>
  <c r="D1547" i="106"/>
  <c r="B1549" i="106"/>
  <c r="D1549" i="106"/>
  <c r="D1550" i="106"/>
  <c r="D1551" i="106"/>
  <c r="B1552" i="106"/>
  <c r="D1552" i="106"/>
  <c r="H303" i="29"/>
  <c r="B1553" i="106"/>
  <c r="D1553" i="106"/>
  <c r="H310" i="29"/>
  <c r="K301" i="29"/>
  <c r="D1556" i="106"/>
  <c r="D1557" i="106"/>
  <c r="K302" i="29"/>
  <c r="B1558" i="106"/>
  <c r="D1558" i="106"/>
  <c r="K306" i="29"/>
  <c r="K307" i="29"/>
  <c r="K308" i="29"/>
  <c r="K309" i="29"/>
  <c r="B3717" i="106"/>
  <c r="D371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c r="B1778" i="106"/>
  <c r="D1778" i="106"/>
  <c r="B1779" i="106"/>
  <c r="D1779" i="106"/>
  <c r="B1780" i="106"/>
  <c r="D1780" i="106"/>
  <c r="B1781" i="106"/>
  <c r="D1781" i="106"/>
  <c r="D1782" i="106"/>
  <c r="B1783" i="106"/>
  <c r="D1783" i="106"/>
  <c r="B1784" i="106"/>
  <c r="D1784" i="106"/>
  <c r="B1785" i="106"/>
  <c r="D1785" i="106"/>
  <c r="B1786" i="106"/>
  <c r="D1786" i="106"/>
  <c r="D1787" i="106"/>
  <c r="B1788" i="106"/>
  <c r="D1788" i="106"/>
  <c r="D1789" i="106"/>
  <c r="D1790" i="106"/>
  <c r="C19" i="7"/>
  <c r="B1791" i="106"/>
  <c r="D1791" i="106"/>
  <c r="F4" i="7"/>
  <c r="B1792" i="106"/>
  <c r="D1792" i="106"/>
  <c r="F5" i="7"/>
  <c r="B1793" i="106"/>
  <c r="D1793" i="106"/>
  <c r="F6" i="7"/>
  <c r="B1794" i="106"/>
  <c r="D1794" i="106"/>
  <c r="F7" i="7"/>
  <c r="B1795" i="106"/>
  <c r="D1795" i="106"/>
  <c r="F8" i="7"/>
  <c r="B1796" i="106"/>
  <c r="D1796" i="106"/>
  <c r="F10" i="7"/>
  <c r="B1797" i="106"/>
  <c r="D1797" i="106"/>
  <c r="D1798" i="106"/>
  <c r="F9" i="7"/>
  <c r="B1799" i="106"/>
  <c r="D1799" i="106"/>
  <c r="F11" i="7"/>
  <c r="B1800" i="106"/>
  <c r="D1800" i="106"/>
  <c r="F12" i="7"/>
  <c r="B1801" i="106"/>
  <c r="D1801" i="106"/>
  <c r="F14" i="7"/>
  <c r="B1802" i="106"/>
  <c r="D1802" i="106"/>
  <c r="D1803" i="106"/>
  <c r="F15" i="7"/>
  <c r="B1804" i="106"/>
  <c r="D1804" i="106"/>
  <c r="D1805" i="106"/>
  <c r="D1806" i="106"/>
  <c r="B1808" i="106"/>
  <c r="D1808" i="106"/>
  <c r="B1809" i="106"/>
  <c r="D1809" i="106"/>
  <c r="B1810" i="106"/>
  <c r="D1810" i="106"/>
  <c r="B1811" i="106"/>
  <c r="D1811" i="106"/>
  <c r="B1812" i="106"/>
  <c r="D1812" i="106"/>
  <c r="B1813" i="106"/>
  <c r="D1813" i="106"/>
  <c r="D1814" i="106"/>
  <c r="B1815" i="106"/>
  <c r="D1815" i="106"/>
  <c r="B1816" i="106"/>
  <c r="D1816" i="106"/>
  <c r="B1817" i="106"/>
  <c r="D1817" i="106"/>
  <c r="B1818" i="106"/>
  <c r="D1818" i="106"/>
  <c r="D1819" i="106"/>
  <c r="B1820" i="106"/>
  <c r="D1820" i="106"/>
  <c r="D1821" i="106"/>
  <c r="D1822" i="106"/>
  <c r="E19" i="7"/>
  <c r="B1823" i="106"/>
  <c r="D1823" i="106"/>
  <c r="D1824" i="106"/>
  <c r="B1825" i="106"/>
  <c r="D1825" i="106"/>
  <c r="B1826" i="106"/>
  <c r="D1826" i="106"/>
  <c r="B1827" i="106"/>
  <c r="D1827" i="106"/>
  <c r="B1828" i="106"/>
  <c r="D1828" i="106"/>
  <c r="B1829" i="106"/>
  <c r="D1829" i="106"/>
  <c r="B1830" i="106"/>
  <c r="D1830" i="106"/>
  <c r="B1831" i="106"/>
  <c r="D1831" i="106"/>
  <c r="B1832" i="106"/>
  <c r="D1832" i="106"/>
  <c r="C15" i="8"/>
  <c r="B1833" i="106"/>
  <c r="D1833" i="106"/>
  <c r="B1834" i="106"/>
  <c r="D1834" i="106"/>
  <c r="B1835" i="106"/>
  <c r="D1835" i="106"/>
  <c r="B1836" i="106"/>
  <c r="D1836" i="106"/>
  <c r="C21" i="8"/>
  <c r="B1837" i="106"/>
  <c r="D1837" i="106"/>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c r="B1848" i="106"/>
  <c r="D1848" i="106"/>
  <c r="B1849" i="106"/>
  <c r="D1849" i="106"/>
  <c r="B1850" i="106"/>
  <c r="D1850" i="106"/>
  <c r="D21" i="8"/>
  <c r="B1851" i="106"/>
  <c r="D1851" i="106"/>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c r="B1862" i="106"/>
  <c r="D1862" i="106"/>
  <c r="B1863" i="106"/>
  <c r="D1863" i="106"/>
  <c r="B1864" i="106"/>
  <c r="D1864" i="106"/>
  <c r="E21" i="8"/>
  <c r="B1865" i="106"/>
  <c r="D1865" i="106"/>
  <c r="B1866" i="106"/>
  <c r="D1866" i="106"/>
  <c r="F6" i="8"/>
  <c r="F7" i="8"/>
  <c r="B1868" i="106"/>
  <c r="D1868" i="106"/>
  <c r="F12" i="8"/>
  <c r="B1869" i="106"/>
  <c r="D1869" i="106"/>
  <c r="F11" i="8"/>
  <c r="B1870" i="106"/>
  <c r="D1870" i="106"/>
  <c r="F8" i="8"/>
  <c r="B1871" i="106"/>
  <c r="D1871" i="106"/>
  <c r="F9" i="8"/>
  <c r="B1872" i="106"/>
  <c r="D1872" i="106"/>
  <c r="F10" i="8"/>
  <c r="B1873" i="106"/>
  <c r="D1873" i="106"/>
  <c r="F14" i="8"/>
  <c r="B1874" i="106"/>
  <c r="D1874" i="106"/>
  <c r="F13" i="8"/>
  <c r="B3688" i="106"/>
  <c r="D3688" i="106"/>
  <c r="F17" i="8"/>
  <c r="B1876" i="106"/>
  <c r="D1876" i="106"/>
  <c r="F18" i="8"/>
  <c r="B1877" i="106"/>
  <c r="D1877" i="106"/>
  <c r="F20" i="8"/>
  <c r="B1878" i="106"/>
  <c r="D1878" i="106"/>
  <c r="F19" i="8"/>
  <c r="B3689" i="106"/>
  <c r="D3689" i="106"/>
  <c r="F23" i="8"/>
  <c r="B1880" i="106"/>
  <c r="D1880" i="106"/>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c r="D1939" i="106"/>
  <c r="F49" i="8"/>
  <c r="B1940" i="106"/>
  <c r="D1940" i="106"/>
  <c r="D1941" i="106"/>
  <c r="D1942" i="106"/>
  <c r="D1943" i="106"/>
  <c r="D1944" i="106"/>
  <c r="D1945" i="106"/>
  <c r="D1946" i="106"/>
  <c r="D1947" i="106"/>
  <c r="B1948" i="106"/>
  <c r="D1948" i="106"/>
  <c r="D1949" i="106"/>
  <c r="B1950" i="106"/>
  <c r="D1950" i="106"/>
  <c r="D1951" i="106"/>
  <c r="D1952" i="106"/>
  <c r="G12" i="12"/>
  <c r="B1953" i="106"/>
  <c r="D1953" i="106"/>
  <c r="D1954" i="106"/>
  <c r="B1955" i="106"/>
  <c r="D1955" i="106"/>
  <c r="D1956" i="106"/>
  <c r="G23" i="12"/>
  <c r="B1957" i="106"/>
  <c r="D1957" i="106"/>
  <c r="D1959" i="106"/>
  <c r="D1960" i="106"/>
  <c r="D1961" i="106"/>
  <c r="D1962" i="106"/>
  <c r="D1963" i="106"/>
  <c r="D1964" i="106"/>
  <c r="D1965" i="106"/>
  <c r="D1966" i="106"/>
  <c r="D1967" i="106"/>
  <c r="D1968" i="106"/>
  <c r="D1969" i="106"/>
  <c r="D1970" i="106"/>
  <c r="B1971" i="106"/>
  <c r="D1971" i="106"/>
  <c r="B1972" i="106"/>
  <c r="D1972" i="106"/>
  <c r="B1973" i="106"/>
  <c r="D1973" i="106"/>
  <c r="B1974" i="106"/>
  <c r="D1974" i="106"/>
  <c r="D1975" i="106"/>
  <c r="D1976" i="106"/>
  <c r="H12" i="12"/>
  <c r="D1978" i="106"/>
  <c r="B1979" i="106"/>
  <c r="D1979" i="106"/>
  <c r="B1980" i="106"/>
  <c r="D1980" i="106"/>
  <c r="D1981" i="106"/>
  <c r="H23" i="12"/>
  <c r="B1982" i="106"/>
  <c r="D1982" i="106"/>
  <c r="B1984" i="106"/>
  <c r="D1984" i="106"/>
  <c r="B1985" i="106"/>
  <c r="D1985" i="106"/>
  <c r="B1986" i="106"/>
  <c r="D1986" i="106"/>
  <c r="B1987" i="106"/>
  <c r="D1987" i="106"/>
  <c r="B1988" i="106"/>
  <c r="D1988" i="106"/>
  <c r="D1989" i="106"/>
  <c r="I12" i="12"/>
  <c r="B1990" i="106"/>
  <c r="D1990" i="106"/>
  <c r="D1991" i="106"/>
  <c r="B1992" i="106"/>
  <c r="D1992" i="106"/>
  <c r="B1993" i="106"/>
  <c r="D1993" i="106"/>
  <c r="D1994" i="106"/>
  <c r="I23" i="12"/>
  <c r="B1995" i="106"/>
  <c r="D1995" i="106"/>
  <c r="D1997" i="106"/>
  <c r="D1998" i="106"/>
  <c r="D1999" i="106"/>
  <c r="D2000" i="106"/>
  <c r="D2001" i="106"/>
  <c r="D2002" i="106"/>
  <c r="D2003" i="106"/>
  <c r="D2004" i="106"/>
  <c r="D2005" i="106"/>
  <c r="D2006" i="106"/>
  <c r="D2007" i="106"/>
  <c r="B2008" i="106"/>
  <c r="D2008" i="106"/>
  <c r="B2009" i="106"/>
  <c r="D2009" i="106"/>
  <c r="B2010" i="106"/>
  <c r="D2010" i="106"/>
  <c r="B2011" i="106"/>
  <c r="D2011" i="106"/>
  <c r="B2012" i="106"/>
  <c r="D2012" i="106"/>
  <c r="B2014" i="106"/>
  <c r="D2014" i="106"/>
  <c r="B2015" i="106"/>
  <c r="D2015" i="106"/>
  <c r="B2016" i="106"/>
  <c r="D2016" i="106"/>
  <c r="B2017" i="106"/>
  <c r="D2017" i="106"/>
  <c r="B2018" i="106"/>
  <c r="D2018" i="106"/>
  <c r="D16" i="11"/>
  <c r="B2019" i="106"/>
  <c r="D2019" i="106"/>
  <c r="B2020" i="106"/>
  <c r="D2020" i="106"/>
  <c r="B2021" i="106"/>
  <c r="D2021" i="106"/>
  <c r="B2022" i="106"/>
  <c r="D2022" i="106"/>
  <c r="B2023" i="106"/>
  <c r="D2023" i="106"/>
  <c r="B2024" i="106"/>
  <c r="D2024" i="106"/>
  <c r="E16" i="11"/>
  <c r="B2025" i="106"/>
  <c r="D2025" i="106"/>
  <c r="F8" i="11"/>
  <c r="B2027" i="106"/>
  <c r="D2027" i="106"/>
  <c r="F10" i="11"/>
  <c r="B2028" i="106"/>
  <c r="D2028" i="106"/>
  <c r="F12" i="11"/>
  <c r="B2029" i="106"/>
  <c r="D2029" i="106"/>
  <c r="F13" i="11"/>
  <c r="B2030" i="106"/>
  <c r="D2030" i="106"/>
  <c r="D2032" i="106"/>
  <c r="B2033" i="106"/>
  <c r="D2033" i="106"/>
  <c r="B2034" i="106"/>
  <c r="D2034" i="106"/>
  <c r="B2035" i="106"/>
  <c r="D2035" i="106"/>
  <c r="B2036" i="106"/>
  <c r="D2036" i="106"/>
  <c r="H16" i="11"/>
  <c r="B2037" i="106"/>
  <c r="D2037" i="106"/>
  <c r="D2038" i="106"/>
  <c r="B2039" i="106"/>
  <c r="D2039" i="106"/>
  <c r="B2040" i="106"/>
  <c r="D2040" i="106"/>
  <c r="B2041" i="106"/>
  <c r="D2041" i="106"/>
  <c r="B2042" i="106"/>
  <c r="D2042" i="106"/>
  <c r="I16" i="11"/>
  <c r="B2043" i="106"/>
  <c r="D2043" i="106"/>
  <c r="D2044" i="106"/>
  <c r="B2045" i="106"/>
  <c r="D2045" i="106"/>
  <c r="B2046" i="106"/>
  <c r="D2046" i="106"/>
  <c r="B2047" i="106"/>
  <c r="D2047" i="106"/>
  <c r="B2048" i="106"/>
  <c r="D2048" i="106"/>
  <c r="J16" i="11"/>
  <c r="B2049" i="106"/>
  <c r="D2049" i="106"/>
  <c r="D2050" i="106"/>
  <c r="K8" i="11"/>
  <c r="B2051" i="106"/>
  <c r="D2051" i="106"/>
  <c r="K10" i="11"/>
  <c r="B2052" i="106"/>
  <c r="D2052" i="106"/>
  <c r="K12" i="11"/>
  <c r="B2053" i="106"/>
  <c r="D2053" i="106"/>
  <c r="K13" i="11"/>
  <c r="B2054" i="106"/>
  <c r="D2054"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c r="B2092" i="106"/>
  <c r="D2092" i="106"/>
  <c r="D2095" i="106"/>
  <c r="D2096" i="106"/>
  <c r="D2097" i="106"/>
  <c r="D2098" i="106"/>
  <c r="D2099" i="106"/>
  <c r="D2100" i="106"/>
  <c r="D2101" i="106"/>
  <c r="D2103" i="106"/>
  <c r="D2104" i="106"/>
  <c r="I47" i="4"/>
  <c r="B2105" i="106"/>
  <c r="D2105" i="106"/>
  <c r="I48" i="4"/>
  <c r="B2106" i="106"/>
  <c r="D2106" i="106"/>
  <c r="B2107" i="106"/>
  <c r="D2107" i="106"/>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c r="B2719" i="106"/>
  <c r="D2719" i="106"/>
  <c r="B2720" i="106"/>
  <c r="D2720" i="106"/>
  <c r="B2721" i="106"/>
  <c r="D2721" i="106"/>
  <c r="B2722" i="106"/>
  <c r="D2722" i="106"/>
  <c r="B2723" i="106"/>
  <c r="D2723" i="106"/>
  <c r="B2724" i="106"/>
  <c r="D2724" i="106"/>
  <c r="B2725" i="106"/>
  <c r="D2725" i="106"/>
  <c r="B2727" i="106"/>
  <c r="D2727" i="106"/>
  <c r="B2728" i="106"/>
  <c r="D2728" i="106"/>
  <c r="B2729" i="106"/>
  <c r="D2729" i="106"/>
  <c r="B2730" i="106"/>
  <c r="D2730" i="106"/>
  <c r="B2731" i="106"/>
  <c r="D2731" i="106"/>
  <c r="B2732" i="106"/>
  <c r="D2732" i="106"/>
  <c r="F4" i="8"/>
  <c r="B2733" i="106"/>
  <c r="D2733" i="106"/>
  <c r="F25" i="8"/>
  <c r="B2734" i="106"/>
  <c r="D2734" i="106"/>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c r="B2797" i="106"/>
  <c r="D2797" i="106"/>
  <c r="B2798" i="106"/>
  <c r="D2798" i="106"/>
  <c r="B2799" i="106"/>
  <c r="D2799" i="106"/>
  <c r="B2800" i="106"/>
  <c r="D2800" i="106"/>
  <c r="B2801" i="106"/>
  <c r="D2801" i="106"/>
  <c r="B2802" i="106"/>
  <c r="D2802" i="106"/>
  <c r="D2803" i="106"/>
  <c r="D2804" i="106"/>
  <c r="B2805" i="106"/>
  <c r="D2805" i="106"/>
  <c r="B2806" i="106"/>
  <c r="D2806" i="106"/>
  <c r="B2807" i="106"/>
  <c r="D2807" i="106"/>
  <c r="B2808" i="106"/>
  <c r="D2808" i="106"/>
  <c r="D2809" i="106"/>
  <c r="B2812" i="106"/>
  <c r="D2812" i="106"/>
  <c r="B2813" i="106"/>
  <c r="D2813" i="106"/>
  <c r="D2814" i="106"/>
  <c r="D2815" i="106"/>
  <c r="D2816" i="106"/>
  <c r="B2817" i="106"/>
  <c r="D2817" i="106"/>
  <c r="B2819" i="106"/>
  <c r="D2819" i="106"/>
  <c r="B2820" i="106"/>
  <c r="D2820" i="106"/>
  <c r="B2821" i="106"/>
  <c r="D2821" i="106"/>
  <c r="B2822" i="106"/>
  <c r="D2822" i="106"/>
  <c r="B2824" i="106"/>
  <c r="D2824" i="106"/>
  <c r="B2825" i="106"/>
  <c r="D2825" i="106"/>
  <c r="B2826" i="106"/>
  <c r="D2826" i="106"/>
  <c r="B2827" i="106"/>
  <c r="D2827" i="106"/>
  <c r="B2829" i="106"/>
  <c r="D2829" i="106"/>
  <c r="B2831" i="106"/>
  <c r="D2831" i="106"/>
  <c r="B2832" i="106"/>
  <c r="D2832" i="106"/>
  <c r="D2833" i="106"/>
  <c r="D2834" i="106"/>
  <c r="D2835" i="106"/>
  <c r="B2836" i="106"/>
  <c r="D2836" i="106"/>
  <c r="D2838" i="106"/>
  <c r="B2840" i="106"/>
  <c r="D2840" i="106"/>
  <c r="B2843" i="106"/>
  <c r="D2843" i="106"/>
  <c r="B2844" i="106"/>
  <c r="D2844" i="106"/>
  <c r="D2847" i="106"/>
  <c r="B2848" i="106"/>
  <c r="D2848" i="106"/>
  <c r="D2849" i="106"/>
  <c r="D2850" i="106"/>
  <c r="D2851" i="106"/>
  <c r="D2852" i="106"/>
  <c r="D2853" i="106"/>
  <c r="B2854" i="106"/>
  <c r="D2854" i="106"/>
  <c r="B2855" i="106"/>
  <c r="D2855" i="106"/>
  <c r="B2856" i="106"/>
  <c r="D2856" i="106"/>
  <c r="D2857" i="106"/>
  <c r="B2858" i="106"/>
  <c r="D2858" i="106"/>
  <c r="D2859" i="106"/>
  <c r="B2860" i="106"/>
  <c r="D2860" i="106"/>
  <c r="D2861" i="106"/>
  <c r="B2862" i="106"/>
  <c r="D2862" i="106"/>
  <c r="D2863" i="106"/>
  <c r="B2864" i="106"/>
  <c r="D2864" i="106"/>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c r="I13" i="3"/>
  <c r="B2888" i="106"/>
  <c r="D2888" i="106"/>
  <c r="D2889" i="106"/>
  <c r="D2890" i="106"/>
  <c r="B2891" i="106"/>
  <c r="D2891" i="106"/>
  <c r="B2892" i="106"/>
  <c r="D2892" i="106"/>
  <c r="D2893" i="106"/>
  <c r="B2894" i="106"/>
  <c r="D2894" i="106"/>
  <c r="L13" i="3"/>
  <c r="B2895" i="106"/>
  <c r="D2895" i="106"/>
  <c r="D2896" i="106"/>
  <c r="D2897" i="106"/>
  <c r="D2898" i="106"/>
  <c r="D2899" i="106"/>
  <c r="D2900" i="106"/>
  <c r="D2901" i="106"/>
  <c r="D2902" i="106"/>
  <c r="D2903" i="106"/>
  <c r="D2904" i="106"/>
  <c r="D2905" i="106"/>
  <c r="D2906" i="106"/>
  <c r="D2907" i="106"/>
  <c r="B2908" i="106"/>
  <c r="D2908" i="106"/>
  <c r="D2909" i="106"/>
  <c r="I34" i="3"/>
  <c r="B2910" i="106"/>
  <c r="D2910" i="106"/>
  <c r="B2911" i="106"/>
  <c r="D2911" i="106"/>
  <c r="B2912" i="106"/>
  <c r="D2912" i="106"/>
  <c r="B2914" i="106"/>
  <c r="D2914" i="106"/>
  <c r="D2915" i="106"/>
  <c r="L34" i="3"/>
  <c r="B2916" i="106"/>
  <c r="D2916"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5" i="106"/>
  <c r="D2975"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09" i="106"/>
  <c r="D3009" i="106"/>
  <c r="B3011" i="106"/>
  <c r="D3011"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c r="B3056" i="106"/>
  <c r="D3056" i="106"/>
  <c r="B3057" i="106"/>
  <c r="D3057" i="106"/>
  <c r="B3058" i="106"/>
  <c r="D3058" i="106"/>
  <c r="B3059" i="106"/>
  <c r="D3059" i="106"/>
  <c r="B3060" i="106"/>
  <c r="D3060" i="106"/>
  <c r="D3061" i="106"/>
  <c r="D3063" i="106"/>
  <c r="B3064" i="106"/>
  <c r="D3064" i="106"/>
  <c r="D3066" i="106"/>
  <c r="D3067" i="106"/>
  <c r="D3068" i="106"/>
  <c r="D3069" i="106"/>
  <c r="D3070" i="106"/>
  <c r="B3071" i="106"/>
  <c r="D3071" i="106"/>
  <c r="B3072" i="106"/>
  <c r="D3072" i="106"/>
  <c r="D3073" i="106"/>
  <c r="D3074" i="106"/>
  <c r="D3075" i="106"/>
  <c r="D3076" i="106"/>
  <c r="D3077" i="106"/>
  <c r="B3078" i="106"/>
  <c r="D3078" i="106"/>
  <c r="B3079" i="106"/>
  <c r="D3079" i="106"/>
  <c r="B3080" i="106"/>
  <c r="D3080" i="106"/>
  <c r="D3081" i="106"/>
  <c r="B3082" i="106"/>
  <c r="D3082" i="106"/>
  <c r="B3083" i="106"/>
  <c r="D3083" i="106"/>
  <c r="B3084" i="106"/>
  <c r="D3084" i="106"/>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c r="C44" i="4"/>
  <c r="B3230" i="106"/>
  <c r="D3230" i="106"/>
  <c r="C76" i="4"/>
  <c r="B3231" i="106"/>
  <c r="D3231" i="106"/>
  <c r="B3234" i="106"/>
  <c r="D3234" i="106"/>
  <c r="D44" i="4"/>
  <c r="B3236" i="106"/>
  <c r="D3236" i="106"/>
  <c r="D76" i="4"/>
  <c r="B3237" i="106"/>
  <c r="D3237" i="106"/>
  <c r="D3240" i="106"/>
  <c r="D3241" i="106"/>
  <c r="D3242" i="106"/>
  <c r="D3243" i="106"/>
  <c r="D3244" i="106"/>
  <c r="D3245" i="106"/>
  <c r="D3246" i="106"/>
  <c r="D3247" i="106"/>
  <c r="D3248" i="106"/>
  <c r="D3249" i="106"/>
  <c r="D3250" i="106"/>
  <c r="B3251" i="106"/>
  <c r="D3251" i="106"/>
  <c r="F44" i="4"/>
  <c r="B3252" i="106"/>
  <c r="D3252" i="106"/>
  <c r="B3253" i="106"/>
  <c r="D3253" i="106"/>
  <c r="F76" i="4"/>
  <c r="F77" i="4"/>
  <c r="B3255" i="106"/>
  <c r="D3255" i="106"/>
  <c r="B3257" i="106"/>
  <c r="D3257" i="106"/>
  <c r="G44" i="4"/>
  <c r="B3258" i="106"/>
  <c r="D3258" i="106"/>
  <c r="B3259" i="106"/>
  <c r="D3259" i="106"/>
  <c r="G76" i="4"/>
  <c r="B3260" i="106"/>
  <c r="D3260" i="106"/>
  <c r="D3263" i="106"/>
  <c r="D3264" i="106"/>
  <c r="D3265" i="106"/>
  <c r="D3266" i="106"/>
  <c r="D3267" i="106"/>
  <c r="D3268" i="106"/>
  <c r="D3269" i="106"/>
  <c r="D3270" i="106"/>
  <c r="D3271" i="106"/>
  <c r="D3272" i="106"/>
  <c r="B3273" i="106"/>
  <c r="D3273" i="106"/>
  <c r="E37" i="4"/>
  <c r="B6285" i="106"/>
  <c r="D6285" i="106"/>
  <c r="E38" i="4"/>
  <c r="E39" i="4"/>
  <c r="B6287" i="106"/>
  <c r="D6287" i="106"/>
  <c r="E40" i="4"/>
  <c r="B6288" i="106"/>
  <c r="D6288" i="106"/>
  <c r="B3275" i="106"/>
  <c r="D3275" i="106"/>
  <c r="E76" i="4"/>
  <c r="B3276" i="106"/>
  <c r="D3276" i="106"/>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D3301" i="106"/>
  <c r="D3302" i="106"/>
  <c r="D3303" i="106"/>
  <c r="D3304" i="106"/>
  <c r="D3305" i="106"/>
  <c r="D3306" i="106"/>
  <c r="D3307" i="106"/>
  <c r="D3308" i="106"/>
  <c r="D3309" i="106"/>
  <c r="D3310" i="106"/>
  <c r="D3311" i="106"/>
  <c r="D3312" i="106"/>
  <c r="D3313" i="106"/>
  <c r="D3314" i="106"/>
  <c r="D3315" i="106"/>
  <c r="B3316" i="106"/>
  <c r="D3316" i="106"/>
  <c r="I44" i="4"/>
  <c r="B3317" i="106"/>
  <c r="D3317" i="106"/>
  <c r="B3321" i="106"/>
  <c r="D3321" i="106"/>
  <c r="B3322" i="106"/>
  <c r="D3322" i="106"/>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c r="B3367" i="106"/>
  <c r="D3367" i="106"/>
  <c r="B3368" i="106"/>
  <c r="D3368" i="106"/>
  <c r="B3369" i="106"/>
  <c r="D3369" i="106"/>
  <c r="B3370" i="106"/>
  <c r="D3370" i="106"/>
  <c r="B3371" i="106"/>
  <c r="D3371" i="106"/>
  <c r="B3372" i="106"/>
  <c r="D3372" i="106"/>
  <c r="B3373" i="106"/>
  <c r="D3373" i="106"/>
  <c r="B3374" i="106"/>
  <c r="D3374" i="106"/>
  <c r="B3375" i="106"/>
  <c r="D3375" i="106"/>
  <c r="B3376" i="106"/>
  <c r="D3376" i="106"/>
  <c r="B3377" i="106"/>
  <c r="D3377" i="106"/>
  <c r="D3378" i="106"/>
  <c r="D3379" i="106"/>
  <c r="B3380" i="106"/>
  <c r="D3380" i="106"/>
  <c r="B3381" i="106"/>
  <c r="D3381" i="106"/>
  <c r="D3382" i="106"/>
  <c r="D3383" i="106"/>
  <c r="D3384" i="106"/>
  <c r="D3385" i="106"/>
  <c r="D3386" i="106"/>
  <c r="B3387" i="106"/>
  <c r="D3387" i="106"/>
  <c r="B3388" i="106"/>
  <c r="D3388" i="106"/>
  <c r="B3389" i="106"/>
  <c r="D3389" i="106"/>
  <c r="B3392" i="106"/>
  <c r="D3392" i="106"/>
  <c r="D3393" i="106"/>
  <c r="D3394" i="106"/>
  <c r="D3395" i="106"/>
  <c r="D3396" i="106"/>
  <c r="D3397" i="106"/>
  <c r="D3398" i="106"/>
  <c r="D3399" i="106"/>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c r="D3420" i="106"/>
  <c r="D3421" i="106"/>
  <c r="B3422" i="106"/>
  <c r="D3422" i="106"/>
  <c r="D3423" i="106"/>
  <c r="D3424" i="106"/>
  <c r="B3425" i="106"/>
  <c r="D3425" i="106"/>
  <c r="D3426" i="106"/>
  <c r="B3427" i="106"/>
  <c r="D3427" i="106"/>
  <c r="D3428" i="106"/>
  <c r="D3429" i="106"/>
  <c r="D3430" i="106"/>
  <c r="D3431" i="106"/>
  <c r="D3432" i="106"/>
  <c r="D3433" i="106"/>
  <c r="D3434" i="106"/>
  <c r="B3435" i="106"/>
  <c r="D3435" i="106"/>
  <c r="D3436" i="106"/>
  <c r="D3437" i="106"/>
  <c r="D3438" i="106"/>
  <c r="D3439" i="106"/>
  <c r="D3440" i="106"/>
  <c r="D3441" i="106"/>
  <c r="D3442" i="106"/>
  <c r="D3443" i="106"/>
  <c r="D3444" i="106"/>
  <c r="D3445" i="106"/>
  <c r="B3448" i="106"/>
  <c r="D3448" i="106"/>
  <c r="F16" i="7"/>
  <c r="B3449" i="106"/>
  <c r="D3449" i="106"/>
  <c r="B3450" i="106"/>
  <c r="D3450" i="106"/>
  <c r="B3451" i="106"/>
  <c r="D3451" i="106"/>
  <c r="B3452" i="106"/>
  <c r="D3452" i="106"/>
  <c r="B3453" i="106"/>
  <c r="D3453" i="106"/>
  <c r="F15" i="11"/>
  <c r="B3454" i="106"/>
  <c r="D3454" i="106"/>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c r="B3483" i="106"/>
  <c r="D3483" i="106"/>
  <c r="B3484" i="106"/>
  <c r="D3484" i="106"/>
  <c r="B3485" i="106"/>
  <c r="D3485" i="106"/>
  <c r="B3486" i="106"/>
  <c r="D3486" i="106"/>
  <c r="B3487" i="106"/>
  <c r="D3487" i="106"/>
  <c r="B3488" i="106"/>
  <c r="D3488" i="106"/>
  <c r="D3489" i="106"/>
  <c r="B3490" i="106"/>
  <c r="D3490" i="106"/>
  <c r="D3491" i="106"/>
  <c r="B3492" i="106"/>
  <c r="D3492" i="106"/>
  <c r="B3493" i="106"/>
  <c r="D3493"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c r="B3531" i="106"/>
  <c r="D3531" i="106"/>
  <c r="B3532" i="106"/>
  <c r="D3532" i="106"/>
  <c r="B3533" i="106"/>
  <c r="D3533" i="106"/>
  <c r="B3534" i="106"/>
  <c r="D3534" i="106"/>
  <c r="D3535" i="106"/>
  <c r="D3536" i="106"/>
  <c r="D3537" i="106"/>
  <c r="D3538" i="106"/>
  <c r="D3539" i="106"/>
  <c r="D3540" i="106"/>
  <c r="D3541" i="106"/>
  <c r="D3542" i="106"/>
  <c r="D3543" i="106"/>
  <c r="D3544" i="106"/>
  <c r="D3545" i="106"/>
  <c r="B3546" i="106"/>
  <c r="D3546" i="106"/>
  <c r="D3547" i="106"/>
  <c r="B3548" i="106"/>
  <c r="D3548" i="106"/>
  <c r="B3549" i="106"/>
  <c r="D3549" i="106"/>
  <c r="B3550" i="106"/>
  <c r="D3550" i="106"/>
  <c r="B3551" i="106"/>
  <c r="D3551" i="106"/>
  <c r="K13" i="3"/>
  <c r="B3552" i="106"/>
  <c r="D3552" i="106"/>
  <c r="D3553" i="106"/>
  <c r="D3554" i="106"/>
  <c r="D3555" i="106"/>
  <c r="D3556" i="106"/>
  <c r="D3557" i="106"/>
  <c r="D3558" i="106"/>
  <c r="D3559" i="106"/>
  <c r="D3560" i="106"/>
  <c r="B3561" i="106"/>
  <c r="D3561" i="106"/>
  <c r="B3562" i="106"/>
  <c r="D3562" i="106"/>
  <c r="D3563" i="106"/>
  <c r="D3564" i="106"/>
  <c r="K34" i="3"/>
  <c r="B3565" i="106"/>
  <c r="D3565" i="106"/>
  <c r="B3566" i="106"/>
  <c r="D3566" i="106"/>
  <c r="B3567" i="106"/>
  <c r="D3567" i="106"/>
  <c r="B3577" i="106"/>
  <c r="D3577" i="106"/>
  <c r="B3578" i="106"/>
  <c r="D3578" i="106"/>
  <c r="B3579" i="106"/>
  <c r="D3579" i="106"/>
  <c r="B3580" i="106"/>
  <c r="D3580" i="106"/>
  <c r="B3581" i="106"/>
  <c r="D3581" i="106"/>
  <c r="B3582" i="106"/>
  <c r="D3582" i="106"/>
  <c r="B3583" i="106"/>
  <c r="K44" i="4"/>
  <c r="B3584" i="106"/>
  <c r="D3584" i="106"/>
  <c r="B3585" i="106"/>
  <c r="D3585" i="106"/>
  <c r="K52" i="4"/>
  <c r="K53" i="4"/>
  <c r="B3589" i="106"/>
  <c r="D3589" i="106"/>
  <c r="B3590" i="106"/>
  <c r="D3590" i="106"/>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B3619" i="106"/>
  <c r="D3619" i="106"/>
  <c r="B3620" i="106"/>
  <c r="D3620" i="106"/>
  <c r="C352" i="29"/>
  <c r="D3623" i="106"/>
  <c r="B3624" i="106"/>
  <c r="D3624" i="106"/>
  <c r="B3625" i="106"/>
  <c r="D3625" i="106"/>
  <c r="D350" i="29"/>
  <c r="B3626" i="106"/>
  <c r="D3626" i="106"/>
  <c r="B3627" i="106"/>
  <c r="D3627" i="106"/>
  <c r="D3630" i="106"/>
  <c r="B3631" i="106"/>
  <c r="D3631" i="106"/>
  <c r="B3632" i="106"/>
  <c r="D3632" i="106"/>
  <c r="E350" i="29"/>
  <c r="B3634" i="106"/>
  <c r="D3634" i="106"/>
  <c r="D3637" i="106"/>
  <c r="B3638" i="106"/>
  <c r="D3638" i="106"/>
  <c r="B3639" i="106"/>
  <c r="D3639" i="106"/>
  <c r="F350" i="29"/>
  <c r="B3641" i="106"/>
  <c r="D3641" i="106"/>
  <c r="D3644" i="106"/>
  <c r="B3645" i="106"/>
  <c r="D3645" i="106"/>
  <c r="B3646" i="106"/>
  <c r="D3646" i="106"/>
  <c r="G350" i="29"/>
  <c r="G352" i="29"/>
  <c r="B3648" i="106"/>
  <c r="D3648" i="106"/>
  <c r="D3651" i="106"/>
  <c r="B3652" i="106"/>
  <c r="D3652" i="106"/>
  <c r="B3653" i="106"/>
  <c r="D3653" i="106"/>
  <c r="H350" i="29"/>
  <c r="B3654" i="106"/>
  <c r="D3654" i="106"/>
  <c r="B3655" i="106"/>
  <c r="D3655" i="106"/>
  <c r="B3657" i="106"/>
  <c r="D3657" i="106"/>
  <c r="H362" i="29"/>
  <c r="B3658" i="106"/>
  <c r="D3658" i="106"/>
  <c r="D3659" i="106"/>
  <c r="H365" i="29"/>
  <c r="D3661" i="106"/>
  <c r="D3662" i="106"/>
  <c r="D3663" i="106"/>
  <c r="D3664" i="106"/>
  <c r="D3665" i="106"/>
  <c r="D3666" i="106"/>
  <c r="D3667" i="106"/>
  <c r="K348" i="29"/>
  <c r="B3668" i="106"/>
  <c r="D3668" i="106"/>
  <c r="K349" i="29"/>
  <c r="B3669" i="106"/>
  <c r="D3669" i="106"/>
  <c r="K351" i="29"/>
  <c r="B3671" i="106"/>
  <c r="D3671" i="106"/>
  <c r="D3673" i="106"/>
  <c r="K360" i="29"/>
  <c r="B3675" i="106"/>
  <c r="D3675" i="106"/>
  <c r="K361" i="29"/>
  <c r="B7239" i="106"/>
  <c r="D7239" i="106"/>
  <c r="D3677" i="106"/>
  <c r="K363" i="29"/>
  <c r="B7241" i="106"/>
  <c r="D7241" i="106"/>
  <c r="K364" i="29"/>
  <c r="D3679" i="106"/>
  <c r="D3680" i="106"/>
  <c r="B3682" i="106"/>
  <c r="D3682" i="106"/>
  <c r="B3683" i="106"/>
  <c r="D3683" i="106"/>
  <c r="B3684" i="106"/>
  <c r="D3684" i="106"/>
  <c r="B3685" i="106"/>
  <c r="D3685" i="106"/>
  <c r="B3686" i="106"/>
  <c r="D3686" i="106"/>
  <c r="B3687" i="106"/>
  <c r="D3687" i="106"/>
  <c r="D3690" i="106"/>
  <c r="D3691" i="106"/>
  <c r="D3692" i="106"/>
  <c r="D3693" i="106"/>
  <c r="D3694" i="106"/>
  <c r="D3695" i="106"/>
  <c r="D3696" i="106"/>
  <c r="D3697" i="106"/>
  <c r="B3698" i="106"/>
  <c r="D3698" i="106"/>
  <c r="B3699" i="106"/>
  <c r="D3699" i="106"/>
  <c r="D3700" i="106"/>
  <c r="D3701" i="106"/>
  <c r="B3702" i="106"/>
  <c r="D3702" i="106"/>
  <c r="D3704" i="106"/>
  <c r="D3705" i="106"/>
  <c r="D3706" i="106"/>
  <c r="D3707" i="106"/>
  <c r="D3708" i="106"/>
  <c r="D3709" i="106"/>
  <c r="D3710" i="106"/>
  <c r="D3711" i="106"/>
  <c r="D3712" i="106"/>
  <c r="D3713" i="106"/>
  <c r="D3714" i="106"/>
  <c r="D3715" i="106"/>
  <c r="D3716" i="106"/>
  <c r="D3719" i="106"/>
  <c r="D3720" i="106"/>
  <c r="B3721" i="106"/>
  <c r="D3721" i="106"/>
  <c r="B3722" i="106"/>
  <c r="D3722" i="106"/>
  <c r="B3723" i="106"/>
  <c r="D3723" i="106"/>
  <c r="B3727" i="106"/>
  <c r="D3727" i="106"/>
  <c r="F13" i="7"/>
  <c r="B3728" i="106"/>
  <c r="D3728" i="106"/>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1" i="106"/>
  <c r="D4081" i="106"/>
  <c r="B4082" i="106"/>
  <c r="D4082" i="106"/>
  <c r="B4083" i="106"/>
  <c r="D4083" i="106"/>
  <c r="B4084" i="106"/>
  <c r="D4084" i="106"/>
  <c r="B4085" i="106"/>
  <c r="D4085" i="106"/>
  <c r="B4086" i="106"/>
  <c r="D4086" i="106"/>
  <c r="D4088" i="106"/>
  <c r="D4089" i="106"/>
  <c r="D4090" i="106"/>
  <c r="D4091" i="106"/>
  <c r="D4092" i="106"/>
  <c r="D4093" i="106"/>
  <c r="D4094" i="106"/>
  <c r="D4095" i="106"/>
  <c r="D4096" i="106"/>
  <c r="D4097" i="106"/>
  <c r="D4098" i="106"/>
  <c r="B4100" i="106"/>
  <c r="D4100" i="106"/>
  <c r="D4101" i="106"/>
  <c r="B4106" i="106"/>
  <c r="D4106" i="106"/>
  <c r="B4107" i="106"/>
  <c r="D4107" i="106"/>
  <c r="F17" i="7"/>
  <c r="B4108" i="106"/>
  <c r="D4108" i="106"/>
  <c r="F18" i="7"/>
  <c r="B4109" i="106"/>
  <c r="D4109" i="106"/>
  <c r="B4110" i="106"/>
  <c r="D4110" i="106"/>
  <c r="B4111" i="106"/>
  <c r="D4111" i="106"/>
  <c r="D4112" i="106"/>
  <c r="B4113" i="106"/>
  <c r="D4113" i="106"/>
  <c r="B4114" i="106"/>
  <c r="D4114" i="106"/>
  <c r="B4115" i="106"/>
  <c r="D4115" i="106"/>
  <c r="B4116" i="106"/>
  <c r="D4116" i="106"/>
  <c r="B4117" i="106"/>
  <c r="D4117" i="106"/>
  <c r="B4118" i="106"/>
  <c r="D4118" i="106"/>
  <c r="D4119" i="106"/>
  <c r="D4120" i="106"/>
  <c r="B4121" i="106"/>
  <c r="D4121" i="106"/>
  <c r="D4129" i="106"/>
  <c r="C18" i="4"/>
  <c r="B4131" i="106"/>
  <c r="D4131" i="106"/>
  <c r="D18" i="4"/>
  <c r="B4132" i="106"/>
  <c r="D4132" i="106"/>
  <c r="F18" i="4"/>
  <c r="B4133" i="106"/>
  <c r="D4133" i="106"/>
  <c r="H18" i="4"/>
  <c r="B4134" i="106"/>
  <c r="D4134" i="106"/>
  <c r="K18" i="4"/>
  <c r="B4135" i="106"/>
  <c r="D4135"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D4167" i="106"/>
  <c r="D4168" i="106"/>
  <c r="D4169" i="106"/>
  <c r="D4170" i="106"/>
  <c r="I31" i="8"/>
  <c r="I32" i="8"/>
  <c r="I33" i="8"/>
  <c r="I34" i="8"/>
  <c r="I35" i="8"/>
  <c r="I36" i="8"/>
  <c r="I37" i="8"/>
  <c r="I38" i="8"/>
  <c r="I39" i="8"/>
  <c r="I40" i="8"/>
  <c r="I41" i="8"/>
  <c r="I42" i="8"/>
  <c r="I43" i="8"/>
  <c r="I44" i="8"/>
  <c r="I45" i="8"/>
  <c r="I46" i="8"/>
  <c r="I47" i="8"/>
  <c r="I48" i="8"/>
  <c r="J49" i="8"/>
  <c r="B4172" i="106"/>
  <c r="D4172" i="106"/>
  <c r="H49" i="8"/>
  <c r="B4173" i="106"/>
  <c r="D4173" i="106"/>
  <c r="D4174" i="106"/>
  <c r="E18" i="4"/>
  <c r="B4175" i="106"/>
  <c r="D4175" i="106"/>
  <c r="G18" i="4"/>
  <c r="B4176" i="106"/>
  <c r="D4176" i="106"/>
  <c r="G49" i="8"/>
  <c r="B4177" i="106"/>
  <c r="D4177" i="106"/>
  <c r="D4178" i="106"/>
  <c r="B4179" i="106"/>
  <c r="D4179" i="106"/>
  <c r="B4180" i="106"/>
  <c r="D4180" i="106"/>
  <c r="B4181" i="106"/>
  <c r="D4181" i="106"/>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D4212" i="106"/>
  <c r="D4213" i="106"/>
  <c r="D4214" i="106"/>
  <c r="B4215" i="106"/>
  <c r="D4215" i="106"/>
  <c r="B4217" i="106"/>
  <c r="D4217" i="106"/>
  <c r="D4218" i="106"/>
  <c r="D4219" i="106"/>
  <c r="D4220" i="106"/>
  <c r="D4221" i="106"/>
  <c r="D4222" i="106"/>
  <c r="D4223" i="106"/>
  <c r="D4224" i="106"/>
  <c r="D4225" i="106"/>
  <c r="D4226" i="106"/>
  <c r="B4227" i="106"/>
  <c r="D4227" i="106"/>
  <c r="B4228" i="106"/>
  <c r="D4228" i="106"/>
  <c r="D4229" i="106"/>
  <c r="B4230" i="106"/>
  <c r="D4230"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c r="B4299" i="106"/>
  <c r="D4299" i="106"/>
  <c r="B4300" i="106"/>
  <c r="D4300" i="106"/>
  <c r="B4301" i="106"/>
  <c r="D4301" i="106"/>
  <c r="B4302" i="106"/>
  <c r="D4302" i="106"/>
  <c r="B4303" i="106"/>
  <c r="D4303" i="106"/>
  <c r="B4304" i="106"/>
  <c r="D4304" i="106"/>
  <c r="B4305" i="106"/>
  <c r="D4305" i="106"/>
  <c r="B4306" i="106"/>
  <c r="D4306" i="106"/>
  <c r="B4307" i="106"/>
  <c r="D4307" i="106"/>
  <c r="B4308" i="106"/>
  <c r="D4308" i="106"/>
  <c r="B4309" i="106"/>
  <c r="D4309" i="106"/>
  <c r="B4310" i="106"/>
  <c r="D4310" i="106"/>
  <c r="B4311" i="106"/>
  <c r="D4311" i="106"/>
  <c r="B4312" i="106"/>
  <c r="D4312" i="106"/>
  <c r="B4313" i="106"/>
  <c r="D4313" i="106"/>
  <c r="B4314" i="106"/>
  <c r="D4314" i="106"/>
  <c r="B4315" i="106"/>
  <c r="D4315" i="106"/>
  <c r="B4316" i="106"/>
  <c r="D4316" i="106"/>
  <c r="B4317" i="106"/>
  <c r="D4317" i="106"/>
  <c r="B4318" i="106"/>
  <c r="D4318" i="106"/>
  <c r="D4319" i="106"/>
  <c r="D4320" i="106"/>
  <c r="B4321" i="106"/>
  <c r="D4321" i="106"/>
  <c r="B4322" i="106"/>
  <c r="D4322" i="106"/>
  <c r="D4323" i="106"/>
  <c r="D4324" i="106"/>
  <c r="D4325" i="106"/>
  <c r="D4326" i="106"/>
  <c r="B4327" i="106"/>
  <c r="D4327" i="106"/>
  <c r="B4328" i="106"/>
  <c r="D4328" i="106"/>
  <c r="B4329" i="106"/>
  <c r="D4329" i="106"/>
  <c r="B4330" i="106"/>
  <c r="D4330" i="106"/>
  <c r="B4331" i="106"/>
  <c r="D4331" i="106"/>
  <c r="B4332" i="106"/>
  <c r="D4332" i="106"/>
  <c r="B4333" i="106"/>
  <c r="D4333" i="106"/>
  <c r="B4334" i="106"/>
  <c r="D4334" i="106"/>
  <c r="B4335" i="106"/>
  <c r="D4335" i="106"/>
  <c r="B4336" i="106"/>
  <c r="D4336" i="106"/>
  <c r="B4337" i="106"/>
  <c r="D4337" i="106"/>
  <c r="B4338" i="106"/>
  <c r="D4338" i="106"/>
  <c r="B4339" i="106"/>
  <c r="D4339" i="106"/>
  <c r="B4340" i="106"/>
  <c r="D4340" i="106"/>
  <c r="B4341" i="106"/>
  <c r="D4341" i="106"/>
  <c r="B4342" i="106"/>
  <c r="D4342" i="106"/>
  <c r="B4343" i="106"/>
  <c r="D4343" i="106"/>
  <c r="B4344" i="106"/>
  <c r="D4344" i="106"/>
  <c r="B4345" i="106"/>
  <c r="D4345" i="106"/>
  <c r="B4346" i="106"/>
  <c r="D4346" i="106"/>
  <c r="D4347" i="106"/>
  <c r="D4348" i="106"/>
  <c r="D4349" i="106"/>
  <c r="D4350" i="106"/>
  <c r="B4351" i="106"/>
  <c r="D4351" i="106"/>
  <c r="B4352" i="106"/>
  <c r="D4352" i="106"/>
  <c r="B4353" i="106"/>
  <c r="D4353" i="106"/>
  <c r="B4354" i="106"/>
  <c r="D4354" i="106"/>
  <c r="B4355" i="106"/>
  <c r="D4355" i="106"/>
  <c r="B4356" i="106"/>
  <c r="D4356" i="106"/>
  <c r="B4358" i="106"/>
  <c r="D4358" i="106"/>
  <c r="B4359" i="106"/>
  <c r="D4359" i="106"/>
  <c r="B4360" i="106"/>
  <c r="D4360" i="106"/>
  <c r="B4361" i="106"/>
  <c r="D4361" i="106"/>
  <c r="B4362" i="106"/>
  <c r="D4362" i="106"/>
  <c r="B4364" i="106"/>
  <c r="D4364" i="106"/>
  <c r="B4365" i="106"/>
  <c r="D4365" i="106"/>
  <c r="B4366" i="106"/>
  <c r="D4366" i="106"/>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D4399" i="106"/>
  <c r="D4400" i="106"/>
  <c r="D4401"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c r="B4447" i="106"/>
  <c r="D4447" i="106"/>
  <c r="B4448" i="106"/>
  <c r="D4448"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c r="D4800" i="106"/>
  <c r="B4801" i="106"/>
  <c r="D4801" i="106"/>
  <c r="B4802" i="106"/>
  <c r="D4802" i="106"/>
  <c r="D4803" i="106"/>
  <c r="B4804" i="106"/>
  <c r="D4804" i="106"/>
  <c r="B4805" i="106"/>
  <c r="D4805" i="106"/>
  <c r="B4806" i="106"/>
  <c r="D4806" i="106"/>
  <c r="D4807" i="106"/>
  <c r="B4808" i="106"/>
  <c r="D4808" i="106"/>
  <c r="D4809" i="106"/>
  <c r="B4810" i="106"/>
  <c r="D4810" i="106"/>
  <c r="B4811" i="106"/>
  <c r="D4811" i="106"/>
  <c r="D4812" i="106"/>
  <c r="B4813" i="106"/>
  <c r="D4813" i="106"/>
  <c r="B4814" i="106"/>
  <c r="D4814" i="106"/>
  <c r="D4815" i="106"/>
  <c r="B4816" i="106"/>
  <c r="D4816"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c r="D4856" i="106"/>
  <c r="D4857" i="106"/>
  <c r="D4858" i="106"/>
  <c r="D4859" i="106"/>
  <c r="D4860" i="106"/>
  <c r="D4861" i="106"/>
  <c r="D4862" i="106"/>
  <c r="D4863" i="106"/>
  <c r="B4864" i="106"/>
  <c r="D4864" i="106"/>
  <c r="B4865" i="106"/>
  <c r="D4865" i="106"/>
  <c r="D4866" i="106"/>
  <c r="D4867" i="106"/>
  <c r="B4868" i="106"/>
  <c r="D4868" i="106"/>
  <c r="D4869" i="106"/>
  <c r="D4870" i="106"/>
  <c r="D4871" i="106"/>
  <c r="D4872" i="106"/>
  <c r="D4873" i="106"/>
  <c r="B4874" i="106"/>
  <c r="D4874" i="106"/>
  <c r="B4875" i="106"/>
  <c r="D4875" i="106"/>
  <c r="B4876" i="106"/>
  <c r="D4876" i="106"/>
  <c r="B4877" i="106"/>
  <c r="D4877" i="106"/>
  <c r="B4878" i="106"/>
  <c r="D4878" i="106"/>
  <c r="D4879" i="106"/>
  <c r="D4880" i="106"/>
  <c r="B4881" i="106"/>
  <c r="D4881" i="106"/>
  <c r="B4882" i="106"/>
  <c r="D4882" i="106"/>
  <c r="B4883" i="106"/>
  <c r="D4883" i="106"/>
  <c r="B4884" i="106"/>
  <c r="D4884" i="106"/>
  <c r="B4885" i="106"/>
  <c r="D4885" i="106"/>
  <c r="B4886" i="106"/>
  <c r="D4886" i="106"/>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c r="B4917" i="106"/>
  <c r="D4917" i="106"/>
  <c r="B4918" i="106"/>
  <c r="D4918" i="106"/>
  <c r="B4919" i="106"/>
  <c r="D4919" i="106"/>
  <c r="B4920" i="106"/>
  <c r="D4920" i="106"/>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c r="B4945" i="106"/>
  <c r="D4945" i="106"/>
  <c r="B4946" i="106"/>
  <c r="D4946" i="106"/>
  <c r="B4947" i="106"/>
  <c r="D4947" i="106"/>
  <c r="B4948" i="106"/>
  <c r="D4948" i="106"/>
  <c r="B4949" i="106"/>
  <c r="D4949"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c r="D4998" i="106"/>
  <c r="D4999" i="106"/>
  <c r="D5001" i="106"/>
  <c r="D5002" i="106"/>
  <c r="D5003" i="106"/>
  <c r="D5004" i="106"/>
  <c r="D5005" i="106"/>
  <c r="D5006" i="106"/>
  <c r="D5007" i="106"/>
  <c r="D5008" i="106"/>
  <c r="D5009" i="106"/>
  <c r="D5010" i="106"/>
  <c r="B5012" i="106"/>
  <c r="D5012" i="106"/>
  <c r="B5013" i="106"/>
  <c r="D5013" i="106"/>
  <c r="B5014" i="106"/>
  <c r="D5014" i="106"/>
  <c r="D5015" i="106"/>
  <c r="D5016" i="106"/>
  <c r="D5017" i="106"/>
  <c r="D5018" i="106"/>
  <c r="D5019" i="106"/>
  <c r="D5020" i="106"/>
  <c r="D5021" i="106"/>
  <c r="B5022" i="106"/>
  <c r="D5022" i="106"/>
  <c r="B5023" i="106"/>
  <c r="D5023" i="106"/>
  <c r="B5024" i="106"/>
  <c r="D5024" i="106"/>
  <c r="D5025" i="106"/>
  <c r="B5026" i="106"/>
  <c r="D5026" i="106"/>
  <c r="B5027" i="106"/>
  <c r="D5027"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c r="B5057" i="106"/>
  <c r="D5057" i="106"/>
  <c r="B5058" i="106"/>
  <c r="D5058" i="106"/>
  <c r="B5059" i="106"/>
  <c r="D5059" i="106"/>
  <c r="B5060" i="106"/>
  <c r="D5060" i="106"/>
  <c r="B5061" i="106"/>
  <c r="D5061" i="106"/>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c r="D5138" i="106"/>
  <c r="B5139" i="106"/>
  <c r="D5139" i="106"/>
  <c r="D5140" i="106"/>
  <c r="D5141" i="106"/>
  <c r="B5142" i="106"/>
  <c r="D5142" i="106"/>
  <c r="D5143" i="106"/>
  <c r="D5144" i="106"/>
  <c r="D5145" i="106"/>
  <c r="D5146" i="106"/>
  <c r="B5148" i="106"/>
  <c r="D5148" i="106"/>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c r="B5168" i="106"/>
  <c r="D5168" i="106"/>
  <c r="D5169" i="106"/>
  <c r="D5170" i="106"/>
  <c r="B5171" i="106"/>
  <c r="D5171" i="106"/>
  <c r="D5172" i="106"/>
  <c r="D5173" i="106"/>
  <c r="D5174" i="106"/>
  <c r="B5175" i="106"/>
  <c r="D5175" i="106"/>
  <c r="D5176" i="106"/>
  <c r="B5177" i="106"/>
  <c r="D5177" i="106"/>
  <c r="D5179" i="106"/>
  <c r="D5180" i="106"/>
  <c r="B5181" i="106"/>
  <c r="D5181" i="106"/>
  <c r="D5182" i="106"/>
  <c r="D5183" i="106"/>
  <c r="D5184" i="106"/>
  <c r="D5185" i="106"/>
  <c r="D5186" i="106"/>
  <c r="B5187" i="106"/>
  <c r="D5187" i="106"/>
  <c r="D5188" i="106"/>
  <c r="D5189" i="106"/>
  <c r="D5190" i="106"/>
  <c r="D5191" i="106"/>
  <c r="D5192" i="106"/>
  <c r="D5193" i="106"/>
  <c r="B5194" i="106"/>
  <c r="D5194" i="106"/>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D5254" i="106"/>
  <c r="B5255" i="106"/>
  <c r="D5255" i="106"/>
  <c r="B5256" i="106"/>
  <c r="D5256" i="106"/>
  <c r="D5257" i="106"/>
  <c r="D5258" i="106"/>
  <c r="D5259" i="106"/>
  <c r="D5261" i="106"/>
  <c r="D5262" i="106"/>
  <c r="D5263" i="106"/>
  <c r="D5264" i="106"/>
  <c r="D5265" i="106"/>
  <c r="D5266" i="106"/>
  <c r="D5267" i="106"/>
  <c r="D5268" i="106"/>
  <c r="D5269" i="106"/>
  <c r="D5270" i="106"/>
  <c r="D5271" i="106"/>
  <c r="D5272" i="106"/>
  <c r="D5273" i="106"/>
  <c r="B5274" i="106"/>
  <c r="D5274" i="106"/>
  <c r="B5275" i="106"/>
  <c r="D5275" i="106"/>
  <c r="D5276" i="106"/>
  <c r="D5277" i="106"/>
  <c r="B5278" i="106"/>
  <c r="D5278" i="106"/>
  <c r="B5279" i="106"/>
  <c r="D5279" i="106"/>
  <c r="B5280" i="106"/>
  <c r="D5280" i="106"/>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c r="D5311" i="106"/>
  <c r="B5312" i="106"/>
  <c r="D5312" i="106"/>
  <c r="D5313" i="106"/>
  <c r="D5314" i="106"/>
  <c r="B5315" i="106"/>
  <c r="D5315" i="106"/>
  <c r="D5316" i="106"/>
  <c r="B5317" i="106"/>
  <c r="D5317" i="106"/>
  <c r="D5318" i="106"/>
  <c r="D5319" i="106"/>
  <c r="D5321" i="106"/>
  <c r="D5322" i="106"/>
  <c r="D5323" i="106"/>
  <c r="D5324" i="106"/>
  <c r="D5325" i="106"/>
  <c r="B5328" i="106"/>
  <c r="D5328" i="106"/>
  <c r="D5329" i="106"/>
  <c r="B5330" i="106"/>
  <c r="D5330" i="106"/>
  <c r="B5331" i="106"/>
  <c r="D5331" i="106"/>
  <c r="B5332" i="106"/>
  <c r="D5332" i="106"/>
  <c r="B5333" i="106"/>
  <c r="D5333" i="106"/>
  <c r="B5335" i="106"/>
  <c r="D5335" i="106"/>
  <c r="B5336" i="106"/>
  <c r="D5336" i="106"/>
  <c r="B5337" i="106"/>
  <c r="D5337" i="106"/>
  <c r="B5338" i="106"/>
  <c r="D5338" i="106"/>
  <c r="B5340" i="106"/>
  <c r="D5340" i="106"/>
  <c r="B5341" i="106"/>
  <c r="D5341" i="106"/>
  <c r="B5343" i="106"/>
  <c r="D5343" i="106"/>
  <c r="B5344" i="106"/>
  <c r="D5344" i="106"/>
  <c r="B5345" i="106"/>
  <c r="D5345" i="106"/>
  <c r="B5346" i="106"/>
  <c r="D5346" i="106"/>
  <c r="B5347" i="106"/>
  <c r="D5347" i="106"/>
  <c r="B5349" i="106"/>
  <c r="D5349" i="106"/>
  <c r="B5350" i="106"/>
  <c r="D5350" i="106"/>
  <c r="B5351" i="106"/>
  <c r="D5351" i="106"/>
  <c r="B5352" i="106"/>
  <c r="D5352" i="106"/>
  <c r="B5353" i="106"/>
  <c r="D5353" i="106"/>
  <c r="B5354" i="106"/>
  <c r="D5354" i="106"/>
  <c r="B5357" i="106"/>
  <c r="D5357" i="106"/>
  <c r="B5358" i="106"/>
  <c r="D5358" i="106"/>
  <c r="B5359" i="106"/>
  <c r="D5359" i="106"/>
  <c r="B5361" i="106"/>
  <c r="D5361" i="106"/>
  <c r="B5362" i="106"/>
  <c r="D5362" i="106"/>
  <c r="D5363" i="106"/>
  <c r="D5364" i="106"/>
  <c r="D5365" i="106"/>
  <c r="D5366" i="106"/>
  <c r="B5368" i="106"/>
  <c r="D5368" i="106"/>
  <c r="B5370" i="106"/>
  <c r="D5370" i="106"/>
  <c r="D5371" i="106"/>
  <c r="D5372" i="106"/>
  <c r="D5373" i="106"/>
  <c r="B5374" i="106"/>
  <c r="D5374" i="106"/>
  <c r="B5375" i="106"/>
  <c r="D5375" i="106"/>
  <c r="D5376" i="106"/>
  <c r="D5377" i="106"/>
  <c r="D5378" i="106"/>
  <c r="D5379" i="106"/>
  <c r="D5380" i="106"/>
  <c r="D5381" i="106"/>
  <c r="D5382" i="106"/>
  <c r="B5384" i="106"/>
  <c r="D5384" i="106"/>
  <c r="D5385" i="106"/>
  <c r="D5386" i="106"/>
  <c r="B5387" i="106"/>
  <c r="D5387" i="106"/>
  <c r="D5388" i="106"/>
  <c r="D5389" i="106"/>
  <c r="D5390" i="106"/>
  <c r="B5391" i="106"/>
  <c r="D5391" i="106"/>
  <c r="D5392" i="106"/>
  <c r="B5393" i="106"/>
  <c r="D5393" i="106"/>
  <c r="B5395" i="106"/>
  <c r="D5395" i="106"/>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c r="D5486" i="106"/>
  <c r="D5487" i="106"/>
  <c r="D5489" i="106"/>
  <c r="D5490" i="106"/>
  <c r="D5491" i="106"/>
  <c r="D5492" i="106"/>
  <c r="D5493" i="106"/>
  <c r="B5494" i="106"/>
  <c r="D5494" i="106"/>
  <c r="D5495" i="106"/>
  <c r="B5496" i="106"/>
  <c r="D5496" i="106"/>
  <c r="D5497" i="106"/>
  <c r="B5498" i="106"/>
  <c r="D5498" i="106"/>
  <c r="D5499" i="106"/>
  <c r="D5500" i="106"/>
  <c r="D5502" i="106"/>
  <c r="D5503" i="106"/>
  <c r="D5504" i="106"/>
  <c r="D5505" i="106"/>
  <c r="D5506" i="106"/>
  <c r="B5509" i="106"/>
  <c r="D5509" i="106"/>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c r="D5605" i="106"/>
  <c r="B5606" i="106"/>
  <c r="D5606" i="106"/>
  <c r="D5607" i="106"/>
  <c r="D5608" i="106"/>
  <c r="B5609" i="106"/>
  <c r="D5609" i="106"/>
  <c r="D5610" i="106"/>
  <c r="D5611" i="106"/>
  <c r="D5612" i="106"/>
  <c r="D5613" i="106"/>
  <c r="B5615" i="106"/>
  <c r="D5615" i="106"/>
  <c r="D5616" i="106"/>
  <c r="B5617" i="106"/>
  <c r="D5617" i="106"/>
  <c r="B5619" i="106"/>
  <c r="D5619" i="106"/>
  <c r="D5620" i="106"/>
  <c r="D5621" i="106"/>
  <c r="D5622" i="106"/>
  <c r="D5623" i="106"/>
  <c r="D5624" i="106"/>
  <c r="B5625" i="106"/>
  <c r="D5625" i="106"/>
  <c r="D5626" i="106"/>
  <c r="B5627" i="106"/>
  <c r="D5627"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c r="D5656" i="106"/>
  <c r="D5657" i="106"/>
  <c r="B5659" i="106"/>
  <c r="D5659" i="106"/>
  <c r="D5660" i="106"/>
  <c r="D5661" i="106"/>
  <c r="D5662" i="106"/>
  <c r="D5663" i="106"/>
  <c r="B5664" i="106"/>
  <c r="D5664" i="106"/>
  <c r="B5665" i="106"/>
  <c r="D5665" i="106"/>
  <c r="D5666" i="106"/>
  <c r="D5667" i="106"/>
  <c r="D5668" i="106"/>
  <c r="D5669" i="106"/>
  <c r="D5670" i="106"/>
  <c r="D5671" i="106"/>
  <c r="B5672" i="106"/>
  <c r="D5672" i="106"/>
  <c r="B5673" i="106"/>
  <c r="D5673" i="106"/>
  <c r="D5674" i="106"/>
  <c r="D5675" i="106"/>
  <c r="D5676" i="106"/>
  <c r="D5678" i="106"/>
  <c r="D5679" i="106"/>
  <c r="D5680" i="106"/>
  <c r="D5681" i="106"/>
  <c r="D5682" i="106"/>
  <c r="D5683" i="106"/>
  <c r="D5684" i="106"/>
  <c r="D5685" i="106"/>
  <c r="D5686" i="106"/>
  <c r="D5687" i="106"/>
  <c r="D5688" i="106"/>
  <c r="D5689" i="106"/>
  <c r="D5690" i="106"/>
  <c r="B5691" i="106"/>
  <c r="D5691" i="106"/>
  <c r="B5692" i="106"/>
  <c r="D5692" i="106"/>
  <c r="D5693" i="106"/>
  <c r="D5694" i="106"/>
  <c r="B5695" i="106"/>
  <c r="D5695" i="106"/>
  <c r="B5696" i="106"/>
  <c r="D5696" i="106"/>
  <c r="B5697" i="106"/>
  <c r="D5697" i="106"/>
  <c r="D5698" i="106"/>
  <c r="D5699" i="106"/>
  <c r="D5700" i="106"/>
  <c r="D5701" i="106"/>
  <c r="D5702" i="106"/>
  <c r="D5704" i="106"/>
  <c r="B5705" i="106"/>
  <c r="D5705" i="106"/>
  <c r="D5706" i="106"/>
  <c r="D5707" i="106"/>
  <c r="B5708" i="106"/>
  <c r="D5708" i="106"/>
  <c r="D5709" i="106"/>
  <c r="B5710" i="106"/>
  <c r="D5710" i="106"/>
  <c r="D5711" i="106"/>
  <c r="D5712" i="106"/>
  <c r="D5714" i="106"/>
  <c r="D5715" i="106"/>
  <c r="D5716" i="106"/>
  <c r="D5717" i="106"/>
  <c r="D5718" i="106"/>
  <c r="B5721" i="106"/>
  <c r="D5721" i="106"/>
  <c r="B5722" i="106"/>
  <c r="D5722" i="106"/>
  <c r="B5723" i="106"/>
  <c r="D5723" i="106"/>
  <c r="B5724" i="106"/>
  <c r="D5724" i="106"/>
  <c r="B5726" i="106"/>
  <c r="D5726" i="106"/>
  <c r="B5727" i="106"/>
  <c r="D5727" i="106"/>
  <c r="B5728" i="106"/>
  <c r="D5728" i="106"/>
  <c r="B5729" i="106"/>
  <c r="D5729" i="106"/>
  <c r="B5731" i="106"/>
  <c r="D5731" i="106"/>
  <c r="B5732" i="106"/>
  <c r="D5732" i="106"/>
  <c r="B5734" i="106"/>
  <c r="D5734" i="106"/>
  <c r="B5735" i="106"/>
  <c r="D5735" i="106"/>
  <c r="B5736" i="106"/>
  <c r="D5736" i="106"/>
  <c r="B5738" i="106"/>
  <c r="D5738" i="106"/>
  <c r="B5739" i="106"/>
  <c r="D5739" i="106"/>
  <c r="B5740" i="106"/>
  <c r="D5740" i="106"/>
  <c r="B5742" i="106"/>
  <c r="D5742" i="106"/>
  <c r="B5743" i="106"/>
  <c r="D5743" i="106"/>
  <c r="D5744" i="106"/>
  <c r="D5745" i="106"/>
  <c r="D5746" i="106"/>
  <c r="D5747" i="106"/>
  <c r="B5749" i="106"/>
  <c r="D5749" i="106"/>
  <c r="D5750" i="106"/>
  <c r="D5751" i="106"/>
  <c r="D5753" i="106"/>
  <c r="B5754" i="106"/>
  <c r="D5754" i="106"/>
  <c r="B5755" i="106"/>
  <c r="D5755" i="106"/>
  <c r="B5757" i="106"/>
  <c r="D5757" i="106"/>
  <c r="D5758" i="106"/>
  <c r="D5759" i="106"/>
  <c r="D5760" i="106"/>
  <c r="D5761" i="106"/>
  <c r="D5762" i="106"/>
  <c r="B5763" i="106"/>
  <c r="D5763" i="106"/>
  <c r="D5764" i="106"/>
  <c r="B5765" i="106"/>
  <c r="D5765" i="106"/>
  <c r="D5766" i="106"/>
  <c r="D5767" i="106"/>
  <c r="D5768" i="106"/>
  <c r="D5769" i="106"/>
  <c r="D5771" i="106"/>
  <c r="D5772" i="106"/>
  <c r="D5773" i="106"/>
  <c r="D5774" i="106"/>
  <c r="D5775" i="106"/>
  <c r="D5776" i="106"/>
  <c r="D5777" i="106"/>
  <c r="B5779" i="106"/>
  <c r="D5779" i="106"/>
  <c r="D5781" i="106"/>
  <c r="D5782" i="106"/>
  <c r="D5783" i="106"/>
  <c r="B5785" i="106"/>
  <c r="D5785" i="106"/>
  <c r="D5786" i="106"/>
  <c r="D5787" i="106"/>
  <c r="D5788" i="106"/>
  <c r="D5789" i="106"/>
  <c r="B5790" i="106"/>
  <c r="D5790" i="106"/>
  <c r="B5791" i="106"/>
  <c r="D5791" i="106"/>
  <c r="D5792" i="106"/>
  <c r="D5793" i="106"/>
  <c r="D5794" i="106"/>
  <c r="D5795" i="106"/>
  <c r="D5796"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c r="D5845" i="106"/>
  <c r="D5846" i="106"/>
  <c r="D5848" i="106"/>
  <c r="D5849" i="106"/>
  <c r="D5850" i="106"/>
  <c r="D5851" i="106"/>
  <c r="D5852" i="106"/>
  <c r="B5853" i="106"/>
  <c r="D5853" i="106"/>
  <c r="D5854" i="106"/>
  <c r="B5855" i="106"/>
  <c r="D5855" i="106"/>
  <c r="D5856" i="106"/>
  <c r="D5857" i="106"/>
  <c r="B5858" i="106"/>
  <c r="D5858" i="106"/>
  <c r="D5859" i="106"/>
  <c r="B5860" i="106"/>
  <c r="D5860" i="106"/>
  <c r="D5861" i="106"/>
  <c r="D5862" i="106"/>
  <c r="D5864" i="106"/>
  <c r="D5865" i="106"/>
  <c r="D5866" i="106"/>
  <c r="D5867" i="106"/>
  <c r="D5868" i="106"/>
  <c r="B5871" i="106"/>
  <c r="D5871" i="106"/>
  <c r="B5872" i="106"/>
  <c r="D5872" i="106"/>
  <c r="B5874" i="106"/>
  <c r="D5874" i="106"/>
  <c r="B5875" i="106"/>
  <c r="D5875" i="106"/>
  <c r="B5876" i="106"/>
  <c r="D5876" i="106"/>
  <c r="B5877" i="106"/>
  <c r="D5877" i="106"/>
  <c r="B5879" i="106"/>
  <c r="D5879" i="106"/>
  <c r="B5880" i="106"/>
  <c r="D5880" i="106"/>
  <c r="B5882" i="106"/>
  <c r="D5882" i="106"/>
  <c r="B5883" i="106"/>
  <c r="D5883" i="106"/>
  <c r="B5884" i="106"/>
  <c r="D5884" i="106"/>
  <c r="B5885" i="106"/>
  <c r="D5885" i="106"/>
  <c r="D5887"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c r="B5917" i="106"/>
  <c r="D5917" i="106"/>
  <c r="B5919" i="106"/>
  <c r="D5919" i="106"/>
  <c r="B5920" i="106"/>
  <c r="D5920" i="106"/>
  <c r="B5921" i="106"/>
  <c r="D5921" i="106"/>
  <c r="B5922" i="106"/>
  <c r="D5922" i="106"/>
  <c r="B5924" i="106"/>
  <c r="D5924" i="106"/>
  <c r="B5925" i="106"/>
  <c r="D5925" i="106"/>
  <c r="B5927" i="106"/>
  <c r="D5927" i="106"/>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c r="B5986" i="106"/>
  <c r="D5986" i="106"/>
  <c r="B5988" i="106"/>
  <c r="D5988" i="106"/>
  <c r="B5989" i="106"/>
  <c r="D5989" i="106"/>
  <c r="B5990" i="106"/>
  <c r="D5990" i="106"/>
  <c r="B5991" i="106"/>
  <c r="D5991" i="106"/>
  <c r="B5993" i="106"/>
  <c r="D5993" i="106"/>
  <c r="B5994" i="106"/>
  <c r="D5994" i="106"/>
  <c r="B5996" i="106"/>
  <c r="D5996" i="106"/>
  <c r="B5997" i="106"/>
  <c r="D5997" i="106"/>
  <c r="B5998" i="106"/>
  <c r="D5998" i="106"/>
  <c r="B6000" i="106"/>
  <c r="D6000" i="106"/>
  <c r="B6001" i="106"/>
  <c r="D6001"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c r="D6033" i="106"/>
  <c r="D6034" i="106"/>
  <c r="B6035" i="106"/>
  <c r="D6035" i="106"/>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c r="D6075" i="106"/>
  <c r="B6076" i="106"/>
  <c r="D6076" i="106"/>
  <c r="B6077" i="106"/>
  <c r="D6077" i="106"/>
  <c r="B6078" i="106"/>
  <c r="D6078" i="106"/>
  <c r="F27" i="8"/>
  <c r="B6079" i="106"/>
  <c r="D6079" i="106"/>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B6104" i="106"/>
  <c r="D6104" i="106"/>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c r="B6125" i="106"/>
  <c r="D6125" i="106"/>
  <c r="B6126" i="106"/>
  <c r="D6126" i="106"/>
  <c r="B6127" i="106"/>
  <c r="D6127" i="106"/>
  <c r="B6128" i="106"/>
  <c r="D6128" i="106"/>
  <c r="B6129" i="106"/>
  <c r="D6129" i="106"/>
  <c r="B6130" i="106"/>
  <c r="D6130" i="106"/>
  <c r="B6131" i="106"/>
  <c r="D6131" i="106"/>
  <c r="B6132" i="106"/>
  <c r="D6132" i="106"/>
  <c r="B6133" i="106"/>
  <c r="D6133" i="106"/>
  <c r="B6134" i="106"/>
  <c r="D6134" i="106"/>
  <c r="B6135" i="106"/>
  <c r="D6135" i="106"/>
  <c r="B6136" i="106"/>
  <c r="D6136" i="106"/>
  <c r="B6137" i="106"/>
  <c r="D6137" i="106"/>
  <c r="B6138" i="106"/>
  <c r="D6138" i="106"/>
  <c r="B6139" i="106"/>
  <c r="D6139" i="106"/>
  <c r="B6140" i="106"/>
  <c r="D6140" i="106"/>
  <c r="B6141" i="106"/>
  <c r="D6141" i="106"/>
  <c r="B6142" i="106"/>
  <c r="D6142" i="106"/>
  <c r="B6143" i="106"/>
  <c r="D6143" i="106"/>
  <c r="B6144" i="106"/>
  <c r="D6144" i="106"/>
  <c r="B6145" i="106"/>
  <c r="D6145" i="106"/>
  <c r="B6146" i="106"/>
  <c r="D6146" i="106"/>
  <c r="B6147" i="106"/>
  <c r="D6147" i="106"/>
  <c r="B6148" i="106"/>
  <c r="D6148" i="106"/>
  <c r="B6149" i="106"/>
  <c r="D6149" i="106"/>
  <c r="B6150" i="106"/>
  <c r="D6150" i="106"/>
  <c r="B6151" i="106"/>
  <c r="D6151" i="106"/>
  <c r="B6152" i="106"/>
  <c r="D6152" i="106"/>
  <c r="B6153" i="106"/>
  <c r="D6153" i="106"/>
  <c r="B6154" i="106"/>
  <c r="D6154" i="106"/>
  <c r="B6155" i="106"/>
  <c r="D6155" i="106"/>
  <c r="B6156" i="106"/>
  <c r="D6156" i="106"/>
  <c r="B6157" i="106"/>
  <c r="D6157" i="106"/>
  <c r="B6158" i="106"/>
  <c r="D6158" i="106"/>
  <c r="B6159" i="106"/>
  <c r="D6159" i="106"/>
  <c r="B6160" i="106"/>
  <c r="D6160" i="106"/>
  <c r="B6161" i="106"/>
  <c r="D6161" i="106"/>
  <c r="B6162" i="106"/>
  <c r="D6162" i="106"/>
  <c r="B6163" i="106"/>
  <c r="D6163" i="106"/>
  <c r="B6164" i="106"/>
  <c r="D6164" i="106"/>
  <c r="B6165" i="106"/>
  <c r="D6165" i="106"/>
  <c r="B6166" i="106"/>
  <c r="D6166" i="106"/>
  <c r="B6167" i="106"/>
  <c r="D6167" i="106"/>
  <c r="B6168" i="106"/>
  <c r="D6168" i="106"/>
  <c r="B6169" i="106"/>
  <c r="D6169" i="106"/>
  <c r="B6170" i="106"/>
  <c r="D6170" i="106"/>
  <c r="B6171" i="106"/>
  <c r="D6171" i="106"/>
  <c r="B6172" i="106"/>
  <c r="D6172" i="106"/>
  <c r="B6173" i="106"/>
  <c r="D6173" i="106"/>
  <c r="B6174" i="106"/>
  <c r="D6174" i="106"/>
  <c r="B6175" i="106"/>
  <c r="D6175" i="106"/>
  <c r="B6176" i="106"/>
  <c r="D6176" i="106"/>
  <c r="B6177" i="106"/>
  <c r="D6177" i="106"/>
  <c r="B6178" i="106"/>
  <c r="D6178" i="106"/>
  <c r="B6179" i="106"/>
  <c r="D6179" i="106"/>
  <c r="B6180" i="106"/>
  <c r="D6180" i="106"/>
  <c r="B6181" i="106"/>
  <c r="D6181" i="106"/>
  <c r="B6182" i="106"/>
  <c r="D6182" i="106"/>
  <c r="B6183" i="106"/>
  <c r="D6183" i="106"/>
  <c r="B6184" i="106"/>
  <c r="D6184" i="106"/>
  <c r="B6185" i="106"/>
  <c r="D6185" i="106"/>
  <c r="B6186" i="106"/>
  <c r="D6186" i="106"/>
  <c r="B6187" i="106"/>
  <c r="D6187" i="106"/>
  <c r="B6188" i="106"/>
  <c r="D6188" i="106"/>
  <c r="B6189" i="106"/>
  <c r="D6189" i="106"/>
  <c r="B6190" i="106"/>
  <c r="D6190" i="106"/>
  <c r="J34" i="3"/>
  <c r="B6191" i="106"/>
  <c r="D6191" i="106"/>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B6217" i="106"/>
  <c r="D6217" i="106"/>
  <c r="B6218" i="106"/>
  <c r="D6218" i="106"/>
  <c r="B6219" i="106"/>
  <c r="D6219" i="106"/>
  <c r="B6224" i="106"/>
  <c r="D6224" i="106"/>
  <c r="J18" i="4"/>
  <c r="B6228" i="106"/>
  <c r="D6228" i="106"/>
  <c r="B6231" i="106"/>
  <c r="D6231" i="106"/>
  <c r="B6232" i="106"/>
  <c r="D6232" i="106"/>
  <c r="B6233" i="106"/>
  <c r="D6233" i="106"/>
  <c r="B6234" i="106"/>
  <c r="D6234" i="106"/>
  <c r="B6235" i="106"/>
  <c r="D6235" i="106"/>
  <c r="B6236" i="106"/>
  <c r="D6236" i="106"/>
  <c r="B6237" i="106"/>
  <c r="D6237" i="106"/>
  <c r="J44" i="4"/>
  <c r="B6238" i="106"/>
  <c r="D6238" i="106"/>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B6261" i="106"/>
  <c r="D6261" i="106"/>
  <c r="B6264" i="106"/>
  <c r="D6264" i="106"/>
  <c r="B6265" i="106"/>
  <c r="D6265" i="106"/>
  <c r="B6286" i="106"/>
  <c r="D6286" i="106"/>
  <c r="B6289" i="106"/>
  <c r="D6289" i="106"/>
  <c r="B6290" i="106"/>
  <c r="D6290" i="106"/>
  <c r="B6291" i="106"/>
  <c r="D6291" i="106"/>
  <c r="B6292" i="106"/>
  <c r="D6292" i="106"/>
  <c r="B6293" i="106"/>
  <c r="D6293" i="106"/>
  <c r="B6294" i="106"/>
  <c r="D6294" i="106"/>
  <c r="B6295" i="106"/>
  <c r="D6295" i="106"/>
  <c r="B6296" i="106"/>
  <c r="D6296" i="106"/>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D6382" i="106"/>
  <c r="D6383" i="106"/>
  <c r="D6384" i="106"/>
  <c r="D6385" i="106"/>
  <c r="D6386"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D6841" i="106"/>
  <c r="D6842" i="106"/>
  <c r="D6843" i="106"/>
  <c r="B6844" i="106"/>
  <c r="D6844" i="106"/>
  <c r="B6845" i="106"/>
  <c r="D6845" i="106"/>
  <c r="B6846" i="106"/>
  <c r="D6846" i="106"/>
  <c r="B6847" i="106"/>
  <c r="D6847" i="106"/>
  <c r="B6848" i="106"/>
  <c r="D6848" i="106"/>
  <c r="B6849" i="106"/>
  <c r="D6849" i="106"/>
  <c r="B6850" i="106"/>
  <c r="D6850" i="106"/>
  <c r="B6851" i="106"/>
  <c r="D6851" i="106"/>
  <c r="B6852" i="106"/>
  <c r="D6852" i="106"/>
  <c r="K9" i="29"/>
  <c r="B6853" i="106"/>
  <c r="D6853" i="106"/>
  <c r="B6854" i="106"/>
  <c r="D6854" i="106"/>
  <c r="B6855" i="106"/>
  <c r="D6855" i="106"/>
  <c r="B6856" i="106"/>
  <c r="D6856" i="106"/>
  <c r="B6857" i="106"/>
  <c r="D6857" i="106"/>
  <c r="K11" i="29"/>
  <c r="B6858" i="106"/>
  <c r="D6858" i="106"/>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B6871" i="106"/>
  <c r="D6871" i="106"/>
  <c r="B6872" i="106"/>
  <c r="D6872" i="106"/>
  <c r="B6873" i="106"/>
  <c r="D6873" i="106"/>
  <c r="B6874" i="106"/>
  <c r="D6874" i="106"/>
  <c r="B6875" i="106"/>
  <c r="D6875" i="106"/>
  <c r="B6876" i="106"/>
  <c r="D6876" i="106"/>
  <c r="K20" i="29"/>
  <c r="B6878" i="106"/>
  <c r="D6878" i="106"/>
  <c r="K21" i="29"/>
  <c r="B6879" i="106"/>
  <c r="D6879" i="106"/>
  <c r="B6880" i="106"/>
  <c r="D6880" i="106"/>
  <c r="K22" i="29"/>
  <c r="B6881" i="106"/>
  <c r="D6881" i="106"/>
  <c r="B6882" i="106"/>
  <c r="D6882" i="106"/>
  <c r="K23" i="29"/>
  <c r="B6883" i="106"/>
  <c r="D6883" i="106"/>
  <c r="B6884" i="106"/>
  <c r="D6884" i="106"/>
  <c r="K24" i="29"/>
  <c r="B6886" i="106"/>
  <c r="D6886" i="106"/>
  <c r="K25" i="29"/>
  <c r="B6887" i="106"/>
  <c r="D6887" i="106"/>
  <c r="B6888" i="106"/>
  <c r="D6888" i="106"/>
  <c r="K26" i="29"/>
  <c r="B6889" i="106"/>
  <c r="D6889" i="106"/>
  <c r="B6890" i="106"/>
  <c r="D6890" i="106"/>
  <c r="K27" i="29"/>
  <c r="B6891" i="106"/>
  <c r="D6891" i="106"/>
  <c r="B6892" i="106"/>
  <c r="D6892" i="106"/>
  <c r="K28" i="29"/>
  <c r="B6894" i="106"/>
  <c r="D6894" i="106"/>
  <c r="K29" i="29"/>
  <c r="B6895" i="106"/>
  <c r="D6895" i="106"/>
  <c r="B6896" i="106"/>
  <c r="D6896" i="106"/>
  <c r="K30" i="29"/>
  <c r="B6897" i="106"/>
  <c r="D6897" i="106"/>
  <c r="B6898" i="106"/>
  <c r="D6898" i="106"/>
  <c r="K31" i="29"/>
  <c r="B6899" i="106"/>
  <c r="D6899" i="106"/>
  <c r="B6900" i="106"/>
  <c r="D6900" i="106"/>
  <c r="K32" i="29"/>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I42" i="29"/>
  <c r="J42" i="29"/>
  <c r="B6918" i="106"/>
  <c r="D6918" i="106"/>
  <c r="B6919" i="106"/>
  <c r="D6919" i="106"/>
  <c r="B6920" i="106"/>
  <c r="D6920" i="106"/>
  <c r="B6921" i="106"/>
  <c r="D6921" i="106"/>
  <c r="B6922" i="106"/>
  <c r="D6922" i="106"/>
  <c r="B6923" i="106"/>
  <c r="D6923" i="106"/>
  <c r="I47" i="29"/>
  <c r="B6924" i="106"/>
  <c r="D6924" i="106"/>
  <c r="J47" i="29"/>
  <c r="B6925" i="106"/>
  <c r="D6925" i="106"/>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K52" i="29"/>
  <c r="B6940" i="106"/>
  <c r="D6940" i="106"/>
  <c r="D6941" i="106"/>
  <c r="I53" i="29"/>
  <c r="B6942" i="106"/>
  <c r="D6942" i="106"/>
  <c r="J53" i="29"/>
  <c r="B6943" i="106"/>
  <c r="D6943" i="106"/>
  <c r="B6944" i="106"/>
  <c r="D6944" i="106"/>
  <c r="B6945" i="106"/>
  <c r="D6945" i="106"/>
  <c r="B6946" i="106"/>
  <c r="D6946" i="106"/>
  <c r="B6947" i="106"/>
  <c r="D6947" i="106"/>
  <c r="I57" i="29"/>
  <c r="B6948" i="106"/>
  <c r="D6948" i="106"/>
  <c r="J57" i="29"/>
  <c r="B6949" i="106"/>
  <c r="D6949" i="106"/>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I65" i="29"/>
  <c r="B6961" i="106"/>
  <c r="D6961" i="106"/>
  <c r="J65" i="29"/>
  <c r="B6962" i="106"/>
  <c r="D6962" i="106"/>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I72" i="29"/>
  <c r="B6973" i="106"/>
  <c r="D6973" i="106"/>
  <c r="J72" i="29"/>
  <c r="B6974" i="106"/>
  <c r="D6974" i="106"/>
  <c r="B6975" i="106"/>
  <c r="D6975" i="106"/>
  <c r="B6976" i="106"/>
  <c r="D6976" i="106"/>
  <c r="B6979" i="106"/>
  <c r="D6979" i="106"/>
  <c r="B6980" i="106"/>
  <c r="D6980" i="106"/>
  <c r="B6981" i="106"/>
  <c r="D6981" i="106"/>
  <c r="K85" i="29"/>
  <c r="B6982" i="106"/>
  <c r="D6982" i="106"/>
  <c r="B6983" i="106"/>
  <c r="D6983" i="106"/>
  <c r="K86" i="29"/>
  <c r="B6984" i="106"/>
  <c r="D6984" i="106"/>
  <c r="B6985" i="106"/>
  <c r="D6985" i="106"/>
  <c r="K87" i="29"/>
  <c r="B6986" i="106"/>
  <c r="D6986" i="106"/>
  <c r="B6987" i="106"/>
  <c r="D6987" i="106"/>
  <c r="K88" i="29"/>
  <c r="B6988" i="106"/>
  <c r="D6988" i="106"/>
  <c r="B6989" i="106"/>
  <c r="D6989" i="106"/>
  <c r="K89" i="29"/>
  <c r="B6990" i="106"/>
  <c r="D6990" i="106"/>
  <c r="B6991" i="106"/>
  <c r="D6991" i="106"/>
  <c r="K90" i="29"/>
  <c r="B6992" i="106"/>
  <c r="D6992" i="106"/>
  <c r="B6993" i="106"/>
  <c r="D6993" i="106"/>
  <c r="K91" i="29"/>
  <c r="B6994" i="106"/>
  <c r="D6994" i="106"/>
  <c r="B6995" i="106"/>
  <c r="D6995" i="106"/>
  <c r="B6996" i="106"/>
  <c r="D6996" i="106"/>
  <c r="B6997" i="106"/>
  <c r="D6997" i="106"/>
  <c r="B6998" i="106"/>
  <c r="D6998" i="106"/>
  <c r="B6999" i="106"/>
  <c r="D6999" i="106"/>
  <c r="B7000" i="106"/>
  <c r="D7000" i="106"/>
  <c r="B7001" i="106"/>
  <c r="D7001" i="106"/>
  <c r="B7002" i="106"/>
  <c r="D7002" i="106"/>
  <c r="B7003" i="106"/>
  <c r="D7003" i="106"/>
  <c r="B7004" i="106"/>
  <c r="D7004" i="106"/>
  <c r="B7005" i="106"/>
  <c r="D7005" i="106"/>
  <c r="B7006" i="106"/>
  <c r="D7006" i="106"/>
  <c r="B7007" i="106"/>
  <c r="D7007" i="106"/>
  <c r="B7008" i="106"/>
  <c r="D7008" i="106"/>
  <c r="B7009" i="106"/>
  <c r="D7009" i="106"/>
  <c r="B7014" i="106"/>
  <c r="D7014" i="106"/>
  <c r="B7016" i="106"/>
  <c r="D7016" i="106"/>
  <c r="K111" i="29"/>
  <c r="B7017" i="106"/>
  <c r="D7017" i="106"/>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I127" i="29"/>
  <c r="B7033" i="106"/>
  <c r="D7033" i="106"/>
  <c r="J127" i="29"/>
  <c r="B7034" i="106"/>
  <c r="D7034" i="106"/>
  <c r="B7035" i="106"/>
  <c r="D7035" i="106"/>
  <c r="B7036" i="106"/>
  <c r="D7036" i="106"/>
  <c r="I129" i="29"/>
  <c r="B7037" i="106"/>
  <c r="D7037" i="106"/>
  <c r="B7039" i="106"/>
  <c r="D7039" i="106"/>
  <c r="B7040" i="106"/>
  <c r="D7040" i="106"/>
  <c r="B7043" i="106"/>
  <c r="D7043" i="106"/>
  <c r="B7044" i="106"/>
  <c r="D7044" i="106"/>
  <c r="B7045" i="106"/>
  <c r="D7045" i="106"/>
  <c r="B7046" i="106"/>
  <c r="D7046" i="106"/>
  <c r="B7047" i="106"/>
  <c r="D7047" i="106"/>
  <c r="B7049" i="106"/>
  <c r="D7049" i="106"/>
  <c r="D7053" i="106"/>
  <c r="D7056" i="106"/>
  <c r="B7057" i="106"/>
  <c r="D7057" i="106"/>
  <c r="B7058" i="106"/>
  <c r="D7058" i="106"/>
  <c r="B7059" i="106"/>
  <c r="D7059" i="106"/>
  <c r="B7060" i="106"/>
  <c r="D7060" i="106"/>
  <c r="B7061" i="106"/>
  <c r="D7061" i="106"/>
  <c r="B7062" i="106"/>
  <c r="D7062" i="106"/>
  <c r="I184" i="29"/>
  <c r="B7063" i="106"/>
  <c r="D7063" i="106"/>
  <c r="J184" i="29"/>
  <c r="B7064" i="106"/>
  <c r="D7064" i="106"/>
  <c r="B7065" i="106"/>
  <c r="D7065" i="106"/>
  <c r="B7066" i="106"/>
  <c r="D7066" i="106"/>
  <c r="B7067" i="106"/>
  <c r="D7067" i="106"/>
  <c r="B7069" i="106"/>
  <c r="D7069" i="106"/>
  <c r="I210" i="29"/>
  <c r="B7071" i="106"/>
  <c r="D7071" i="106"/>
  <c r="J210" i="29"/>
  <c r="B7072" i="106"/>
  <c r="D7072" i="106"/>
  <c r="B7073" i="106"/>
  <c r="D7073" i="106"/>
  <c r="B7074" i="106"/>
  <c r="D7074" i="106"/>
  <c r="B7075" i="106"/>
  <c r="D7075" i="106"/>
  <c r="B7076" i="106"/>
  <c r="D7076" i="106"/>
  <c r="B7077" i="106"/>
  <c r="D7077" i="106"/>
  <c r="B7078" i="106"/>
  <c r="D7078" i="106"/>
  <c r="B7079" i="106"/>
  <c r="D7079" i="106"/>
  <c r="B7081" i="106"/>
  <c r="D7081" i="106"/>
  <c r="B7083" i="106"/>
  <c r="D7083" i="106"/>
  <c r="B7084" i="106"/>
  <c r="D7084" i="106"/>
  <c r="B7085" i="106"/>
  <c r="D7085" i="106"/>
  <c r="B7087" i="106"/>
  <c r="D7087" i="106"/>
  <c r="B7088" i="106"/>
  <c r="D7088" i="106"/>
  <c r="B7089" i="106"/>
  <c r="D7089" i="106"/>
  <c r="B7091" i="106"/>
  <c r="D7091" i="106"/>
  <c r="B7092" i="106"/>
  <c r="D7092" i="106"/>
  <c r="B7093" i="106"/>
  <c r="D7093" i="106"/>
  <c r="B7095" i="106"/>
  <c r="D7095" i="106"/>
  <c r="B7096" i="106"/>
  <c r="D7096" i="106"/>
  <c r="B7097" i="106"/>
  <c r="D7097" i="106"/>
  <c r="B7099" i="106"/>
  <c r="D7099" i="106"/>
  <c r="B7100" i="106"/>
  <c r="D7100" i="106"/>
  <c r="B7101" i="106"/>
  <c r="D7101" i="106"/>
  <c r="B7102" i="106"/>
  <c r="D7102" i="106"/>
  <c r="I303" i="29"/>
  <c r="B7103" i="106"/>
  <c r="D7103" i="106"/>
  <c r="J303" i="29"/>
  <c r="B7104" i="106"/>
  <c r="D7104" i="106"/>
  <c r="B7105" i="106"/>
  <c r="D7105" i="106"/>
  <c r="B7106" i="106"/>
  <c r="D7106" i="106"/>
  <c r="B7107" i="106"/>
  <c r="D7107" i="106"/>
  <c r="B7108" i="106"/>
  <c r="D7108" i="106"/>
  <c r="B7109" i="106"/>
  <c r="D7109" i="106"/>
  <c r="B7110" i="106"/>
  <c r="D7110" i="106"/>
  <c r="B7111" i="106"/>
  <c r="D7111" i="106"/>
  <c r="B7112" i="106"/>
  <c r="D7112" i="106"/>
  <c r="B7113" i="106"/>
  <c r="D7113" i="106"/>
  <c r="B7114" i="106"/>
  <c r="D7114" i="106"/>
  <c r="B7115" i="106"/>
  <c r="D7115" i="106"/>
  <c r="B7118" i="106"/>
  <c r="D7118" i="106"/>
  <c r="B7119" i="106"/>
  <c r="D7119" i="106"/>
  <c r="B7120" i="106"/>
  <c r="D7120" i="106"/>
  <c r="B7121" i="106"/>
  <c r="D7121" i="106"/>
  <c r="B7122" i="106"/>
  <c r="D7122" i="106"/>
  <c r="B7123" i="106"/>
  <c r="D7123" i="106"/>
  <c r="B7124" i="106"/>
  <c r="D7124" i="106"/>
  <c r="B7125" i="106"/>
  <c r="D7125" i="106"/>
  <c r="K319" i="29"/>
  <c r="B7126" i="106"/>
  <c r="D7126" i="106"/>
  <c r="B7127" i="106"/>
  <c r="D7127" i="106"/>
  <c r="B7128" i="106"/>
  <c r="D7128" i="106"/>
  <c r="B7129" i="106"/>
  <c r="D7129" i="106"/>
  <c r="B7130" i="106"/>
  <c r="D7130" i="106"/>
  <c r="B7131" i="106"/>
  <c r="D7131" i="106"/>
  <c r="B7132" i="106"/>
  <c r="D7132" i="106"/>
  <c r="B7133" i="106"/>
  <c r="D7133" i="106"/>
  <c r="B7134" i="106"/>
  <c r="D7134" i="106"/>
  <c r="K320" i="29"/>
  <c r="B7135" i="106"/>
  <c r="D7135" i="106"/>
  <c r="B7136" i="106"/>
  <c r="D7136" i="106"/>
  <c r="B7137" i="106"/>
  <c r="D7137" i="106"/>
  <c r="B7138" i="106"/>
  <c r="D7138" i="106"/>
  <c r="B7139" i="106"/>
  <c r="D7139" i="106"/>
  <c r="B7140" i="106"/>
  <c r="D7140" i="106"/>
  <c r="B7141" i="106"/>
  <c r="D7141" i="106"/>
  <c r="B7142" i="106"/>
  <c r="D7142" i="106"/>
  <c r="B7143" i="106"/>
  <c r="D7143" i="106"/>
  <c r="K321" i="29"/>
  <c r="B7145" i="106"/>
  <c r="D7145" i="106"/>
  <c r="B7146" i="106"/>
  <c r="D7146" i="106"/>
  <c r="B7147" i="106"/>
  <c r="D7147" i="106"/>
  <c r="B7148" i="106"/>
  <c r="D7148" i="106"/>
  <c r="B7149" i="106"/>
  <c r="D7149" i="106"/>
  <c r="B7150" i="106"/>
  <c r="D7150" i="106"/>
  <c r="B7151" i="106"/>
  <c r="D7151" i="106"/>
  <c r="B7152" i="106"/>
  <c r="D7152" i="106"/>
  <c r="K322" i="29"/>
  <c r="B7153" i="106"/>
  <c r="D7153" i="106"/>
  <c r="B7154" i="106"/>
  <c r="D7154" i="106"/>
  <c r="B7155" i="106"/>
  <c r="D7155" i="106"/>
  <c r="B7156" i="106"/>
  <c r="D7156" i="106"/>
  <c r="B7157" i="106"/>
  <c r="D7157" i="106"/>
  <c r="B7158" i="106"/>
  <c r="D7158" i="106"/>
  <c r="B7159" i="106"/>
  <c r="D7159" i="106"/>
  <c r="B7160" i="106"/>
  <c r="D7160" i="106"/>
  <c r="B7161" i="106"/>
  <c r="D7161" i="106"/>
  <c r="K323" i="29"/>
  <c r="B7162" i="106"/>
  <c r="D7162" i="106"/>
  <c r="B7163" i="106"/>
  <c r="D7163" i="106"/>
  <c r="B7164" i="106"/>
  <c r="D7164" i="106"/>
  <c r="B7165" i="106"/>
  <c r="D7165" i="106"/>
  <c r="B7166" i="106"/>
  <c r="D7166" i="106"/>
  <c r="B7167" i="106"/>
  <c r="D7167" i="106"/>
  <c r="B7168" i="106"/>
  <c r="D7168" i="106"/>
  <c r="B7169" i="106"/>
  <c r="D7169" i="106"/>
  <c r="B7170" i="106"/>
  <c r="D7170" i="106"/>
  <c r="K324" i="29"/>
  <c r="B7171" i="106"/>
  <c r="D7171" i="106"/>
  <c r="B7172" i="106"/>
  <c r="D7172" i="106"/>
  <c r="B7173" i="106"/>
  <c r="D7173" i="106"/>
  <c r="B7174" i="106"/>
  <c r="D7174" i="106"/>
  <c r="B7175" i="106"/>
  <c r="D7175" i="106"/>
  <c r="B7176" i="106"/>
  <c r="D7176" i="106"/>
  <c r="B7177" i="106"/>
  <c r="D7177" i="106"/>
  <c r="B7178" i="106"/>
  <c r="D7178" i="106"/>
  <c r="B7179" i="106"/>
  <c r="D7179" i="106"/>
  <c r="K325" i="29"/>
  <c r="B7180" i="106"/>
  <c r="D7180" i="106"/>
  <c r="B7181" i="106"/>
  <c r="D7181" i="106"/>
  <c r="B7182" i="106"/>
  <c r="D7182" i="106"/>
  <c r="B7183" i="106"/>
  <c r="D7183" i="106"/>
  <c r="B7184" i="106"/>
  <c r="D7184" i="106"/>
  <c r="B7185" i="106"/>
  <c r="D7185" i="106"/>
  <c r="B7186" i="106"/>
  <c r="D7186" i="106"/>
  <c r="B7187" i="106"/>
  <c r="D7187" i="106"/>
  <c r="B7188" i="106"/>
  <c r="D7188" i="106"/>
  <c r="K326" i="29"/>
  <c r="B7189" i="106"/>
  <c r="D7189" i="106"/>
  <c r="B7190" i="106"/>
  <c r="D7190" i="106"/>
  <c r="B7191" i="106"/>
  <c r="D7191" i="106"/>
  <c r="B7192" i="106"/>
  <c r="D7192" i="106"/>
  <c r="B7193" i="106"/>
  <c r="D7193" i="106"/>
  <c r="B7194" i="106"/>
  <c r="D7194" i="106"/>
  <c r="B7195" i="106"/>
  <c r="D7195" i="106"/>
  <c r="B7196" i="106"/>
  <c r="D7196" i="106"/>
  <c r="B7197" i="106"/>
  <c r="D7197" i="106"/>
  <c r="K327" i="29"/>
  <c r="B7198" i="106"/>
  <c r="D7198" i="106"/>
  <c r="C330" i="29"/>
  <c r="B7199" i="106"/>
  <c r="D7199" i="106"/>
  <c r="D330" i="29"/>
  <c r="E330" i="29"/>
  <c r="F330" i="29"/>
  <c r="G330" i="29"/>
  <c r="B7203" i="106"/>
  <c r="D7203" i="106"/>
  <c r="H330" i="29"/>
  <c r="B7204" i="106"/>
  <c r="D7204" i="106"/>
  <c r="I330" i="29"/>
  <c r="B7205" i="106"/>
  <c r="D7205" i="106"/>
  <c r="J330" i="29"/>
  <c r="B7206" i="106"/>
  <c r="D7206" i="106"/>
  <c r="K328" i="29"/>
  <c r="B7696" i="106"/>
  <c r="D7696" i="106"/>
  <c r="K329" i="29"/>
  <c r="B7705" i="106"/>
  <c r="D7705" i="106"/>
  <c r="B7208" i="106"/>
  <c r="D7208" i="106"/>
  <c r="K337" i="29"/>
  <c r="B7209" i="106"/>
  <c r="D7209" i="106"/>
  <c r="B7210" i="106"/>
  <c r="D7210" i="106"/>
  <c r="K338" i="29"/>
  <c r="B7212" i="106"/>
  <c r="D7212" i="106"/>
  <c r="K339" i="29"/>
  <c r="B7213" i="106"/>
  <c r="D7213" i="106"/>
  <c r="H340" i="29"/>
  <c r="H342" i="29"/>
  <c r="C342" i="29"/>
  <c r="B7216" i="106"/>
  <c r="D7216" i="106"/>
  <c r="B7226" i="106"/>
  <c r="D7226" i="106"/>
  <c r="B7227" i="106"/>
  <c r="D7227" i="106"/>
  <c r="B7228" i="106"/>
  <c r="D7228" i="106"/>
  <c r="B7229" i="106"/>
  <c r="D7229" i="106"/>
  <c r="I350" i="29"/>
  <c r="J350" i="29"/>
  <c r="B7231" i="106"/>
  <c r="D7231" i="106"/>
  <c r="B7232" i="106"/>
  <c r="D7232" i="106"/>
  <c r="B7233" i="106"/>
  <c r="D7233" i="106"/>
  <c r="D7236" i="106"/>
  <c r="D7237" i="106"/>
  <c r="B7238" i="106"/>
  <c r="D7238" i="106"/>
  <c r="B7240" i="106"/>
  <c r="D7240" i="106"/>
  <c r="B7242" i="106"/>
  <c r="D7242" i="106"/>
  <c r="A7245" i="106"/>
  <c r="A7246" i="106"/>
  <c r="A7247" i="106"/>
  <c r="A7248" i="106"/>
  <c r="A7249"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c r="B7597" i="106"/>
  <c r="B7598" i="106"/>
  <c r="B7599" i="106"/>
  <c r="F6" i="11"/>
  <c r="B7601" i="106"/>
  <c r="B7602" i="106"/>
  <c r="B7603" i="106"/>
  <c r="K6" i="11"/>
  <c r="B7604" i="106"/>
  <c r="B7606" i="106"/>
  <c r="B7607" i="106"/>
  <c r="B7608" i="106"/>
  <c r="F9" i="11"/>
  <c r="B7609" i="106"/>
  <c r="B7610" i="106"/>
  <c r="B7611" i="106"/>
  <c r="B7612" i="106"/>
  <c r="K9" i="11"/>
  <c r="B7613" i="106"/>
  <c r="B7615" i="106"/>
  <c r="B7616" i="106"/>
  <c r="B7617" i="106"/>
  <c r="F14" i="11"/>
  <c r="B7619" i="106"/>
  <c r="B7620" i="106"/>
  <c r="B7621" i="106"/>
  <c r="K14" i="11"/>
  <c r="B7622" i="106"/>
  <c r="D7626" i="106"/>
  <c r="D7627" i="106"/>
  <c r="D7628" i="106"/>
  <c r="D7629" i="106"/>
  <c r="D7630" i="106"/>
  <c r="D7632" i="106"/>
  <c r="D7633" i="106"/>
  <c r="D7634" i="106"/>
  <c r="B7636" i="106"/>
  <c r="B7637" i="106"/>
  <c r="B7638" i="106"/>
  <c r="B7639" i="106"/>
  <c r="B7651" i="106"/>
  <c r="D7651" i="106"/>
  <c r="B7652" i="106"/>
  <c r="D7652" i="106"/>
  <c r="B7653" i="106"/>
  <c r="D7653" i="106"/>
  <c r="B7654" i="106"/>
  <c r="D7654" i="106"/>
  <c r="B7655" i="106"/>
  <c r="D7655" i="106"/>
  <c r="B7656" i="106"/>
  <c r="D7656" i="106"/>
  <c r="B7657" i="106"/>
  <c r="D7657" i="106"/>
  <c r="B7658" i="106"/>
  <c r="D7658" i="106"/>
  <c r="B7659" i="106"/>
  <c r="D7659" i="106"/>
  <c r="B7660" i="106"/>
  <c r="D7660" i="106"/>
  <c r="B7661" i="106"/>
  <c r="D7661" i="106"/>
  <c r="B7662" i="106"/>
  <c r="D7662" i="106"/>
  <c r="B7663" i="106"/>
  <c r="D7663" i="106"/>
  <c r="B7664" i="106"/>
  <c r="D7664" i="106"/>
  <c r="B7665" i="106"/>
  <c r="D7665" i="106"/>
  <c r="B7666" i="106"/>
  <c r="D7666" i="106"/>
  <c r="B7667" i="106"/>
  <c r="D7667" i="106"/>
  <c r="B7668" i="106"/>
  <c r="D7668" i="106"/>
  <c r="B7669" i="106"/>
  <c r="D7669" i="106"/>
  <c r="B7670" i="106"/>
  <c r="D7670" i="106"/>
  <c r="B7671" i="106"/>
  <c r="D7671" i="106"/>
  <c r="B7672" i="106"/>
  <c r="D7672" i="106"/>
  <c r="B7673" i="106"/>
  <c r="D7673" i="106"/>
  <c r="B7674" i="106"/>
  <c r="D7674" i="106"/>
  <c r="B7675" i="106"/>
  <c r="D7675" i="106"/>
  <c r="B7676" i="106"/>
  <c r="D7676" i="106"/>
  <c r="B7677" i="106"/>
  <c r="D7677" i="106"/>
  <c r="B7678" i="106"/>
  <c r="D7678" i="106"/>
  <c r="B7679" i="106"/>
  <c r="D7679" i="106"/>
  <c r="B7680" i="106"/>
  <c r="D7680" i="106"/>
  <c r="B7681" i="106"/>
  <c r="D7681" i="106"/>
  <c r="B7682" i="106"/>
  <c r="D7682" i="106"/>
  <c r="B7683" i="106"/>
  <c r="D7683" i="106"/>
  <c r="B7684" i="106"/>
  <c r="D7684" i="106"/>
  <c r="B7685" i="106"/>
  <c r="D7685" i="106"/>
  <c r="B7686" i="106"/>
  <c r="D7686" i="106"/>
  <c r="B7687" i="106"/>
  <c r="D7687" i="106"/>
  <c r="B7688" i="106"/>
  <c r="D7688" i="106"/>
  <c r="B7689" i="106"/>
  <c r="D7689" i="106"/>
  <c r="B7690" i="106"/>
  <c r="D7690" i="106"/>
  <c r="B7691" i="106"/>
  <c r="D7691" i="106"/>
  <c r="B7692" i="106"/>
  <c r="D7692" i="106"/>
  <c r="B7693" i="106"/>
  <c r="D7693" i="106"/>
  <c r="B7694" i="106"/>
  <c r="D7694" i="106"/>
  <c r="B7695" i="106"/>
  <c r="D7695" i="106"/>
  <c r="B7697" i="106"/>
  <c r="D7697" i="106"/>
  <c r="B7698" i="106"/>
  <c r="D7698" i="106"/>
  <c r="B7699" i="106"/>
  <c r="D7699" i="106"/>
  <c r="B7700" i="106"/>
  <c r="D7700" i="106"/>
  <c r="B7701" i="106"/>
  <c r="D7701" i="106"/>
  <c r="B7702" i="106"/>
  <c r="D7702" i="106"/>
  <c r="B7703" i="106"/>
  <c r="D7703" i="106"/>
  <c r="B7704" i="106"/>
  <c r="D7704" i="106"/>
  <c r="B7706" i="106"/>
  <c r="D7706" i="106"/>
  <c r="B7707" i="106"/>
  <c r="D7707" i="106"/>
  <c r="B7708" i="106"/>
  <c r="D7708" i="106"/>
  <c r="B7709" i="106"/>
  <c r="D7709" i="106"/>
  <c r="B7710" i="106"/>
  <c r="D7710" i="106"/>
  <c r="B7711" i="106"/>
  <c r="D7711" i="106"/>
  <c r="B7712" i="106"/>
  <c r="D7712" i="106"/>
  <c r="B7713" i="106"/>
  <c r="D7713" i="106"/>
  <c r="B7714" i="106"/>
  <c r="D7714" i="106"/>
  <c r="B7715" i="106"/>
  <c r="D7715" i="106"/>
  <c r="B7716" i="106"/>
  <c r="D7716" i="106"/>
  <c r="B7717" i="106"/>
  <c r="D7717" i="106"/>
  <c r="B7719" i="106"/>
  <c r="D7719" i="106"/>
  <c r="B7720" i="106"/>
  <c r="D7720" i="106"/>
  <c r="B7721" i="106"/>
  <c r="D7721" i="106"/>
  <c r="B7722" i="106"/>
  <c r="D7722" i="106"/>
  <c r="B7723" i="106"/>
  <c r="D7723" i="106"/>
  <c r="B7724" i="106"/>
  <c r="D7724" i="106"/>
  <c r="B7725" i="106"/>
  <c r="D7725" i="106"/>
  <c r="B7728" i="106"/>
  <c r="D7728" i="106"/>
  <c r="B7731" i="106"/>
  <c r="D7731" i="106"/>
  <c r="D7734" i="106"/>
  <c r="B7735" i="106"/>
  <c r="D7735" i="106"/>
  <c r="B7736" i="106"/>
  <c r="D7736" i="106"/>
  <c r="B7737" i="106"/>
  <c r="D7737" i="106"/>
  <c r="B7738" i="106"/>
  <c r="D7738" i="106"/>
  <c r="D7744" i="106"/>
  <c r="B7745" i="106"/>
  <c r="D7745" i="106"/>
  <c r="B7746" i="106"/>
  <c r="D7746" i="106"/>
  <c r="B7748" i="106"/>
  <c r="D7748" i="106"/>
  <c r="B7749" i="106"/>
  <c r="D7749" i="106"/>
  <c r="B7750" i="106"/>
  <c r="D7750" i="106"/>
  <c r="B7751" i="106"/>
  <c r="D7751" i="106"/>
  <c r="B7752" i="106"/>
  <c r="D7752" i="106"/>
  <c r="B7753" i="106"/>
  <c r="D7753" i="106"/>
  <c r="B7754" i="106"/>
  <c r="D7754" i="106"/>
  <c r="B7755" i="106"/>
  <c r="D7755" i="106"/>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c r="B9" i="36"/>
  <c r="B10" i="36"/>
  <c r="B11" i="36"/>
  <c r="B12" i="36"/>
  <c r="B13" i="36"/>
  <c r="D23" i="36"/>
  <c r="B9" i="106"/>
  <c r="D25" i="36"/>
  <c r="D26" i="36"/>
  <c r="D27" i="36"/>
  <c r="D28" i="36"/>
  <c r="D32" i="36"/>
  <c r="D34" i="36"/>
  <c r="D35" i="36"/>
  <c r="D36" i="36"/>
  <c r="D37" i="36"/>
  <c r="D38" i="36"/>
  <c r="D39" i="36"/>
  <c r="D40" i="36"/>
  <c r="D41" i="36"/>
  <c r="D42" i="36"/>
  <c r="D68" i="36"/>
  <c r="D69" i="36"/>
  <c r="D71" i="36"/>
  <c r="D72" i="36"/>
  <c r="B65" i="127"/>
  <c r="B66" i="127"/>
  <c r="G26" i="108"/>
  <c r="E27" i="108"/>
  <c r="G27" i="108"/>
  <c r="F31"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c r="C31" i="34"/>
  <c r="D31" i="34"/>
  <c r="F31" i="34"/>
  <c r="B7824" i="106"/>
  <c r="C32" i="34"/>
  <c r="D32" i="34"/>
  <c r="F32" i="34"/>
  <c r="B7825" i="106"/>
  <c r="D7825" i="106"/>
  <c r="C33" i="34"/>
  <c r="D33" i="34"/>
  <c r="F33" i="34"/>
  <c r="C34" i="34"/>
  <c r="D34" i="34"/>
  <c r="F34" i="34"/>
  <c r="B7826" i="106"/>
  <c r="D7826" i="106"/>
  <c r="C35" i="34"/>
  <c r="D35" i="34"/>
  <c r="C36" i="34"/>
  <c r="D36" i="34"/>
  <c r="F36" i="34"/>
  <c r="B7828" i="106"/>
  <c r="D7828" i="106"/>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c r="D7832" i="106"/>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F95" i="34"/>
  <c r="D96" i="34"/>
  <c r="C97" i="34"/>
  <c r="D97" i="34"/>
  <c r="F97" i="34"/>
  <c r="C98" i="34"/>
  <c r="D98" i="34"/>
  <c r="F98" i="34"/>
  <c r="C99" i="34"/>
  <c r="D99" i="34"/>
  <c r="F99" i="34"/>
  <c r="C100" i="34"/>
  <c r="D100" i="34"/>
  <c r="F100" i="34"/>
  <c r="C101" i="34"/>
  <c r="D101" i="34"/>
  <c r="F101" i="34"/>
  <c r="C102" i="34"/>
  <c r="D102" i="34"/>
  <c r="F102" i="34"/>
  <c r="B7839" i="106"/>
  <c r="D7839" i="106"/>
  <c r="C103" i="34"/>
  <c r="D103" i="34"/>
  <c r="F103" i="34"/>
  <c r="B7840" i="106"/>
  <c r="D7840" i="106"/>
  <c r="C104" i="34"/>
  <c r="D104" i="34"/>
  <c r="F104" i="34"/>
  <c r="B7841" i="106"/>
  <c r="D7841" i="106"/>
  <c r="C105" i="34"/>
  <c r="D105" i="34"/>
  <c r="F105" i="34"/>
  <c r="D106" i="34"/>
  <c r="D107" i="34"/>
  <c r="D108" i="34"/>
  <c r="C109" i="34"/>
  <c r="D109" i="34"/>
  <c r="F109" i="34"/>
  <c r="C110" i="34"/>
  <c r="D110" i="34"/>
  <c r="F110" i="34"/>
  <c r="B7845" i="106"/>
  <c r="D7845" i="106"/>
  <c r="C111" i="34"/>
  <c r="D111" i="34"/>
  <c r="F111" i="34"/>
  <c r="B7846" i="106"/>
  <c r="D7846" i="106"/>
  <c r="D112" i="34"/>
  <c r="C113" i="34"/>
  <c r="D113" i="34"/>
  <c r="F113" i="34"/>
  <c r="C114" i="34"/>
  <c r="D114" i="34"/>
  <c r="F114" i="34"/>
  <c r="B7848" i="106"/>
  <c r="D7848" i="106"/>
  <c r="C115" i="34"/>
  <c r="D115" i="34"/>
  <c r="F115" i="34"/>
  <c r="B7849" i="106"/>
  <c r="D7849" i="106"/>
  <c r="C116" i="34"/>
  <c r="D116" i="34"/>
  <c r="F116" i="34"/>
  <c r="B7850" i="106"/>
  <c r="D7850" i="106"/>
  <c r="C117" i="34"/>
  <c r="D117" i="34"/>
  <c r="F117" i="34"/>
  <c r="B7851" i="106"/>
  <c r="D7851" i="106"/>
  <c r="C118" i="34"/>
  <c r="D118" i="34"/>
  <c r="F118" i="34"/>
  <c r="B7852" i="106"/>
  <c r="D7852" i="106"/>
  <c r="C119" i="34"/>
  <c r="D119" i="34"/>
  <c r="F119" i="34"/>
  <c r="B7853" i="106"/>
  <c r="D7853" i="106"/>
  <c r="C120" i="34"/>
  <c r="D120" i="34"/>
  <c r="F120" i="34"/>
  <c r="B7854" i="106"/>
  <c r="D7854" i="106"/>
  <c r="C121" i="34"/>
  <c r="D121" i="34"/>
  <c r="F121" i="34"/>
  <c r="C122" i="34"/>
  <c r="F122" i="34"/>
  <c r="B7855" i="106"/>
  <c r="D7855" i="106"/>
  <c r="C123" i="34"/>
  <c r="D123" i="34"/>
  <c r="F123" i="34"/>
  <c r="D124" i="34"/>
  <c r="D125" i="34"/>
  <c r="D126" i="34"/>
  <c r="D127" i="34"/>
  <c r="D128" i="34"/>
  <c r="C129" i="34"/>
  <c r="D129" i="34"/>
  <c r="F129" i="34"/>
  <c r="B7861" i="106"/>
  <c r="D7861" i="106"/>
  <c r="C130" i="34"/>
  <c r="D130" i="34"/>
  <c r="F130" i="34"/>
  <c r="B7862" i="106"/>
  <c r="D7862" i="106"/>
  <c r="C131" i="34"/>
  <c r="D131" i="34"/>
  <c r="F131" i="34"/>
  <c r="B7863" i="106"/>
  <c r="D7863" i="106"/>
  <c r="C132" i="34"/>
  <c r="D132" i="34"/>
  <c r="F132" i="34"/>
  <c r="B7864" i="106"/>
  <c r="D7864" i="106"/>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c r="D7868" i="106"/>
  <c r="C162" i="34"/>
  <c r="D162" i="34"/>
  <c r="F162" i="34"/>
  <c r="B7869" i="106"/>
  <c r="D7869" i="106"/>
  <c r="C163" i="34"/>
  <c r="D163" i="34"/>
  <c r="F163" i="34"/>
  <c r="B7870" i="106"/>
  <c r="D7870" i="106"/>
  <c r="C164" i="34"/>
  <c r="D164" i="34"/>
  <c r="F164" i="34"/>
  <c r="B7871" i="106"/>
  <c r="D7871" i="106"/>
  <c r="C165" i="34"/>
  <c r="D165" i="34"/>
  <c r="F165" i="34"/>
  <c r="B7872" i="106"/>
  <c r="D7872" i="106"/>
  <c r="C166" i="34"/>
  <c r="D166" i="34"/>
  <c r="F166" i="34"/>
  <c r="B7873" i="106"/>
  <c r="D7873" i="106"/>
  <c r="C169" i="34"/>
  <c r="D169" i="34"/>
  <c r="F169" i="34"/>
  <c r="B7874" i="106"/>
  <c r="D7874" i="106"/>
  <c r="C170" i="34"/>
  <c r="D170" i="34"/>
  <c r="F170" i="34"/>
  <c r="B7875" i="106"/>
  <c r="D7875" i="106"/>
  <c r="C171" i="34"/>
  <c r="D171" i="34"/>
  <c r="F171" i="34"/>
  <c r="B7876" i="106"/>
  <c r="D7876" i="106"/>
  <c r="F179" i="34"/>
  <c r="F3" i="11"/>
  <c r="B7591" i="106"/>
  <c r="F5" i="11"/>
  <c r="B2026" i="106"/>
  <c r="D2026" i="106"/>
  <c r="C16" i="11"/>
  <c r="B2013" i="106"/>
  <c r="D2013" i="106"/>
  <c r="C49" i="8"/>
  <c r="B7817" i="106"/>
  <c r="D7817" i="106"/>
  <c r="B4" i="7"/>
  <c r="B1744" i="106"/>
  <c r="D1744" i="106"/>
  <c r="B5" i="7"/>
  <c r="B1745" i="106"/>
  <c r="D1745" i="106"/>
  <c r="B6" i="7"/>
  <c r="D6" i="7"/>
  <c r="B1762" i="106"/>
  <c r="D1762" i="106"/>
  <c r="B7" i="7"/>
  <c r="B1747" i="106"/>
  <c r="D1747" i="106"/>
  <c r="B8" i="7"/>
  <c r="B1748" i="106"/>
  <c r="D1748" i="106"/>
  <c r="B9" i="7"/>
  <c r="B1751" i="106"/>
  <c r="D1751" i="106"/>
  <c r="B10" i="7"/>
  <c r="B1749" i="106"/>
  <c r="D1749" i="106"/>
  <c r="B1752" i="106"/>
  <c r="D1752" i="106"/>
  <c r="B12" i="7"/>
  <c r="B1753" i="106"/>
  <c r="D1753" i="106"/>
  <c r="B13" i="7"/>
  <c r="B3725" i="106"/>
  <c r="D3725" i="106"/>
  <c r="B14" i="7"/>
  <c r="B1754" i="106"/>
  <c r="D1754" i="106"/>
  <c r="B1756" i="106"/>
  <c r="D1756" i="106"/>
  <c r="B16" i="7"/>
  <c r="B3446" i="106"/>
  <c r="D3446" i="106"/>
  <c r="B17" i="7"/>
  <c r="B4102" i="106"/>
  <c r="D4102" i="106"/>
  <c r="B18" i="7"/>
  <c r="B4103" i="106"/>
  <c r="D4103" i="106"/>
  <c r="B1093" i="106"/>
  <c r="D1093" i="106"/>
  <c r="B3062" i="106"/>
  <c r="D3062" i="106"/>
  <c r="B1105" i="106"/>
  <c r="D1105" i="106"/>
  <c r="C33" i="29"/>
  <c r="D33" i="29"/>
  <c r="B778" i="106"/>
  <c r="D778" i="106"/>
  <c r="F33" i="29"/>
  <c r="B894" i="106"/>
  <c r="D894" i="106"/>
  <c r="G33" i="29"/>
  <c r="B952" i="106"/>
  <c r="D952" i="106"/>
  <c r="H33" i="29"/>
  <c r="B1010" i="106"/>
  <c r="D1010" i="106"/>
  <c r="I33" i="29"/>
  <c r="B6902" i="106"/>
  <c r="D6902" i="106"/>
  <c r="J33" i="29"/>
  <c r="B6903" i="106"/>
  <c r="D6903" i="106"/>
  <c r="L33" i="29"/>
  <c r="L42" i="29"/>
  <c r="B1117" i="106"/>
  <c r="D1117" i="106"/>
  <c r="C47" i="29"/>
  <c r="L47" i="29"/>
  <c r="C53" i="29"/>
  <c r="B734" i="106"/>
  <c r="D734" i="106"/>
  <c r="L53" i="29"/>
  <c r="L57" i="29"/>
  <c r="L65" i="29"/>
  <c r="L72" i="29"/>
  <c r="L84" i="29"/>
  <c r="L92" i="29"/>
  <c r="L100" i="29"/>
  <c r="L110" i="29"/>
  <c r="L112" i="29"/>
  <c r="L147" i="29"/>
  <c r="L168" i="29"/>
  <c r="L172" i="29"/>
  <c r="L174" i="29"/>
  <c r="L184" i="29"/>
  <c r="L194" i="29"/>
  <c r="L196" i="29"/>
  <c r="L204" i="29"/>
  <c r="L208" i="29"/>
  <c r="L229" i="29"/>
  <c r="L238" i="29"/>
  <c r="L243" i="29"/>
  <c r="L257" i="29"/>
  <c r="L261" i="29"/>
  <c r="L270" i="29"/>
  <c r="L277" i="29"/>
  <c r="L293" i="29"/>
  <c r="L303" i="29"/>
  <c r="L310" i="29"/>
  <c r="L330" i="29"/>
  <c r="L340" i="29"/>
  <c r="L350" i="29"/>
  <c r="L352" i="29"/>
  <c r="L362" i="29"/>
  <c r="L365" i="29"/>
  <c r="B5334" i="106"/>
  <c r="D5334" i="106"/>
  <c r="E12" i="5"/>
  <c r="B5513" i="106"/>
  <c r="D5513" i="106"/>
  <c r="B5557" i="106"/>
  <c r="D5557" i="106"/>
  <c r="G12" i="5"/>
  <c r="B5725" i="106"/>
  <c r="D5725" i="106"/>
  <c r="H12" i="5"/>
  <c r="B5873" i="106"/>
  <c r="D5873" i="106"/>
  <c r="I12" i="5"/>
  <c r="B5918" i="106"/>
  <c r="D5918" i="106"/>
  <c r="J12" i="5"/>
  <c r="B6301" i="106"/>
  <c r="D6301" i="106"/>
  <c r="K12" i="5"/>
  <c r="B5987" i="106"/>
  <c r="D5987" i="106"/>
  <c r="C18" i="5"/>
  <c r="B5071" i="106"/>
  <c r="D5071" i="106"/>
  <c r="B5339" i="106"/>
  <c r="D5339" i="106"/>
  <c r="E18" i="5"/>
  <c r="B5518" i="106"/>
  <c r="D5518" i="106"/>
  <c r="F18" i="5"/>
  <c r="B5562" i="106"/>
  <c r="D5562" i="106"/>
  <c r="G18" i="5"/>
  <c r="B5730" i="106"/>
  <c r="D5730" i="106"/>
  <c r="H18" i="5"/>
  <c r="B5878" i="106"/>
  <c r="D5878" i="106"/>
  <c r="I18" i="5"/>
  <c r="B5923" i="106"/>
  <c r="D5923" i="106"/>
  <c r="J18" i="5"/>
  <c r="B6306" i="106"/>
  <c r="D6306" i="106"/>
  <c r="K18" i="5"/>
  <c r="B5992" i="106"/>
  <c r="D5992" i="106"/>
  <c r="B5087" i="106"/>
  <c r="D5087" i="106"/>
  <c r="F63" i="5"/>
  <c r="B5579" i="106"/>
  <c r="D5579" i="106"/>
  <c r="B5090" i="106"/>
  <c r="D5090" i="106"/>
  <c r="B5342" i="106"/>
  <c r="D5342" i="106"/>
  <c r="E67" i="5"/>
  <c r="B5521" i="106"/>
  <c r="D5521" i="106"/>
  <c r="B5582" i="106"/>
  <c r="D5582" i="106"/>
  <c r="G67" i="5"/>
  <c r="B5733" i="106"/>
  <c r="D5733" i="106"/>
  <c r="H67" i="5"/>
  <c r="B5881" i="106"/>
  <c r="D5881" i="106"/>
  <c r="I67" i="5"/>
  <c r="B5926" i="106"/>
  <c r="D5926" i="106"/>
  <c r="J67" i="5"/>
  <c r="B6318" i="106"/>
  <c r="D6318" i="106"/>
  <c r="K67" i="5"/>
  <c r="B5995" i="106"/>
  <c r="D5995" i="106"/>
  <c r="B5102" i="106"/>
  <c r="D5102" i="106"/>
  <c r="D82" i="5"/>
  <c r="B5348" i="106"/>
  <c r="D5348" i="106"/>
  <c r="B5112" i="106"/>
  <c r="D5112" i="106"/>
  <c r="B5120" i="106"/>
  <c r="D5120" i="106"/>
  <c r="B5355" i="106"/>
  <c r="D5355" i="106"/>
  <c r="E108" i="5"/>
  <c r="B5526" i="106"/>
  <c r="D5526" i="106"/>
  <c r="B5587" i="106"/>
  <c r="D5587" i="106"/>
  <c r="G108" i="5"/>
  <c r="B5737" i="106"/>
  <c r="D5737" i="106"/>
  <c r="H108" i="5"/>
  <c r="B5886" i="106"/>
  <c r="D5886" i="106"/>
  <c r="I108" i="5"/>
  <c r="B5930" i="106"/>
  <c r="D5930" i="106"/>
  <c r="J108" i="5"/>
  <c r="B6351" i="106"/>
  <c r="D6351" i="106"/>
  <c r="K108" i="5"/>
  <c r="B5999" i="106"/>
  <c r="D5999" i="106"/>
  <c r="C114" i="5"/>
  <c r="B5125" i="106"/>
  <c r="D5125" i="106"/>
  <c r="D114" i="5"/>
  <c r="B5360" i="106"/>
  <c r="D5360" i="106"/>
  <c r="F114" i="5"/>
  <c r="B5592" i="106"/>
  <c r="D5592" i="106"/>
  <c r="G114" i="5"/>
  <c r="B5741" i="106"/>
  <c r="D5741" i="106"/>
  <c r="B5132" i="106"/>
  <c r="D5132" i="106"/>
  <c r="D122" i="5"/>
  <c r="B5367" i="106"/>
  <c r="D5367" i="106"/>
  <c r="E122" i="5"/>
  <c r="B5534" i="106"/>
  <c r="D5534" i="106"/>
  <c r="F122" i="5"/>
  <c r="B5599" i="106"/>
  <c r="D5599" i="106"/>
  <c r="F132" i="5"/>
  <c r="B5614" i="106"/>
  <c r="D5614" i="106"/>
  <c r="G122" i="5"/>
  <c r="B5748" i="106"/>
  <c r="D5748" i="106"/>
  <c r="H122" i="5"/>
  <c r="B5893" i="106"/>
  <c r="D5893" i="106"/>
  <c r="J122" i="5"/>
  <c r="B6357" i="106"/>
  <c r="D6357" i="106"/>
  <c r="K122" i="5"/>
  <c r="B6006" i="106"/>
  <c r="D6006" i="106"/>
  <c r="C132" i="5"/>
  <c r="B5147" i="106"/>
  <c r="D5147" i="106"/>
  <c r="D132" i="5"/>
  <c r="B5369" i="106"/>
  <c r="D5369" i="106"/>
  <c r="B5161" i="106"/>
  <c r="D5161" i="106"/>
  <c r="D141" i="5"/>
  <c r="B5383" i="106"/>
  <c r="D5383" i="106"/>
  <c r="G141" i="5"/>
  <c r="G145" i="5"/>
  <c r="B5756" i="106"/>
  <c r="D5756" i="106"/>
  <c r="G155" i="5"/>
  <c r="B4357" i="106"/>
  <c r="D4357" i="106"/>
  <c r="C145" i="5"/>
  <c r="B5165" i="106"/>
  <c r="D5165" i="106"/>
  <c r="C155" i="5"/>
  <c r="B5178" i="106"/>
  <c r="D5178" i="106"/>
  <c r="D155" i="5"/>
  <c r="B5394" i="106"/>
  <c r="D5394" i="106"/>
  <c r="E169" i="5"/>
  <c r="H169" i="5"/>
  <c r="B5899" i="106"/>
  <c r="D5899" i="106"/>
  <c r="I169" i="5"/>
  <c r="B4363" i="106"/>
  <c r="D4363" i="106"/>
  <c r="J169" i="5"/>
  <c r="B6396" i="106"/>
  <c r="D6396" i="106"/>
  <c r="K169" i="5"/>
  <c r="B5000" i="106"/>
  <c r="D5000" i="106"/>
  <c r="C175" i="5"/>
  <c r="B5225" i="106"/>
  <c r="D5225" i="106"/>
  <c r="D175" i="5"/>
  <c r="B5423" i="106"/>
  <c r="D5423" i="106"/>
  <c r="E175" i="5"/>
  <c r="B4372" i="106"/>
  <c r="D4372" i="106"/>
  <c r="F175" i="5"/>
  <c r="B5655" i="106"/>
  <c r="D5655" i="106"/>
  <c r="G175" i="5"/>
  <c r="B5780" i="106"/>
  <c r="D5780" i="106"/>
  <c r="H175" i="5"/>
  <c r="I175" i="5"/>
  <c r="B4373" i="106"/>
  <c r="D4373" i="106"/>
  <c r="J175" i="5"/>
  <c r="B6400" i="106"/>
  <c r="D6400" i="106"/>
  <c r="K175" i="5"/>
  <c r="B4951" i="106"/>
  <c r="D4951" i="106"/>
  <c r="C181" i="5"/>
  <c r="B5232" i="106"/>
  <c r="D5232" i="106"/>
  <c r="D181" i="5"/>
  <c r="B5425" i="106"/>
  <c r="D5425" i="106"/>
  <c r="F181" i="5"/>
  <c r="B5658" i="106"/>
  <c r="D5658" i="106"/>
  <c r="G181" i="5"/>
  <c r="B5784" i="106"/>
  <c r="D5784" i="106"/>
  <c r="H181" i="5"/>
  <c r="B5908" i="106"/>
  <c r="D5908" i="106"/>
  <c r="K181" i="5"/>
  <c r="B6016" i="106"/>
  <c r="D6016" i="106"/>
  <c r="D188" i="5"/>
  <c r="F188" i="5"/>
  <c r="G188" i="5"/>
  <c r="G198" i="5"/>
  <c r="B6409" i="106"/>
  <c r="D6409" i="106"/>
  <c r="B5260" i="106"/>
  <c r="D5260" i="106"/>
  <c r="D204" i="5"/>
  <c r="B5444" i="106"/>
  <c r="D5444" i="106"/>
  <c r="F204" i="5"/>
  <c r="B5677" i="106"/>
  <c r="D5677" i="106"/>
  <c r="G204" i="5"/>
  <c r="B5803" i="106"/>
  <c r="D5803" i="106"/>
  <c r="D209" i="5"/>
  <c r="B4412" i="106"/>
  <c r="D4412" i="106"/>
  <c r="F209" i="5"/>
  <c r="B4413" i="106"/>
  <c r="D4413" i="106"/>
  <c r="G209" i="5"/>
  <c r="B4414" i="106"/>
  <c r="D4414" i="106"/>
  <c r="D217" i="5"/>
  <c r="B5470" i="106"/>
  <c r="D5470" i="106"/>
  <c r="F217" i="5"/>
  <c r="B5703" i="106"/>
  <c r="D5703" i="106"/>
  <c r="G217" i="5"/>
  <c r="B5829" i="106"/>
  <c r="D5829" i="106"/>
  <c r="D221" i="5"/>
  <c r="B5488" i="106"/>
  <c r="D5488" i="106"/>
  <c r="G221" i="5"/>
  <c r="B5847" i="106"/>
  <c r="D5847" i="106"/>
  <c r="G252" i="5"/>
  <c r="B6837" i="106"/>
  <c r="D6837" i="106"/>
  <c r="B6833" i="106"/>
  <c r="D6833" i="106"/>
  <c r="D252" i="5"/>
  <c r="B6834" i="106"/>
  <c r="D6834" i="106"/>
  <c r="E252" i="5"/>
  <c r="F252" i="5"/>
  <c r="B6836" i="106"/>
  <c r="D6836" i="106"/>
  <c r="H252" i="5"/>
  <c r="H266" i="5"/>
  <c r="B4441" i="106"/>
  <c r="D4441" i="106"/>
  <c r="J252" i="5"/>
  <c r="J266" i="5"/>
  <c r="B7041" i="106"/>
  <c r="D7041" i="106"/>
  <c r="K252" i="5"/>
  <c r="K266" i="5"/>
  <c r="B4442" i="106"/>
  <c r="D4442" i="106"/>
  <c r="G14" i="4"/>
  <c r="B2609" i="106"/>
  <c r="D2609" i="106"/>
  <c r="D14" i="4"/>
  <c r="B2570" i="106"/>
  <c r="D2570" i="106"/>
  <c r="B2633" i="106"/>
  <c r="D2633" i="106"/>
  <c r="D7" i="118"/>
  <c r="D8" i="118"/>
  <c r="D9" i="118"/>
  <c r="H14" i="118"/>
  <c r="H19" i="118"/>
  <c r="H24" i="118"/>
  <c r="H28" i="118"/>
  <c r="H33" i="118"/>
  <c r="D22" i="37"/>
  <c r="D24" i="37"/>
  <c r="B4270" i="106"/>
  <c r="D4270" i="106"/>
  <c r="B5752" i="106"/>
  <c r="D5752" i="106"/>
  <c r="G35" i="108"/>
  <c r="F70" i="34"/>
  <c r="F52" i="34"/>
  <c r="B7831" i="106"/>
  <c r="D7831" i="106"/>
  <c r="G39" i="108"/>
  <c r="H76" i="4"/>
  <c r="B3298" i="106"/>
  <c r="D3298" i="106"/>
  <c r="L22" i="37"/>
  <c r="J129" i="29"/>
  <c r="B7038" i="106"/>
  <c r="D7038" i="106"/>
  <c r="F37" i="34"/>
  <c r="B7829" i="106"/>
  <c r="D7829" i="106"/>
  <c r="C129" i="29"/>
  <c r="B1124" i="106"/>
  <c r="D1124" i="106"/>
  <c r="E33" i="108"/>
  <c r="B1126" i="106"/>
  <c r="D1126" i="106"/>
  <c r="J22" i="37"/>
  <c r="L367" i="29"/>
  <c r="L342" i="29"/>
  <c r="F19" i="7"/>
  <c r="B1807" i="106"/>
  <c r="D1807" i="106"/>
  <c r="F46" i="34"/>
  <c r="F38" i="34"/>
  <c r="B7830" i="106"/>
  <c r="D7830" i="106"/>
  <c r="E38" i="108"/>
  <c r="E35" i="108"/>
  <c r="G29" i="108"/>
  <c r="F28" i="108"/>
  <c r="F27" i="108"/>
  <c r="E26" i="108"/>
  <c r="D54" i="36"/>
  <c r="H112" i="29"/>
  <c r="B7018" i="106"/>
  <c r="D7018" i="106"/>
  <c r="J77" i="4"/>
  <c r="B6262" i="106"/>
  <c r="D6262" i="106"/>
  <c r="B3647" i="106"/>
  <c r="D3647" i="106"/>
  <c r="K76" i="4"/>
  <c r="B3586" i="106"/>
  <c r="D3586" i="106"/>
  <c r="L13" i="11"/>
  <c r="B2060" i="106"/>
  <c r="D2060" i="106"/>
  <c r="G15" i="145"/>
  <c r="B2596" i="106"/>
  <c r="D2596" i="106"/>
  <c r="G210" i="29"/>
  <c r="L5" i="11"/>
  <c r="B2056" i="106"/>
  <c r="D2056" i="106"/>
  <c r="J352" i="29"/>
  <c r="J367" i="29"/>
  <c r="B7245" i="106"/>
  <c r="D7245" i="106"/>
  <c r="J41" i="3"/>
  <c r="D51" i="36"/>
  <c r="D6103" i="106"/>
  <c r="E29" i="108"/>
  <c r="B1308" i="106"/>
  <c r="D1308" i="106"/>
  <c r="E174" i="29"/>
  <c r="B1309" i="106"/>
  <c r="D1309" i="106"/>
  <c r="D17" i="7"/>
  <c r="B4104" i="106"/>
  <c r="D4104" i="106"/>
  <c r="D9" i="7"/>
  <c r="B1767" i="106"/>
  <c r="D1767" i="106"/>
  <c r="D11" i="37"/>
  <c r="H29" i="118"/>
  <c r="K28" i="118"/>
  <c r="O27" i="118"/>
  <c r="O29" i="118"/>
  <c r="N22" i="3"/>
  <c r="B283" i="106"/>
  <c r="D283" i="106"/>
  <c r="F14" i="4"/>
  <c r="B2597" i="106"/>
  <c r="D2597" i="106"/>
  <c r="B7727" i="106"/>
  <c r="D7727" i="106"/>
  <c r="F49" i="34"/>
  <c r="F44" i="34"/>
  <c r="G38" i="108"/>
  <c r="D37" i="108"/>
  <c r="E30" i="108"/>
  <c r="F37" i="108"/>
  <c r="E28" i="108"/>
  <c r="F26" i="108"/>
  <c r="D26" i="108"/>
  <c r="D31" i="36"/>
  <c r="B7235" i="106"/>
  <c r="D7235" i="106"/>
  <c r="B4087" i="106"/>
  <c r="D4087" i="106"/>
  <c r="K41" i="3"/>
  <c r="L15" i="11"/>
  <c r="B3459" i="106"/>
  <c r="D3459" i="106"/>
  <c r="B3254" i="106"/>
  <c r="D3254" i="106"/>
  <c r="I24" i="12"/>
  <c r="B3649" i="106"/>
  <c r="D3649" i="106"/>
  <c r="G367" i="29"/>
  <c r="D5" i="4"/>
  <c r="B3406" i="106"/>
  <c r="D3406" i="106"/>
  <c r="L312" i="29"/>
  <c r="I342" i="29"/>
  <c r="K350" i="29"/>
  <c r="F21" i="8"/>
  <c r="K24" i="12"/>
  <c r="B3621" i="106"/>
  <c r="D3621" i="106"/>
  <c r="C367" i="29"/>
  <c r="F41" i="34"/>
  <c r="F35" i="34"/>
  <c r="B7827" i="106"/>
  <c r="D7827" i="106"/>
  <c r="D3583" i="106"/>
  <c r="F66" i="34"/>
  <c r="F45" i="34"/>
  <c r="K285" i="29"/>
  <c r="B1410" i="106"/>
  <c r="D1410" i="106"/>
  <c r="B1329" i="106"/>
  <c r="D1329" i="106"/>
  <c r="F61" i="34"/>
  <c r="D12" i="7"/>
  <c r="B1769" i="106"/>
  <c r="D1769" i="106"/>
  <c r="B1746" i="106"/>
  <c r="D1746" i="106"/>
  <c r="F128" i="34"/>
  <c r="B7860" i="106"/>
  <c r="D7860" i="106"/>
  <c r="D13" i="7"/>
  <c r="B3726" i="106"/>
  <c r="D3726" i="106"/>
  <c r="I170" i="5"/>
  <c r="B4216" i="106"/>
  <c r="D4216" i="106"/>
  <c r="B5096" i="106"/>
  <c r="D5096" i="106"/>
  <c r="D4" i="7"/>
  <c r="B1760" i="106"/>
  <c r="D1760" i="106"/>
  <c r="F107" i="34"/>
  <c r="B7843" i="106"/>
  <c r="D7843" i="106"/>
  <c r="G5" i="4"/>
  <c r="B3409" i="106"/>
  <c r="D3409" i="106"/>
  <c r="F125" i="34"/>
  <c r="B7857" i="106"/>
  <c r="D7857" i="106"/>
  <c r="B5121" i="106"/>
  <c r="D5121" i="106"/>
  <c r="G169" i="5"/>
  <c r="G170" i="5"/>
  <c r="B5778" i="106"/>
  <c r="D5778" i="106"/>
  <c r="B5770" i="106"/>
  <c r="D5770" i="106"/>
  <c r="I267" i="5"/>
  <c r="B4396" i="106"/>
  <c r="D4396" i="106"/>
  <c r="G109" i="5"/>
  <c r="B5066" i="106"/>
  <c r="D5066" i="106"/>
  <c r="F112" i="34"/>
  <c r="B7847" i="106"/>
  <c r="D7847" i="106"/>
  <c r="F124" i="34"/>
  <c r="B7856" i="106"/>
  <c r="D7856" i="106"/>
  <c r="D5" i="7"/>
  <c r="B1761" i="106"/>
  <c r="D1761" i="106"/>
  <c r="K170" i="5"/>
  <c r="K6" i="4"/>
  <c r="B3570" i="106"/>
  <c r="D3570" i="106"/>
  <c r="J267" i="5"/>
  <c r="B7054" i="106"/>
  <c r="D7054" i="106"/>
  <c r="D15" i="7"/>
  <c r="B1772" i="106"/>
  <c r="D1772" i="106"/>
  <c r="K267" i="5"/>
  <c r="B6022" i="106"/>
  <c r="D6022" i="106"/>
  <c r="F127" i="34"/>
  <c r="B7859" i="106"/>
  <c r="D7859" i="106"/>
  <c r="H170" i="5"/>
  <c r="D11" i="7"/>
  <c r="B1768" i="106"/>
  <c r="D1768" i="106"/>
  <c r="H109" i="5"/>
  <c r="E109" i="5"/>
  <c r="E4" i="4"/>
  <c r="B2630" i="106"/>
  <c r="D2630" i="106"/>
  <c r="D7" i="7"/>
  <c r="B1763" i="106"/>
  <c r="D1763" i="106"/>
  <c r="F133" i="34"/>
  <c r="B7865" i="106"/>
  <c r="D7865" i="106"/>
  <c r="B5644" i="106"/>
  <c r="D5644" i="106"/>
  <c r="C41" i="3"/>
  <c r="B93" i="106"/>
  <c r="D93" i="106"/>
  <c r="H295" i="29"/>
  <c r="B1454" i="106"/>
  <c r="D1454" i="106"/>
  <c r="B4156" i="106"/>
  <c r="D4156" i="106"/>
  <c r="H172" i="29"/>
  <c r="H174" i="29"/>
  <c r="B2823" i="106"/>
  <c r="D2823" i="106"/>
  <c r="H352" i="29"/>
  <c r="B3656" i="106"/>
  <c r="D3656" i="106"/>
  <c r="B3724" i="106"/>
  <c r="D3724" i="106"/>
  <c r="K168" i="29"/>
  <c r="K172" i="29"/>
  <c r="K174" i="29"/>
  <c r="F10" i="34"/>
  <c r="E102" i="29"/>
  <c r="B2790" i="106"/>
  <c r="D2790" i="106"/>
  <c r="J342" i="29"/>
  <c r="B7223" i="106"/>
  <c r="D7223" i="106"/>
  <c r="G342" i="29"/>
  <c r="K137" i="29"/>
  <c r="B2088" i="106"/>
  <c r="D2088" i="106"/>
  <c r="B79" i="36"/>
  <c r="B77" i="36"/>
  <c r="D18" i="7"/>
  <c r="B4105" i="106"/>
  <c r="D4105" i="106"/>
  <c r="F106" i="34"/>
  <c r="B7842" i="106"/>
  <c r="D7842" i="106"/>
  <c r="F108" i="34"/>
  <c r="B7844" i="106"/>
  <c r="D7844" i="106"/>
  <c r="J109" i="5"/>
  <c r="J170" i="5"/>
  <c r="F96" i="34"/>
  <c r="B7838" i="106"/>
  <c r="D7838" i="106"/>
  <c r="F126" i="34"/>
  <c r="B7858" i="106"/>
  <c r="D7858" i="106"/>
  <c r="D14" i="7"/>
  <c r="B1770" i="106"/>
  <c r="D1770" i="106"/>
  <c r="F5" i="4"/>
  <c r="B3408" i="106"/>
  <c r="D3408" i="106"/>
  <c r="C5" i="4"/>
  <c r="B3405" i="106"/>
  <c r="D3405" i="106"/>
  <c r="B6840" i="106"/>
  <c r="D6840" i="106"/>
  <c r="B6839" i="106"/>
  <c r="D6839" i="106"/>
  <c r="B6838" i="106"/>
  <c r="D6838" i="106"/>
  <c r="B5412" i="106"/>
  <c r="D5412" i="106"/>
  <c r="B5618" i="106"/>
  <c r="D5618" i="106"/>
  <c r="K109" i="5"/>
  <c r="F16" i="11"/>
  <c r="F48" i="34"/>
  <c r="F40" i="34"/>
  <c r="B7200" i="106"/>
  <c r="D7200" i="106"/>
  <c r="D342" i="29"/>
  <c r="B7217" i="106"/>
  <c r="D7217" i="106"/>
  <c r="B7144" i="106"/>
  <c r="D7144" i="106"/>
  <c r="K330" i="29"/>
  <c r="B6901" i="106"/>
  <c r="D6901" i="106"/>
  <c r="F51" i="34"/>
  <c r="B6885" i="106"/>
  <c r="D6885" i="106"/>
  <c r="F43" i="34"/>
  <c r="B7211" i="106"/>
  <c r="D7211" i="106"/>
  <c r="K340" i="29"/>
  <c r="K342" i="29"/>
  <c r="F13" i="34"/>
  <c r="B6893" i="106"/>
  <c r="D6893" i="106"/>
  <c r="F47" i="34"/>
  <c r="B6877" i="106"/>
  <c r="D6877" i="106"/>
  <c r="F39" i="34"/>
  <c r="B6216" i="106"/>
  <c r="D6216" i="106"/>
  <c r="B3703" i="106"/>
  <c r="D3703" i="106"/>
  <c r="K362" i="29"/>
  <c r="B3676" i="106"/>
  <c r="D3676" i="106"/>
  <c r="B3650" i="106"/>
  <c r="D3650" i="106"/>
  <c r="D352" i="29"/>
  <c r="D367" i="29"/>
  <c r="I76" i="4"/>
  <c r="L41" i="3"/>
  <c r="I41" i="3"/>
  <c r="K16" i="11"/>
  <c r="B2055" i="106"/>
  <c r="D2055" i="106"/>
  <c r="H312" i="29"/>
  <c r="B1554" i="106"/>
  <c r="D1554" i="106"/>
  <c r="E312" i="29"/>
  <c r="B1536" i="106"/>
  <c r="D1536" i="106"/>
  <c r="D312" i="29"/>
  <c r="B1530" i="106"/>
  <c r="D1530" i="106"/>
  <c r="B1512" i="106"/>
  <c r="D1512" i="106"/>
  <c r="K293" i="29"/>
  <c r="K229" i="29"/>
  <c r="B1352" i="106"/>
  <c r="D1352" i="106"/>
  <c r="E210" i="29"/>
  <c r="B1353" i="106"/>
  <c r="D1353" i="106"/>
  <c r="B1264" i="106"/>
  <c r="D1264" i="106"/>
  <c r="H129" i="29"/>
  <c r="B1239" i="106"/>
  <c r="D1239" i="106"/>
  <c r="E129" i="29"/>
  <c r="B1146" i="106"/>
  <c r="D1146" i="106"/>
  <c r="K110" i="29"/>
  <c r="B122" i="106"/>
  <c r="D122" i="106"/>
  <c r="D41" i="3"/>
  <c r="E17" i="145"/>
  <c r="G17" i="145"/>
  <c r="B1134" i="106"/>
  <c r="D1134" i="106"/>
  <c r="B7759" i="106"/>
  <c r="D7759" i="106"/>
  <c r="B1339" i="106"/>
  <c r="D1339" i="106"/>
  <c r="C210" i="29"/>
  <c r="B1340" i="106"/>
  <c r="D1340" i="106"/>
  <c r="B1225" i="106"/>
  <c r="D1225" i="106"/>
  <c r="C151" i="29"/>
  <c r="B1226" i="106"/>
  <c r="D1226" i="106"/>
  <c r="B169" i="106"/>
  <c r="D169" i="106"/>
  <c r="F41" i="3"/>
  <c r="E16" i="145"/>
  <c r="G16" i="145"/>
  <c r="B1131" i="106"/>
  <c r="D1131" i="106"/>
  <c r="L3" i="11"/>
  <c r="B7596" i="106"/>
  <c r="L9" i="11"/>
  <c r="B7614" i="106"/>
  <c r="L10" i="11"/>
  <c r="B2058" i="106"/>
  <c r="D2058" i="106"/>
  <c r="D10" i="7"/>
  <c r="B1765" i="106"/>
  <c r="D1765" i="106"/>
  <c r="D16" i="7"/>
  <c r="B19" i="7"/>
  <c r="B1759" i="106"/>
  <c r="D1759" i="106"/>
  <c r="D8" i="7"/>
  <c r="B1764" i="106"/>
  <c r="D1764" i="106"/>
  <c r="B4435" i="106"/>
  <c r="D4435" i="106"/>
  <c r="I7" i="4"/>
  <c r="B4444" i="106"/>
  <c r="D4444" i="106"/>
  <c r="F266" i="5"/>
  <c r="B5713" i="106"/>
  <c r="D5713" i="106"/>
  <c r="B4397" i="106"/>
  <c r="D4397" i="106"/>
  <c r="B4950" i="106"/>
  <c r="D4950" i="106"/>
  <c r="H267" i="5"/>
  <c r="H7" i="4"/>
  <c r="B2657" i="106"/>
  <c r="D2657" i="106"/>
  <c r="L210" i="29"/>
  <c r="L102" i="29"/>
  <c r="B1121" i="106"/>
  <c r="D1121" i="106"/>
  <c r="E12" i="145"/>
  <c r="B731" i="106"/>
  <c r="D731" i="106"/>
  <c r="C74" i="29"/>
  <c r="B755" i="106"/>
  <c r="D755" i="106"/>
  <c r="B1116" i="106"/>
  <c r="D1116" i="106"/>
  <c r="F158" i="34"/>
  <c r="B7866" i="106"/>
  <c r="D7866" i="106"/>
  <c r="F41" i="108"/>
  <c r="G43" i="108"/>
  <c r="B7600" i="106"/>
  <c r="L6" i="11"/>
  <c r="B7605" i="106"/>
  <c r="A7250" i="106"/>
  <c r="A7251" i="106"/>
  <c r="A7252" i="106"/>
  <c r="A7253" i="106"/>
  <c r="A7254" i="106"/>
  <c r="A7255" i="106"/>
  <c r="A7256" i="106"/>
  <c r="A7257" i="106"/>
  <c r="D7249" i="106"/>
  <c r="D44" i="36"/>
  <c r="E266" i="5"/>
  <c r="B6835" i="106"/>
  <c r="D6835" i="106"/>
  <c r="G266" i="5"/>
  <c r="B4398" i="106"/>
  <c r="D4398" i="106"/>
  <c r="B5537" i="106"/>
  <c r="D5537" i="106"/>
  <c r="E170" i="5"/>
  <c r="I109" i="5"/>
  <c r="B5527" i="106"/>
  <c r="D5527" i="106"/>
  <c r="L279" i="29"/>
  <c r="L295" i="29"/>
  <c r="L74" i="29"/>
  <c r="L114" i="29"/>
  <c r="B720" i="106"/>
  <c r="D720" i="106"/>
  <c r="B2031" i="106"/>
  <c r="D2031" i="106"/>
  <c r="L16" i="11"/>
  <c r="B2061" i="106"/>
  <c r="D2061" i="106"/>
  <c r="B7618" i="106"/>
  <c r="L14" i="11"/>
  <c r="B7623" i="106"/>
  <c r="B7230" i="106"/>
  <c r="D7230" i="106"/>
  <c r="I352" i="29"/>
  <c r="I367" i="29"/>
  <c r="B7215" i="106"/>
  <c r="D7215" i="106"/>
  <c r="J16" i="4"/>
  <c r="B6226" i="106"/>
  <c r="D6226" i="106"/>
  <c r="B7202" i="106"/>
  <c r="D7202" i="106"/>
  <c r="F342" i="29"/>
  <c r="B7219" i="106"/>
  <c r="D7219" i="106"/>
  <c r="B7214" i="106"/>
  <c r="D7214" i="106"/>
  <c r="B7221" i="106"/>
  <c r="D7221" i="106"/>
  <c r="B7201" i="106"/>
  <c r="D7201" i="106"/>
  <c r="E342" i="29"/>
  <c r="B7218" i="106"/>
  <c r="D7218" i="106"/>
  <c r="B6917" i="106"/>
  <c r="D6917" i="106"/>
  <c r="J74" i="29"/>
  <c r="D266" i="5"/>
  <c r="B5501" i="106"/>
  <c r="D5501" i="106"/>
  <c r="D7248" i="106"/>
  <c r="D7247" i="106"/>
  <c r="D7246" i="106"/>
  <c r="J312" i="29"/>
  <c r="B7117" i="106"/>
  <c r="D7117" i="106"/>
  <c r="I312" i="29"/>
  <c r="B7116" i="106"/>
  <c r="D7116" i="106"/>
  <c r="J151" i="29"/>
  <c r="B7052" i="106"/>
  <c r="D7052" i="106"/>
  <c r="I151" i="29"/>
  <c r="F59" i="34"/>
  <c r="B6916" i="106"/>
  <c r="D6916" i="106"/>
  <c r="I74" i="29"/>
  <c r="I49" i="8"/>
  <c r="B3633" i="106"/>
  <c r="D3633" i="106"/>
  <c r="E352" i="29"/>
  <c r="B3629" i="106"/>
  <c r="D3629" i="106"/>
  <c r="E44" i="4"/>
  <c r="B3235" i="106"/>
  <c r="D3235" i="106"/>
  <c r="D77" i="4"/>
  <c r="B3238" i="106"/>
  <c r="D3238" i="106"/>
  <c r="B3229" i="106"/>
  <c r="D3229" i="106"/>
  <c r="C77" i="4"/>
  <c r="B3232" i="106"/>
  <c r="D3232" i="106"/>
  <c r="B1977" i="106"/>
  <c r="D1977" i="106"/>
  <c r="H24" i="12"/>
  <c r="B1867" i="106"/>
  <c r="D1867" i="106"/>
  <c r="F15" i="8"/>
  <c r="K310" i="29"/>
  <c r="B4099" i="106"/>
  <c r="D4099" i="106"/>
  <c r="B1555" i="106"/>
  <c r="D1555" i="106"/>
  <c r="K303" i="29"/>
  <c r="G312" i="29"/>
  <c r="B1548" i="106"/>
  <c r="D1548" i="106"/>
  <c r="F312" i="29"/>
  <c r="B1542" i="106"/>
  <c r="D1542" i="106"/>
  <c r="B1523" i="106"/>
  <c r="D1523" i="106"/>
  <c r="C312" i="29"/>
  <c r="B1524" i="106"/>
  <c r="D1524" i="106"/>
  <c r="K277" i="29"/>
  <c r="B1508" i="106"/>
  <c r="D1508" i="106"/>
  <c r="K261" i="29"/>
  <c r="B1491" i="106"/>
  <c r="D1491" i="106"/>
  <c r="K243" i="29"/>
  <c r="B1485" i="106"/>
  <c r="D1485" i="106"/>
  <c r="B1475" i="106"/>
  <c r="D1475" i="106"/>
  <c r="K238" i="29"/>
  <c r="K204" i="29"/>
  <c r="B2842" i="106"/>
  <c r="D2842" i="106"/>
  <c r="B1381" i="106"/>
  <c r="D1381" i="106"/>
  <c r="B1318" i="106"/>
  <c r="D1318" i="106"/>
  <c r="B1127" i="106"/>
  <c r="D1127" i="106"/>
  <c r="B1133" i="106"/>
  <c r="D1133" i="106"/>
  <c r="B1123" i="106"/>
  <c r="D1123" i="106"/>
  <c r="K365" i="29"/>
  <c r="B3640" i="106"/>
  <c r="D3640" i="106"/>
  <c r="F352" i="29"/>
  <c r="F367" i="29"/>
  <c r="B3622" i="106"/>
  <c r="D3622" i="106"/>
  <c r="K77" i="4"/>
  <c r="B3587" i="106"/>
  <c r="D3587" i="106"/>
  <c r="B3296" i="106"/>
  <c r="D3296" i="106"/>
  <c r="H77" i="4"/>
  <c r="B3299" i="106"/>
  <c r="D3299" i="106"/>
  <c r="G77" i="4"/>
  <c r="B3261" i="106"/>
  <c r="D3261" i="106"/>
  <c r="L12" i="11"/>
  <c r="B2059" i="106"/>
  <c r="D2059" i="106"/>
  <c r="L8" i="11"/>
  <c r="B2057" i="106"/>
  <c r="D2057" i="106"/>
  <c r="G24" i="12"/>
  <c r="B1492" i="106"/>
  <c r="D1492" i="106"/>
  <c r="K270" i="29"/>
  <c r="B1500" i="106"/>
  <c r="D1500" i="106"/>
  <c r="K257" i="29"/>
  <c r="B1488" i="106"/>
  <c r="D1488" i="106"/>
  <c r="B1417" i="106"/>
  <c r="D1417" i="106"/>
  <c r="D279" i="29"/>
  <c r="D295" i="29"/>
  <c r="H196" i="29"/>
  <c r="B2828" i="106"/>
  <c r="D2828" i="106"/>
  <c r="B1328" i="106"/>
  <c r="D1328" i="106"/>
  <c r="B2986" i="106"/>
  <c r="D2986" i="106"/>
  <c r="B1256" i="106"/>
  <c r="D1256" i="106"/>
  <c r="G129" i="29"/>
  <c r="K100" i="29"/>
  <c r="B7013" i="106"/>
  <c r="D7013" i="106"/>
  <c r="B1135" i="106"/>
  <c r="D1135" i="106"/>
  <c r="K72" i="29"/>
  <c r="B1141" i="106"/>
  <c r="D1141" i="106"/>
  <c r="B1021" i="106"/>
  <c r="D1021" i="106"/>
  <c r="H74" i="29"/>
  <c r="B847" i="106"/>
  <c r="D847" i="106"/>
  <c r="E74" i="29"/>
  <c r="E39" i="108"/>
  <c r="B1144" i="106"/>
  <c r="D1144" i="106"/>
  <c r="K194" i="29"/>
  <c r="B1358" i="106"/>
  <c r="D1358" i="106"/>
  <c r="F210" i="29"/>
  <c r="B1359" i="106"/>
  <c r="D1359" i="106"/>
  <c r="B1345" i="106"/>
  <c r="D1345" i="106"/>
  <c r="D210" i="29"/>
  <c r="B1346" i="106"/>
  <c r="D1346" i="106"/>
  <c r="B1283" i="106"/>
  <c r="D1283" i="106"/>
  <c r="K147" i="29"/>
  <c r="B1275" i="106"/>
  <c r="D1275" i="106"/>
  <c r="B1279" i="106"/>
  <c r="D1279" i="106"/>
  <c r="B1266" i="106"/>
  <c r="D1266" i="106"/>
  <c r="H151" i="29"/>
  <c r="B1273" i="106"/>
  <c r="D1273" i="106"/>
  <c r="B1247" i="106"/>
  <c r="D1247" i="106"/>
  <c r="F129" i="29"/>
  <c r="B1231" i="106"/>
  <c r="D1231" i="106"/>
  <c r="D129" i="29"/>
  <c r="B1109" i="106"/>
  <c r="D1109" i="106"/>
  <c r="H102" i="29"/>
  <c r="B1047" i="106"/>
  <c r="D1047" i="106"/>
  <c r="G74" i="29"/>
  <c r="B905" i="106"/>
  <c r="D905" i="106"/>
  <c r="F74" i="29"/>
  <c r="D74" i="29"/>
  <c r="B211" i="106"/>
  <c r="D211" i="106"/>
  <c r="H41" i="3"/>
  <c r="B188" i="106"/>
  <c r="D188" i="106"/>
  <c r="G41" i="3"/>
  <c r="B139" i="106"/>
  <c r="D139" i="106"/>
  <c r="E41" i="3"/>
  <c r="L151" i="29"/>
  <c r="J24" i="12"/>
  <c r="B7730" i="106"/>
  <c r="D7730" i="106"/>
  <c r="B3447" i="106"/>
  <c r="D3447" i="106"/>
  <c r="E367" i="29"/>
  <c r="B3635" i="106"/>
  <c r="N23" i="3"/>
  <c r="B284" i="106"/>
  <c r="D284" i="106"/>
  <c r="B7220" i="106"/>
  <c r="D7220" i="106"/>
  <c r="F75" i="34"/>
  <c r="B7886" i="106"/>
  <c r="D7886" i="106"/>
  <c r="B7222" i="106"/>
  <c r="D7222" i="106"/>
  <c r="F76" i="34"/>
  <c r="B7887" i="106"/>
  <c r="D7887" i="106"/>
  <c r="D7256" i="106"/>
  <c r="D7251" i="106"/>
  <c r="D7254" i="106"/>
  <c r="D7250" i="106"/>
  <c r="G6" i="4"/>
  <c r="B2604" i="106"/>
  <c r="D2604" i="106"/>
  <c r="C114" i="29"/>
  <c r="B757" i="106"/>
  <c r="D757" i="106"/>
  <c r="D41" i="108"/>
  <c r="E43" i="108"/>
  <c r="B1365" i="106"/>
  <c r="D1365" i="106"/>
  <c r="F65" i="34"/>
  <c r="I26" i="12"/>
  <c r="B7741" i="106"/>
  <c r="D7741" i="106"/>
  <c r="B1996" i="106"/>
  <c r="D1996" i="106"/>
  <c r="B1317" i="106"/>
  <c r="D1317" i="106"/>
  <c r="D7255" i="106"/>
  <c r="D7253" i="106"/>
  <c r="D7252" i="106"/>
  <c r="F175" i="34"/>
  <c r="B7877" i="106"/>
  <c r="D7877" i="106"/>
  <c r="B3568" i="106"/>
  <c r="D3568" i="106"/>
  <c r="D52" i="36"/>
  <c r="B7733" i="106"/>
  <c r="D7733" i="106"/>
  <c r="K26" i="12"/>
  <c r="B7743" i="106"/>
  <c r="D7743" i="106"/>
  <c r="B1879" i="106"/>
  <c r="D1879" i="106"/>
  <c r="H22" i="37"/>
  <c r="B3628" i="106"/>
  <c r="D3628" i="106"/>
  <c r="F73" i="34"/>
  <c r="G15" i="4"/>
  <c r="B6032" i="106"/>
  <c r="D6032" i="106"/>
  <c r="B3670" i="106"/>
  <c r="D3670" i="106"/>
  <c r="K352" i="29"/>
  <c r="K367" i="29"/>
  <c r="H367" i="29"/>
  <c r="B3660" i="106"/>
  <c r="D3660" i="106"/>
  <c r="B5914" i="106"/>
  <c r="D5914" i="106"/>
  <c r="I6" i="4"/>
  <c r="B5011" i="106"/>
  <c r="D5011" i="106"/>
  <c r="K7" i="4"/>
  <c r="B3718" i="106"/>
  <c r="D3718" i="106"/>
  <c r="B2551" i="106"/>
  <c r="D2551" i="106"/>
  <c r="F267" i="5"/>
  <c r="F7" i="4"/>
  <c r="B2594" i="106"/>
  <c r="D2594" i="106"/>
  <c r="D267" i="5"/>
  <c r="D7" i="4"/>
  <c r="D19" i="7"/>
  <c r="B1775" i="106"/>
  <c r="D1775" i="106"/>
  <c r="H268" i="5"/>
  <c r="B6024" i="106"/>
  <c r="D6024" i="106"/>
  <c r="G4" i="4"/>
  <c r="B2603" i="106"/>
  <c r="D2603" i="106"/>
  <c r="J7" i="4"/>
  <c r="B6222" i="106"/>
  <c r="D6222" i="106"/>
  <c r="B6014" i="106"/>
  <c r="D6014" i="106"/>
  <c r="B6025" i="106"/>
  <c r="D6025" i="106"/>
  <c r="H4" i="4"/>
  <c r="B5356" i="106"/>
  <c r="D5356" i="106"/>
  <c r="B2564" i="106"/>
  <c r="D2564" i="106"/>
  <c r="B5906" i="106"/>
  <c r="D5906" i="106"/>
  <c r="H6" i="4"/>
  <c r="B2656" i="106"/>
  <c r="D2656" i="106"/>
  <c r="B5214" i="106"/>
  <c r="D5214" i="106"/>
  <c r="B7760" i="106"/>
  <c r="D7760" i="106"/>
  <c r="D24" i="36"/>
  <c r="F53" i="34"/>
  <c r="B171" i="106"/>
  <c r="D171" i="106"/>
  <c r="D47" i="36"/>
  <c r="B1515" i="106"/>
  <c r="D1515" i="106"/>
  <c r="G16" i="4"/>
  <c r="B2611" i="106"/>
  <c r="D2611" i="106"/>
  <c r="B2913" i="106"/>
  <c r="D2913" i="106"/>
  <c r="D50" i="36"/>
  <c r="B3318" i="106"/>
  <c r="D3318" i="106"/>
  <c r="I77" i="4"/>
  <c r="B3319" i="106"/>
  <c r="D3319" i="106"/>
  <c r="D3674" i="106"/>
  <c r="B3573" i="106"/>
  <c r="D3573" i="106"/>
  <c r="K4" i="4"/>
  <c r="B6028" i="106"/>
  <c r="D6028" i="106"/>
  <c r="B2591" i="106"/>
  <c r="D2591" i="106"/>
  <c r="B5588" i="106"/>
  <c r="D5588" i="106"/>
  <c r="B124" i="106"/>
  <c r="D124" i="106"/>
  <c r="D45" i="36"/>
  <c r="B1151" i="106"/>
  <c r="D1151" i="106"/>
  <c r="K112" i="29"/>
  <c r="B1241" i="106"/>
  <c r="D1241" i="106"/>
  <c r="E151" i="29"/>
  <c r="B1242" i="106"/>
  <c r="D1242" i="106"/>
  <c r="B1474" i="106"/>
  <c r="D1474" i="106"/>
  <c r="G12" i="4"/>
  <c r="B2607" i="106"/>
  <c r="D2607" i="106"/>
  <c r="B2917" i="106"/>
  <c r="D2917" i="106"/>
  <c r="D53" i="36"/>
  <c r="B7207" i="106"/>
  <c r="D7207" i="106"/>
  <c r="J13" i="4"/>
  <c r="B7042" i="106"/>
  <c r="D7042" i="106"/>
  <c r="B6397" i="106"/>
  <c r="D6397" i="106"/>
  <c r="J6" i="4"/>
  <c r="B6221" i="106"/>
  <c r="D6221" i="106"/>
  <c r="J4" i="4"/>
  <c r="B6220" i="106"/>
  <c r="D6220" i="106"/>
  <c r="B6352" i="106"/>
  <c r="D6352" i="106"/>
  <c r="J268" i="5"/>
  <c r="K268" i="5"/>
  <c r="B6023" i="106"/>
  <c r="D6023" i="106"/>
  <c r="B5320" i="106"/>
  <c r="D5320" i="106"/>
  <c r="B929" i="106"/>
  <c r="D929" i="106"/>
  <c r="F114" i="29"/>
  <c r="B931" i="106"/>
  <c r="D931" i="106"/>
  <c r="B987" i="106"/>
  <c r="D987" i="106"/>
  <c r="G114" i="29"/>
  <c r="B1115" i="106"/>
  <c r="D1115" i="106"/>
  <c r="G21" i="108"/>
  <c r="E21" i="108"/>
  <c r="D151" i="29"/>
  <c r="B1234" i="106"/>
  <c r="D1234" i="106"/>
  <c r="B1233" i="106"/>
  <c r="D1233" i="106"/>
  <c r="F151" i="29"/>
  <c r="B1250" i="106"/>
  <c r="D1250" i="106"/>
  <c r="B1249" i="106"/>
  <c r="D1249" i="106"/>
  <c r="K149" i="29"/>
  <c r="B7048" i="106"/>
  <c r="D7048" i="106"/>
  <c r="K196" i="29"/>
  <c r="B2837" i="106"/>
  <c r="D2837" i="106"/>
  <c r="B1145" i="106"/>
  <c r="D1145" i="106"/>
  <c r="G151" i="29"/>
  <c r="F58" i="34"/>
  <c r="B1258" i="106"/>
  <c r="D1258" i="106"/>
  <c r="B1331" i="106"/>
  <c r="D1331" i="106"/>
  <c r="E16" i="4"/>
  <c r="B1446" i="106"/>
  <c r="D1446" i="106"/>
  <c r="B1448" i="106"/>
  <c r="D1448" i="106"/>
  <c r="B1125" i="106"/>
  <c r="D1125" i="106"/>
  <c r="G24" i="108"/>
  <c r="E24" i="108"/>
  <c r="K208" i="29"/>
  <c r="B4157" i="106"/>
  <c r="D4157" i="106"/>
  <c r="K312" i="29"/>
  <c r="B1560" i="106"/>
  <c r="D1560" i="106"/>
  <c r="B1559" i="106"/>
  <c r="D1559" i="106"/>
  <c r="H13" i="4"/>
  <c r="B1875" i="106"/>
  <c r="D1875" i="106"/>
  <c r="F22" i="37"/>
  <c r="B1983" i="106"/>
  <c r="D1983" i="106"/>
  <c r="H26" i="12"/>
  <c r="B7740" i="106"/>
  <c r="D7740" i="106"/>
  <c r="B3274" i="106"/>
  <c r="D3274" i="106"/>
  <c r="E77" i="4"/>
  <c r="B3277" i="106"/>
  <c r="D3277" i="106"/>
  <c r="B6977" i="106"/>
  <c r="D6977" i="106"/>
  <c r="I114" i="29"/>
  <c r="B7051" i="106"/>
  <c r="D7051" i="106"/>
  <c r="B6026" i="106"/>
  <c r="D6026" i="106"/>
  <c r="I4" i="4"/>
  <c r="I268" i="5"/>
  <c r="B5946" i="106"/>
  <c r="D5946" i="106"/>
  <c r="G267" i="5"/>
  <c r="B5863" i="106"/>
  <c r="D5863" i="106"/>
  <c r="B7747" i="106"/>
  <c r="D7747" i="106"/>
  <c r="E267" i="5"/>
  <c r="A7258" i="106"/>
  <c r="D7257" i="106"/>
  <c r="E23" i="108"/>
  <c r="B1122" i="106"/>
  <c r="D1122" i="106"/>
  <c r="G23" i="108"/>
  <c r="B7732" i="106"/>
  <c r="D7732" i="106"/>
  <c r="J26" i="12"/>
  <c r="B7742" i="106"/>
  <c r="D7742" i="106"/>
  <c r="B141" i="106"/>
  <c r="D141" i="106"/>
  <c r="D46" i="36"/>
  <c r="B190" i="106"/>
  <c r="D190" i="106"/>
  <c r="D48" i="36"/>
  <c r="B213" i="106"/>
  <c r="D213" i="106"/>
  <c r="D49" i="36"/>
  <c r="B813" i="106"/>
  <c r="D813" i="106"/>
  <c r="D114" i="29"/>
  <c r="B815" i="106"/>
  <c r="D815" i="106"/>
  <c r="E114" i="29"/>
  <c r="B873" i="106"/>
  <c r="D873" i="106"/>
  <c r="B871" i="106"/>
  <c r="D871" i="106"/>
  <c r="B1045" i="106"/>
  <c r="D1045" i="106"/>
  <c r="H114" i="29"/>
  <c r="B1054" i="106"/>
  <c r="D1054" i="106"/>
  <c r="K139" i="29"/>
  <c r="F57" i="34"/>
  <c r="B2093" i="106"/>
  <c r="D2093" i="106"/>
  <c r="H210" i="29"/>
  <c r="B1376" i="106"/>
  <c r="D1376" i="106"/>
  <c r="B2830" i="106"/>
  <c r="D2830" i="106"/>
  <c r="B1958" i="106"/>
  <c r="D1958" i="106"/>
  <c r="G26" i="12"/>
  <c r="B7739" i="106"/>
  <c r="D7739" i="106"/>
  <c r="B3642" i="106"/>
  <c r="D3642" i="106"/>
  <c r="B3643" i="106"/>
  <c r="D3643" i="106"/>
  <c r="K16" i="4"/>
  <c r="B7243" i="106"/>
  <c r="D7243" i="106"/>
  <c r="K279" i="29"/>
  <c r="B1481" i="106"/>
  <c r="D1481" i="106"/>
  <c r="B2102" i="106"/>
  <c r="D2102" i="106"/>
  <c r="H15" i="4"/>
  <c r="B2660" i="106"/>
  <c r="D2660" i="106"/>
  <c r="B3636" i="106"/>
  <c r="D3636" i="106"/>
  <c r="D3635" i="106"/>
  <c r="B4171" i="106"/>
  <c r="D4171" i="106"/>
  <c r="N36" i="3"/>
  <c r="J114" i="29"/>
  <c r="B7021" i="106"/>
  <c r="D7021" i="106"/>
  <c r="B6978" i="106"/>
  <c r="D6978" i="106"/>
  <c r="B7224" i="106"/>
  <c r="D7224" i="106"/>
  <c r="B7244" i="106"/>
  <c r="D7244" i="106"/>
  <c r="B7234" i="106"/>
  <c r="D7234" i="106"/>
  <c r="B1108" i="106"/>
  <c r="D1108" i="106"/>
  <c r="E19" i="108"/>
  <c r="G19" i="108"/>
  <c r="B5544" i="106"/>
  <c r="D5544" i="106"/>
  <c r="E6" i="4"/>
  <c r="G22" i="108"/>
  <c r="B1119" i="106"/>
  <c r="D1119" i="106"/>
  <c r="E22" i="108"/>
  <c r="G12" i="145"/>
  <c r="G19" i="145"/>
  <c r="K20" i="145"/>
  <c r="E19" i="145"/>
  <c r="B5915" i="106"/>
  <c r="D5915" i="106"/>
  <c r="F24" i="37"/>
  <c r="D268" i="5"/>
  <c r="E41" i="108"/>
  <c r="E44" i="108"/>
  <c r="E45" i="108"/>
  <c r="J17" i="4"/>
  <c r="G41" i="108"/>
  <c r="G44" i="108"/>
  <c r="G45" i="108"/>
  <c r="K13" i="4"/>
  <c r="B3572" i="106"/>
  <c r="D3572" i="106"/>
  <c r="B3672" i="106"/>
  <c r="D3672" i="106"/>
  <c r="F268" i="5"/>
  <c r="B5720" i="106"/>
  <c r="D5720" i="106"/>
  <c r="B5507" i="106"/>
  <c r="D5507" i="106"/>
  <c r="B5719" i="106"/>
  <c r="D5719" i="106"/>
  <c r="B2593" i="106"/>
  <c r="D2593" i="106"/>
  <c r="B5653" i="106"/>
  <c r="D5653" i="106"/>
  <c r="B2655" i="106"/>
  <c r="D2655" i="106"/>
  <c r="H8" i="4"/>
  <c r="B5223" i="106"/>
  <c r="D5223" i="106"/>
  <c r="B2553" i="106"/>
  <c r="D2553" i="106"/>
  <c r="J8" i="4"/>
  <c r="B6223" i="106"/>
  <c r="D6223" i="106"/>
  <c r="K313" i="29"/>
  <c r="B1561" i="106"/>
  <c r="D1561" i="106"/>
  <c r="K114" i="29"/>
  <c r="B1152" i="106"/>
  <c r="D1152" i="106"/>
  <c r="B2559" i="106"/>
  <c r="D2559" i="106"/>
  <c r="B7055" i="106"/>
  <c r="D7055" i="106"/>
  <c r="K343" i="29"/>
  <c r="B7225" i="106"/>
  <c r="D7225" i="106"/>
  <c r="B7019" i="106"/>
  <c r="D7019" i="106"/>
  <c r="C16" i="4"/>
  <c r="B2560" i="106"/>
  <c r="D2560" i="106"/>
  <c r="B5421" i="106"/>
  <c r="D5421" i="106"/>
  <c r="B2566" i="106"/>
  <c r="D2566" i="106"/>
  <c r="B3569" i="106"/>
  <c r="D3569" i="106"/>
  <c r="K8" i="4"/>
  <c r="B2631" i="106"/>
  <c r="D2631" i="106"/>
  <c r="B2556" i="106"/>
  <c r="D2556" i="106"/>
  <c r="A7259" i="106"/>
  <c r="D7258" i="106"/>
  <c r="B4434" i="106"/>
  <c r="D4434" i="106"/>
  <c r="E7" i="4"/>
  <c r="B4443" i="106"/>
  <c r="D4443" i="106"/>
  <c r="E268" i="5"/>
  <c r="K151" i="29"/>
  <c r="B1281" i="106"/>
  <c r="D1281" i="106"/>
  <c r="B2634" i="106"/>
  <c r="D2634" i="106"/>
  <c r="E17" i="4"/>
  <c r="B1332" i="106"/>
  <c r="D1332" i="106"/>
  <c r="B1259" i="106"/>
  <c r="D1259" i="106"/>
  <c r="B989" i="106"/>
  <c r="D989" i="106"/>
  <c r="F54" i="34"/>
  <c r="C268" i="5"/>
  <c r="B5326" i="106"/>
  <c r="D5326" i="106"/>
  <c r="H37" i="37"/>
  <c r="B285" i="106"/>
  <c r="D285" i="106"/>
  <c r="N37" i="3"/>
  <c r="B3678" i="106"/>
  <c r="D3678" i="106"/>
  <c r="K368" i="29"/>
  <c r="B3681" i="106"/>
  <c r="D3681" i="106"/>
  <c r="B1510" i="106"/>
  <c r="D1510" i="106"/>
  <c r="K295" i="29"/>
  <c r="F12" i="34"/>
  <c r="G13" i="4"/>
  <c r="B3574" i="106"/>
  <c r="D3574" i="106"/>
  <c r="B1282" i="106"/>
  <c r="D1282" i="106"/>
  <c r="D15" i="4"/>
  <c r="B2571" i="106"/>
  <c r="D2571" i="106"/>
  <c r="J19" i="4"/>
  <c r="B6229" i="106"/>
  <c r="D6229" i="106"/>
  <c r="B6227" i="106"/>
  <c r="D6227" i="106"/>
  <c r="B5869" i="106"/>
  <c r="D5869" i="106"/>
  <c r="G268" i="5"/>
  <c r="G7" i="4"/>
  <c r="B3225" i="106"/>
  <c r="D3225" i="106"/>
  <c r="I8" i="4"/>
  <c r="B7020" i="106"/>
  <c r="D7020" i="106"/>
  <c r="F55" i="34"/>
  <c r="F17" i="11"/>
  <c r="B2659" i="106"/>
  <c r="D2659" i="106"/>
  <c r="H17" i="4"/>
  <c r="B1387" i="106"/>
  <c r="D1387" i="106"/>
  <c r="F16" i="4"/>
  <c r="B2599" i="106"/>
  <c r="D2599" i="106"/>
  <c r="B1382" i="106"/>
  <c r="D1382" i="106"/>
  <c r="F63" i="34"/>
  <c r="F77" i="34"/>
  <c r="F15" i="4"/>
  <c r="K210" i="29"/>
  <c r="F11" i="34"/>
  <c r="B1287" i="106"/>
  <c r="D1287" i="106"/>
  <c r="D16" i="4"/>
  <c r="B2572" i="106"/>
  <c r="D2572" i="106"/>
  <c r="B1143" i="106"/>
  <c r="D1143" i="106"/>
  <c r="B2557" i="106"/>
  <c r="D2557" i="106"/>
  <c r="J20" i="4"/>
  <c r="J10" i="4"/>
  <c r="B6225" i="106"/>
  <c r="D6225" i="106"/>
  <c r="B5508" i="106"/>
  <c r="D5508" i="106"/>
  <c r="B2567" i="106"/>
  <c r="D2567" i="106"/>
  <c r="K17" i="4"/>
  <c r="B7834" i="106"/>
  <c r="D7834" i="106"/>
  <c r="B2595" i="106"/>
  <c r="D2595" i="106"/>
  <c r="D10" i="171"/>
  <c r="D19" i="171"/>
  <c r="D32" i="171"/>
  <c r="D49" i="171"/>
  <c r="B2658" i="106"/>
  <c r="D2658" i="106"/>
  <c r="H10" i="4"/>
  <c r="B4127" i="106"/>
  <c r="D4127" i="106"/>
  <c r="K152" i="29"/>
  <c r="B1289" i="106"/>
  <c r="D1289" i="106"/>
  <c r="F9" i="34"/>
  <c r="F8" i="34"/>
  <c r="K10" i="4"/>
  <c r="B4130" i="106"/>
  <c r="D4130" i="106"/>
  <c r="B3571" i="106"/>
  <c r="D3571" i="106"/>
  <c r="B1388" i="106"/>
  <c r="D1388" i="106"/>
  <c r="K211" i="29"/>
  <c r="B1389" i="106"/>
  <c r="D1389" i="106"/>
  <c r="H19" i="4"/>
  <c r="B4141" i="106"/>
  <c r="D4141" i="106"/>
  <c r="B2661" i="106"/>
  <c r="D2661" i="106"/>
  <c r="H20" i="4"/>
  <c r="B7624" i="106"/>
  <c r="I17" i="11"/>
  <c r="K296" i="29"/>
  <c r="B1518" i="106"/>
  <c r="D1518" i="106"/>
  <c r="B5870" i="106"/>
  <c r="D5870" i="106"/>
  <c r="B3575" i="106"/>
  <c r="D3575" i="106"/>
  <c r="K19" i="4"/>
  <c r="B4144" i="106"/>
  <c r="D4144" i="106"/>
  <c r="K20" i="4"/>
  <c r="B1517" i="106"/>
  <c r="D1517" i="106"/>
  <c r="N41" i="3"/>
  <c r="B287" i="106"/>
  <c r="D287" i="106"/>
  <c r="B4997" i="106"/>
  <c r="D4997" i="106"/>
  <c r="H32" i="118"/>
  <c r="K32" i="118"/>
  <c r="O31" i="118"/>
  <c r="O33" i="118"/>
  <c r="E19" i="4"/>
  <c r="B4138" i="106"/>
  <c r="D4138" i="106"/>
  <c r="B2635" i="106"/>
  <c r="D2635" i="106"/>
  <c r="B2569" i="106"/>
  <c r="D2569" i="106"/>
  <c r="B1288" i="106"/>
  <c r="D1288" i="106"/>
  <c r="B2598" i="106"/>
  <c r="D2598" i="106"/>
  <c r="B3226" i="106"/>
  <c r="D3226" i="106"/>
  <c r="E8" i="146"/>
  <c r="E10" i="146"/>
  <c r="I20" i="4"/>
  <c r="I10" i="4"/>
  <c r="B4128" i="106"/>
  <c r="D4128" i="106"/>
  <c r="G8" i="4"/>
  <c r="B2605" i="106"/>
  <c r="D2605" i="106"/>
  <c r="B2608" i="106"/>
  <c r="D2608" i="106"/>
  <c r="G17" i="4"/>
  <c r="B2554" i="106"/>
  <c r="D2554" i="106"/>
  <c r="B5327" i="106"/>
  <c r="D5327" i="106"/>
  <c r="K115" i="29"/>
  <c r="B1153" i="106"/>
  <c r="D1153" i="106"/>
  <c r="B5552" i="106"/>
  <c r="D5552" i="106"/>
  <c r="K175" i="29"/>
  <c r="B1333" i="106"/>
  <c r="D1333" i="106"/>
  <c r="A7260" i="106"/>
  <c r="D7259" i="106"/>
  <c r="E8" i="4"/>
  <c r="B6230" i="106"/>
  <c r="D6230" i="106"/>
  <c r="J78" i="4"/>
  <c r="F10" i="4"/>
  <c r="B4125" i="106"/>
  <c r="D4125" i="106"/>
  <c r="D10" i="4"/>
  <c r="B4123" i="106"/>
  <c r="D4123" i="106"/>
  <c r="B2568" i="106"/>
  <c r="D2568" i="106"/>
  <c r="H13" i="118"/>
  <c r="B2574" i="106"/>
  <c r="D2574" i="106"/>
  <c r="F14" i="34"/>
  <c r="H18" i="118"/>
  <c r="C10" i="4"/>
  <c r="B4122" i="106"/>
  <c r="D4122" i="106"/>
  <c r="B2555" i="106"/>
  <c r="D2555" i="106"/>
  <c r="G10" i="4"/>
  <c r="B4126" i="106"/>
  <c r="D4126" i="106"/>
  <c r="G20" i="4"/>
  <c r="B2606" i="106"/>
  <c r="D2606" i="106"/>
  <c r="D16" i="37"/>
  <c r="E20" i="4"/>
  <c r="B2632" i="106"/>
  <c r="D2632" i="106"/>
  <c r="E10" i="4"/>
  <c r="B4124" i="106"/>
  <c r="D4124" i="106"/>
  <c r="A7261" i="106"/>
  <c r="D7260" i="106"/>
  <c r="G19" i="4"/>
  <c r="B4140" i="106"/>
  <c r="D4140" i="106"/>
  <c r="B2612" i="106"/>
  <c r="D2612" i="106"/>
  <c r="B2561" i="106"/>
  <c r="D2561" i="106"/>
  <c r="H17" i="118"/>
  <c r="H25" i="118"/>
  <c r="K24" i="118"/>
  <c r="O23" i="118"/>
  <c r="O25" i="118"/>
  <c r="F16" i="37"/>
  <c r="C19" i="4"/>
  <c r="B4136" i="106"/>
  <c r="D4136" i="106"/>
  <c r="B288" i="106"/>
  <c r="D288" i="106"/>
  <c r="D55" i="36"/>
  <c r="I18" i="11"/>
  <c r="B7625" i="106"/>
  <c r="H78" i="4"/>
  <c r="B2662" i="106"/>
  <c r="D2662" i="106"/>
  <c r="B3227" i="106"/>
  <c r="D3227" i="106"/>
  <c r="I78" i="4"/>
  <c r="D10" i="146"/>
  <c r="F19" i="4"/>
  <c r="B4139" i="106"/>
  <c r="D4139" i="106"/>
  <c r="B2600" i="106"/>
  <c r="D2600" i="106"/>
  <c r="B2573" i="106"/>
  <c r="D2573" i="106"/>
  <c r="D19" i="4"/>
  <c r="B4137" i="106"/>
  <c r="D4137" i="106"/>
  <c r="C10" i="146"/>
  <c r="K78" i="4"/>
  <c r="B3576" i="106"/>
  <c r="D3576" i="106"/>
  <c r="J81" i="4"/>
  <c r="B6263" i="106"/>
  <c r="D6263" i="106"/>
  <c r="F78" i="34"/>
  <c r="B7822" i="106"/>
  <c r="B3588" i="106"/>
  <c r="D3588" i="106"/>
  <c r="K81" i="4"/>
  <c r="B2601" i="106"/>
  <c r="D2601" i="106"/>
  <c r="B3320" i="106"/>
  <c r="D3320" i="106"/>
  <c r="I81" i="4"/>
  <c r="K17" i="118"/>
  <c r="B3300" i="106"/>
  <c r="D3300" i="106"/>
  <c r="H81" i="4"/>
  <c r="B7631" i="106"/>
  <c r="F177" i="34"/>
  <c r="A7262" i="106"/>
  <c r="D7261" i="106"/>
  <c r="H16" i="37"/>
  <c r="G78" i="4"/>
  <c r="B2613" i="106"/>
  <c r="D2613" i="106"/>
  <c r="B2562" i="106"/>
  <c r="D2562" i="106"/>
  <c r="B10" i="146"/>
  <c r="E78" i="4"/>
  <c r="B2636" i="106"/>
  <c r="D2636" i="106"/>
  <c r="D64" i="36"/>
  <c r="J82" i="4"/>
  <c r="B6266" i="106"/>
  <c r="D6266" i="106"/>
  <c r="B3239" i="106"/>
  <c r="D3239" i="106"/>
  <c r="F176" i="34"/>
  <c r="B7878" i="106"/>
  <c r="D7878" i="106"/>
  <c r="B7835" i="106"/>
  <c r="D7835" i="106"/>
  <c r="B3278" i="106"/>
  <c r="D3278" i="106"/>
  <c r="E81" i="4"/>
  <c r="B3233" i="106"/>
  <c r="D3233" i="106"/>
  <c r="A7263" i="106"/>
  <c r="D7262" i="106"/>
  <c r="B1700" i="106"/>
  <c r="D1700" i="106"/>
  <c r="H82" i="4"/>
  <c r="D62" i="36"/>
  <c r="J20" i="118"/>
  <c r="O16" i="118"/>
  <c r="K20" i="118"/>
  <c r="B3256" i="106"/>
  <c r="D3256" i="106"/>
  <c r="G81" i="4"/>
  <c r="B3262" i="106"/>
  <c r="D3262" i="106"/>
  <c r="B3323" i="106"/>
  <c r="D3323" i="106"/>
  <c r="I82" i="4"/>
  <c r="D63" i="36"/>
  <c r="E11" i="146"/>
  <c r="B3591" i="106"/>
  <c r="D3591" i="106"/>
  <c r="D65" i="36"/>
  <c r="K82" i="4"/>
  <c r="J83" i="4"/>
  <c r="B6283" i="106"/>
  <c r="D6283" i="106"/>
  <c r="B6274" i="106"/>
  <c r="D6274" i="106"/>
  <c r="D82" i="4"/>
  <c r="B1644" i="106"/>
  <c r="D1644" i="106"/>
  <c r="D58" i="36"/>
  <c r="J16" i="37"/>
  <c r="B4269" i="106"/>
  <c r="D4269" i="106"/>
  <c r="F178" i="34"/>
  <c r="H12" i="118"/>
  <c r="K12" i="118"/>
  <c r="O11" i="118"/>
  <c r="O13" i="118"/>
  <c r="O17" i="118"/>
  <c r="O20" i="118"/>
  <c r="B6275" i="106"/>
  <c r="D6275" i="106"/>
  <c r="K83" i="4"/>
  <c r="B6284" i="106"/>
  <c r="D6284" i="106"/>
  <c r="H83" i="4"/>
  <c r="B6281" i="106"/>
  <c r="D6281" i="106"/>
  <c r="B6272" i="106"/>
  <c r="D6272" i="106"/>
  <c r="C82" i="4"/>
  <c r="D57" i="36"/>
  <c r="B1630" i="106"/>
  <c r="D1630" i="106"/>
  <c r="E82" i="4"/>
  <c r="B1658" i="106"/>
  <c r="D1658" i="106"/>
  <c r="D59" i="36"/>
  <c r="I83" i="4"/>
  <c r="B6282" i="106"/>
  <c r="D6282" i="106"/>
  <c r="B6273" i="106"/>
  <c r="D6273" i="106"/>
  <c r="G82" i="4"/>
  <c r="D61" i="36"/>
  <c r="B1686" i="106"/>
  <c r="D1686" i="106"/>
  <c r="B1672" i="106"/>
  <c r="D1672" i="106"/>
  <c r="F82" i="4"/>
  <c r="D60" i="36"/>
  <c r="A7264" i="106"/>
  <c r="D7263" i="106"/>
  <c r="B6268" i="106"/>
  <c r="D6268" i="106"/>
  <c r="D83" i="4"/>
  <c r="B6277" i="106"/>
  <c r="D6277" i="106"/>
  <c r="F180" i="34"/>
  <c r="B7880" i="106"/>
  <c r="D7880" i="106"/>
  <c r="B7879" i="106"/>
  <c r="D7879" i="106"/>
  <c r="O35" i="118"/>
  <c r="O37" i="118"/>
  <c r="C12" i="146"/>
  <c r="A7265" i="106"/>
  <c r="D7264" i="106"/>
  <c r="B6269" i="106"/>
  <c r="D6269" i="106"/>
  <c r="E83" i="4"/>
  <c r="B6278" i="106"/>
  <c r="D6278" i="106"/>
  <c r="B6270" i="106"/>
  <c r="D6270" i="106"/>
  <c r="F83" i="4"/>
  <c r="B6279" i="106"/>
  <c r="D6279" i="106"/>
  <c r="B6271" i="106"/>
  <c r="D6271" i="106"/>
  <c r="G83" i="4"/>
  <c r="B6280" i="106"/>
  <c r="D6280" i="106"/>
  <c r="C83" i="4"/>
  <c r="B6276" i="106"/>
  <c r="D6276" i="106"/>
  <c r="B6267" i="106"/>
  <c r="D6267" i="106"/>
  <c r="A7266" i="106"/>
  <c r="D7265" i="106"/>
  <c r="A7267" i="106"/>
  <c r="D7266" i="106"/>
  <c r="A7268" i="106"/>
  <c r="D7267" i="106"/>
  <c r="A7269" i="106"/>
  <c r="D7268" i="106"/>
  <c r="A7270" i="106"/>
  <c r="D7269" i="106"/>
  <c r="A7271" i="106"/>
  <c r="D7270" i="106"/>
  <c r="A7272" i="106"/>
  <c r="D7271" i="106"/>
  <c r="A7273" i="106"/>
  <c r="D7272" i="106"/>
  <c r="A7274" i="106"/>
  <c r="D7273" i="106"/>
  <c r="A7275" i="106"/>
  <c r="D7274" i="106"/>
  <c r="A7276" i="106"/>
  <c r="D7275" i="106"/>
  <c r="A7277" i="106"/>
  <c r="D7276" i="106"/>
  <c r="A7278" i="106"/>
  <c r="D7277" i="106"/>
  <c r="A7279" i="106"/>
  <c r="D7278" i="106"/>
  <c r="A7280" i="106"/>
  <c r="D7279" i="106"/>
  <c r="A7281" i="106"/>
  <c r="D7280" i="106"/>
  <c r="A7282" i="106"/>
  <c r="D7281" i="106"/>
  <c r="A7283" i="106"/>
  <c r="D7282" i="106"/>
  <c r="A7284" i="106"/>
  <c r="D7283" i="106"/>
  <c r="A7285" i="106"/>
  <c r="D7284" i="106"/>
  <c r="A7286" i="106"/>
  <c r="D7285" i="106"/>
  <c r="A7287" i="106"/>
  <c r="D7286" i="106"/>
  <c r="A7288" i="106"/>
  <c r="D7287" i="106"/>
  <c r="A7289" i="106"/>
  <c r="D7288" i="106"/>
  <c r="A7290" i="106"/>
  <c r="D7289" i="106"/>
  <c r="A7291" i="106"/>
  <c r="D7290" i="106"/>
  <c r="A7292" i="106"/>
  <c r="D7291" i="106"/>
  <c r="A7293" i="106"/>
  <c r="D7292" i="106"/>
  <c r="A7294" i="106"/>
  <c r="D7293" i="106"/>
  <c r="A7295" i="106"/>
  <c r="D7294" i="106"/>
  <c r="A7296" i="106"/>
  <c r="D7295" i="106"/>
  <c r="A7297" i="106"/>
  <c r="D7296" i="106"/>
  <c r="A7298" i="106"/>
  <c r="D7297" i="106"/>
  <c r="A7299" i="106"/>
  <c r="D7298" i="106"/>
  <c r="A7300" i="106"/>
  <c r="D7299" i="106"/>
  <c r="A7301" i="106"/>
  <c r="D7300" i="106"/>
  <c r="A7302" i="106"/>
  <c r="D7301" i="106"/>
  <c r="A7303" i="106"/>
  <c r="D7302" i="106"/>
  <c r="A7304" i="106"/>
  <c r="D7303" i="106"/>
  <c r="A7305" i="106"/>
  <c r="D7304" i="106"/>
  <c r="A7306" i="106"/>
  <c r="D7305" i="106"/>
  <c r="A7307" i="106"/>
  <c r="D7306" i="106"/>
  <c r="A7308" i="106"/>
  <c r="D7307" i="106"/>
  <c r="A7309" i="106"/>
  <c r="D7308" i="106"/>
  <c r="A7310" i="106"/>
  <c r="D7309" i="106"/>
  <c r="A7311" i="106"/>
  <c r="D7310" i="106"/>
  <c r="A7312" i="106"/>
  <c r="D7311" i="106"/>
  <c r="A7313" i="106"/>
  <c r="D7312" i="106"/>
  <c r="A7314" i="106"/>
  <c r="D7313" i="106"/>
  <c r="A7315" i="106"/>
  <c r="D7314" i="106"/>
  <c r="A7316" i="106"/>
  <c r="D7315" i="106"/>
  <c r="A7317" i="106"/>
  <c r="D7316" i="106"/>
  <c r="A7318" i="106"/>
  <c r="D7317" i="106"/>
  <c r="A7319" i="106"/>
  <c r="D7318" i="106"/>
  <c r="A7320" i="106"/>
  <c r="D7319" i="106"/>
  <c r="A7321" i="106"/>
  <c r="D7320" i="106"/>
  <c r="A7322" i="106"/>
  <c r="D7321" i="106"/>
  <c r="A7323" i="106"/>
  <c r="D7322" i="106"/>
  <c r="A7324" i="106"/>
  <c r="D7323" i="106"/>
  <c r="A7325" i="106"/>
  <c r="D7324" i="106"/>
  <c r="A7326" i="106"/>
  <c r="D7325" i="106"/>
  <c r="A7327" i="106"/>
  <c r="D7326" i="106"/>
  <c r="A7328" i="106"/>
  <c r="D7327" i="106"/>
  <c r="A7329" i="106"/>
  <c r="D7328" i="106"/>
  <c r="A7330" i="106"/>
  <c r="D7329" i="106"/>
  <c r="A7331" i="106"/>
  <c r="D7330" i="106"/>
  <c r="A7332" i="106"/>
  <c r="D7331" i="106"/>
  <c r="A7333" i="106"/>
  <c r="D7332" i="106"/>
  <c r="A7334" i="106"/>
  <c r="D7333" i="106"/>
  <c r="A7335" i="106"/>
  <c r="D7334" i="106"/>
  <c r="A7336" i="106"/>
  <c r="D7335" i="106"/>
  <c r="A7337" i="106"/>
  <c r="D7336" i="106"/>
  <c r="A7338" i="106"/>
  <c r="D7337" i="106"/>
  <c r="A7339" i="106"/>
  <c r="D7338" i="106"/>
  <c r="A7340" i="106"/>
  <c r="D7339" i="106"/>
  <c r="A7341" i="106"/>
  <c r="D7340" i="106"/>
  <c r="A7342" i="106"/>
  <c r="D7341" i="106"/>
  <c r="A7343" i="106"/>
  <c r="D7342" i="106"/>
  <c r="A7344" i="106"/>
  <c r="D7343" i="106"/>
  <c r="A7345" i="106"/>
  <c r="D7344" i="106"/>
  <c r="A7346" i="106"/>
  <c r="D7345" i="106"/>
  <c r="A7347" i="106"/>
  <c r="D7346" i="106"/>
  <c r="A7348" i="106"/>
  <c r="D7347" i="106"/>
  <c r="A7349" i="106"/>
  <c r="D7348" i="106"/>
  <c r="A7350" i="106"/>
  <c r="D7349" i="106"/>
  <c r="A7351" i="106"/>
  <c r="D7350" i="106"/>
  <c r="A7352" i="106"/>
  <c r="D7351" i="106"/>
  <c r="A7353" i="106"/>
  <c r="D7352" i="106"/>
  <c r="A7354" i="106"/>
  <c r="D7353" i="106"/>
  <c r="A7355" i="106"/>
  <c r="D7354" i="106"/>
  <c r="A7356" i="106"/>
  <c r="D7355" i="106"/>
  <c r="A7357" i="106"/>
  <c r="D7356" i="106"/>
  <c r="A7358" i="106"/>
  <c r="D7357" i="106"/>
  <c r="A7359" i="106"/>
  <c r="D7358" i="106"/>
  <c r="A7360" i="106"/>
  <c r="D7359" i="106"/>
  <c r="A7361" i="106"/>
  <c r="D7360" i="106"/>
  <c r="A7362" i="106"/>
  <c r="D7361" i="106"/>
  <c r="A7363" i="106"/>
  <c r="D7362" i="106"/>
  <c r="A7364" i="106"/>
  <c r="D7363" i="106"/>
  <c r="A7365" i="106"/>
  <c r="D7364" i="106"/>
  <c r="A7366" i="106"/>
  <c r="D7365" i="106"/>
  <c r="A7367" i="106"/>
  <c r="D7366" i="106"/>
  <c r="A7368" i="106"/>
  <c r="D7367" i="106"/>
  <c r="A7369" i="106"/>
  <c r="D7368" i="106"/>
  <c r="A7370" i="106"/>
  <c r="D7369" i="106"/>
  <c r="A7371" i="106"/>
  <c r="D7370" i="106"/>
  <c r="A7372" i="106"/>
  <c r="D7371" i="106"/>
  <c r="A7373" i="106"/>
  <c r="D7372" i="106"/>
  <c r="A7374" i="106"/>
  <c r="D7373" i="106"/>
  <c r="A7375" i="106"/>
  <c r="D7374" i="106"/>
  <c r="A7376" i="106"/>
  <c r="D7375" i="106"/>
  <c r="A7377" i="106"/>
  <c r="D7376" i="106"/>
  <c r="A7378" i="106"/>
  <c r="D7377" i="106"/>
  <c r="A7379" i="106"/>
  <c r="D7378" i="106"/>
  <c r="A7380" i="106"/>
  <c r="D7379" i="106"/>
  <c r="A7381" i="106"/>
  <c r="D7380" i="106"/>
  <c r="A7382" i="106"/>
  <c r="D7381" i="106"/>
  <c r="A7383" i="106"/>
  <c r="D7382" i="106"/>
  <c r="A7384" i="106"/>
  <c r="D7383" i="106"/>
  <c r="A7385" i="106"/>
  <c r="D7384" i="106"/>
  <c r="A7386" i="106"/>
  <c r="D7385" i="106"/>
  <c r="A7387" i="106"/>
  <c r="D7386" i="106"/>
  <c r="A7388" i="106"/>
  <c r="D7387" i="106"/>
  <c r="A7389" i="106"/>
  <c r="D7388" i="106"/>
  <c r="A7390" i="106"/>
  <c r="D7389" i="106"/>
  <c r="A7391" i="106"/>
  <c r="D7390" i="106"/>
  <c r="A7392" i="106"/>
  <c r="D7391" i="106"/>
  <c r="A7393" i="106"/>
  <c r="D7392" i="106"/>
  <c r="A7394" i="106"/>
  <c r="D7393" i="106"/>
  <c r="A7395" i="106"/>
  <c r="D7394" i="106"/>
  <c r="A7396" i="106"/>
  <c r="D7395" i="106"/>
  <c r="A7397" i="106"/>
  <c r="D7396" i="106"/>
  <c r="A7398" i="106"/>
  <c r="D7397" i="106"/>
  <c r="A7399" i="106"/>
  <c r="D7398" i="106"/>
  <c r="A7400" i="106"/>
  <c r="D7399" i="106"/>
  <c r="A7401" i="106"/>
  <c r="D7400" i="106"/>
  <c r="A7402" i="106"/>
  <c r="D7401" i="106"/>
  <c r="A7403" i="106"/>
  <c r="D7402" i="106"/>
  <c r="A7404" i="106"/>
  <c r="D7403" i="106"/>
  <c r="A7405" i="106"/>
  <c r="D7404" i="106"/>
  <c r="A7406" i="106"/>
  <c r="D7405" i="106"/>
  <c r="A7407" i="106"/>
  <c r="D7406" i="106"/>
  <c r="A7408" i="106"/>
  <c r="D7407" i="106"/>
  <c r="A7409" i="106"/>
  <c r="D7408" i="106"/>
  <c r="A7410" i="106"/>
  <c r="D7409" i="106"/>
  <c r="A7411" i="106"/>
  <c r="D7410" i="106"/>
  <c r="A7412" i="106"/>
  <c r="D7411" i="106"/>
  <c r="A7413" i="106"/>
  <c r="D7412" i="106"/>
  <c r="A7414" i="106"/>
  <c r="D7413" i="106"/>
  <c r="A7415" i="106"/>
  <c r="D7414" i="106"/>
  <c r="A7416" i="106"/>
  <c r="D7415" i="106"/>
  <c r="A7417" i="106"/>
  <c r="D7416" i="106"/>
  <c r="A7418" i="106"/>
  <c r="D7417" i="106"/>
  <c r="A7419" i="106"/>
  <c r="D7418" i="106"/>
  <c r="A7420" i="106"/>
  <c r="D7419" i="106"/>
  <c r="A7421" i="106"/>
  <c r="D7420" i="106"/>
  <c r="A7422" i="106"/>
  <c r="D7421" i="106"/>
  <c r="A7423" i="106"/>
  <c r="D7422" i="106"/>
  <c r="A7424" i="106"/>
  <c r="D7423" i="106"/>
  <c r="A7425" i="106"/>
  <c r="D7424" i="106"/>
  <c r="A7426" i="106"/>
  <c r="D7425" i="106"/>
  <c r="A7427" i="106"/>
  <c r="D7426" i="106"/>
  <c r="A7428" i="106"/>
  <c r="D7427" i="106"/>
  <c r="A7429" i="106"/>
  <c r="D7428" i="106"/>
  <c r="A7430" i="106"/>
  <c r="D7429" i="106"/>
  <c r="A7431" i="106"/>
  <c r="D7430" i="106"/>
  <c r="A7432" i="106"/>
  <c r="D7431" i="106"/>
  <c r="A7433" i="106"/>
  <c r="D7432" i="106"/>
  <c r="A7434" i="106"/>
  <c r="D7433" i="106"/>
  <c r="A7435" i="106"/>
  <c r="D7434" i="106"/>
  <c r="A7436" i="106"/>
  <c r="D7435" i="106"/>
  <c r="A7437" i="106"/>
  <c r="D7436" i="106"/>
  <c r="A7438" i="106"/>
  <c r="D7437" i="106"/>
  <c r="A7439" i="106"/>
  <c r="D7438" i="106"/>
  <c r="A7440" i="106"/>
  <c r="D7439" i="106"/>
  <c r="A7441" i="106"/>
  <c r="D7440" i="106"/>
  <c r="A7442" i="106"/>
  <c r="D7441" i="106"/>
  <c r="A7443" i="106"/>
  <c r="D7442" i="106"/>
  <c r="A7444" i="106"/>
  <c r="D7443" i="106"/>
  <c r="A7445" i="106"/>
  <c r="D7444" i="106"/>
  <c r="A7446" i="106"/>
  <c r="D7445" i="106"/>
  <c r="A7447" i="106"/>
  <c r="D7446" i="106"/>
  <c r="A7448" i="106"/>
  <c r="D7447" i="106"/>
  <c r="A7449" i="106"/>
  <c r="D7448" i="106"/>
  <c r="A7450" i="106"/>
  <c r="D7449" i="106"/>
  <c r="A7451" i="106"/>
  <c r="D7450" i="106"/>
  <c r="A7452" i="106"/>
  <c r="D7451" i="106"/>
  <c r="A7453" i="106"/>
  <c r="D7452" i="106"/>
  <c r="A7454" i="106"/>
  <c r="D7453" i="106"/>
  <c r="A7455" i="106"/>
  <c r="D7454" i="106"/>
  <c r="A7456" i="106"/>
  <c r="D7455" i="106"/>
  <c r="A7457" i="106"/>
  <c r="D7456" i="106"/>
  <c r="A7458" i="106"/>
  <c r="D7457" i="106"/>
  <c r="A7459" i="106"/>
  <c r="D7458" i="106"/>
  <c r="A7460" i="106"/>
  <c r="D7459" i="106"/>
  <c r="A7461" i="106"/>
  <c r="D7460" i="106"/>
  <c r="A7462" i="106"/>
  <c r="D7461" i="106"/>
  <c r="A7463" i="106"/>
  <c r="D7462" i="106"/>
  <c r="A7464" i="106"/>
  <c r="D7463" i="106"/>
  <c r="A7465" i="106"/>
  <c r="D7464" i="106"/>
  <c r="A7466" i="106"/>
  <c r="D7465" i="106"/>
  <c r="A7467" i="106"/>
  <c r="D7466" i="106"/>
  <c r="A7468" i="106"/>
  <c r="D7467" i="106"/>
  <c r="A7469" i="106"/>
  <c r="D7468" i="106"/>
  <c r="A7470" i="106"/>
  <c r="D7469" i="106"/>
  <c r="A7471" i="106"/>
  <c r="D7470" i="106"/>
  <c r="A7472" i="106"/>
  <c r="D7471" i="106"/>
  <c r="A7473" i="106"/>
  <c r="D7472" i="106"/>
  <c r="A7474" i="106"/>
  <c r="D7473" i="106"/>
  <c r="A7475" i="106"/>
  <c r="D7474" i="106"/>
  <c r="A7476" i="106"/>
  <c r="D7475" i="106"/>
  <c r="A7477" i="106"/>
  <c r="D7476" i="106"/>
  <c r="A7478" i="106"/>
  <c r="D7477" i="106"/>
  <c r="A7479" i="106"/>
  <c r="D7478" i="106"/>
  <c r="A7480" i="106"/>
  <c r="D7479" i="106"/>
  <c r="A7481" i="106"/>
  <c r="D7480" i="106"/>
  <c r="A7482" i="106"/>
  <c r="D7481" i="106"/>
  <c r="A7483" i="106"/>
  <c r="D7482" i="106"/>
  <c r="A7484" i="106"/>
  <c r="D7483" i="106"/>
  <c r="A7485" i="106"/>
  <c r="D7484" i="106"/>
  <c r="A7486" i="106"/>
  <c r="D7485" i="106"/>
  <c r="A7487" i="106"/>
  <c r="D7486" i="106"/>
  <c r="A7488" i="106"/>
  <c r="D7487" i="106"/>
  <c r="A7489" i="106"/>
  <c r="D7488" i="106"/>
  <c r="A7490" i="106"/>
  <c r="D7489" i="106"/>
  <c r="A7491" i="106"/>
  <c r="D7490" i="106"/>
  <c r="A7492" i="106"/>
  <c r="D7491" i="106"/>
  <c r="A7493" i="106"/>
  <c r="D7492" i="106"/>
  <c r="A7494" i="106"/>
  <c r="D7493" i="106"/>
  <c r="A7495" i="106"/>
  <c r="D7494" i="106"/>
  <c r="A7496" i="106"/>
  <c r="D7495" i="106"/>
  <c r="A7497" i="106"/>
  <c r="D7496" i="106"/>
  <c r="A7498" i="106"/>
  <c r="D7497" i="106"/>
  <c r="A7499" i="106"/>
  <c r="D7498" i="106"/>
  <c r="A7500" i="106"/>
  <c r="D7499" i="106"/>
  <c r="A7501" i="106"/>
  <c r="D7500" i="106"/>
  <c r="A7502" i="106"/>
  <c r="D7501" i="106"/>
  <c r="A7503" i="106"/>
  <c r="D7502" i="106"/>
  <c r="A7504" i="106"/>
  <c r="D7503" i="106"/>
  <c r="A7505" i="106"/>
  <c r="D7504" i="106"/>
  <c r="A7506" i="106"/>
  <c r="D7505" i="106"/>
  <c r="A7507" i="106"/>
  <c r="D7506" i="106"/>
  <c r="A7508" i="106"/>
  <c r="D7507" i="106"/>
  <c r="A7509" i="106"/>
  <c r="D7508" i="106"/>
  <c r="A7510" i="106"/>
  <c r="D7509" i="106"/>
  <c r="A7511" i="106"/>
  <c r="D7510" i="106"/>
  <c r="A7512" i="106"/>
  <c r="D7511" i="106"/>
  <c r="A7513" i="106"/>
  <c r="D7512" i="106"/>
  <c r="A7514" i="106"/>
  <c r="D7513" i="106"/>
  <c r="A7515" i="106"/>
  <c r="D7514" i="106"/>
  <c r="A7516" i="106"/>
  <c r="D7515" i="106"/>
  <c r="A7517" i="106"/>
  <c r="D7516" i="106"/>
  <c r="A7518" i="106"/>
  <c r="D7517" i="106"/>
  <c r="A7519" i="106"/>
  <c r="D7518" i="106"/>
  <c r="A7520" i="106"/>
  <c r="D7519" i="106"/>
  <c r="A7521" i="106"/>
  <c r="D7520" i="106"/>
  <c r="A7522" i="106"/>
  <c r="D7521" i="106"/>
  <c r="A7523" i="106"/>
  <c r="D7522" i="106"/>
  <c r="A7524" i="106"/>
  <c r="D7523" i="106"/>
  <c r="A7525" i="106"/>
  <c r="D7524" i="106"/>
  <c r="A7526" i="106"/>
  <c r="D7525" i="106"/>
  <c r="A7527" i="106"/>
  <c r="D7526" i="106"/>
  <c r="A7528" i="106"/>
  <c r="D7527" i="106"/>
  <c r="A7529" i="106"/>
  <c r="D7528" i="106"/>
  <c r="A7530" i="106"/>
  <c r="D7529" i="106"/>
  <c r="A7531" i="106"/>
  <c r="D7530" i="106"/>
  <c r="A7532" i="106"/>
  <c r="D7531" i="106"/>
  <c r="A7533" i="106"/>
  <c r="D7532" i="106"/>
  <c r="A7534" i="106"/>
  <c r="D7533" i="106"/>
  <c r="A7535" i="106"/>
  <c r="D7534" i="106"/>
  <c r="A7536" i="106"/>
  <c r="D7535" i="106"/>
  <c r="A7537" i="106"/>
  <c r="D7536" i="106"/>
  <c r="A7538" i="106"/>
  <c r="D7537" i="106"/>
  <c r="A7539" i="106"/>
  <c r="D7538" i="106"/>
  <c r="A7540" i="106"/>
  <c r="D7539" i="106"/>
  <c r="A7541" i="106"/>
  <c r="D7540" i="106"/>
  <c r="A7542" i="106"/>
  <c r="D7541" i="106"/>
  <c r="A7543" i="106"/>
  <c r="D7542" i="106"/>
  <c r="A7544" i="106"/>
  <c r="D7543" i="106"/>
  <c r="A7545" i="106"/>
  <c r="D7544" i="106"/>
  <c r="A7546" i="106"/>
  <c r="D7545" i="106"/>
  <c r="A7547" i="106"/>
  <c r="D7546" i="106"/>
  <c r="A7548" i="106"/>
  <c r="D7547" i="106"/>
  <c r="A7549" i="106"/>
  <c r="D7548" i="106"/>
  <c r="A7550" i="106"/>
  <c r="D7549" i="106"/>
  <c r="A7551" i="106"/>
  <c r="D7550" i="106"/>
  <c r="A7552" i="106"/>
  <c r="D7551" i="106"/>
  <c r="A7553" i="106"/>
  <c r="D7552" i="106"/>
  <c r="A7554" i="106"/>
  <c r="D7553" i="106"/>
  <c r="A7555" i="106"/>
  <c r="D7554" i="106"/>
  <c r="A7556" i="106"/>
  <c r="D7555" i="106"/>
  <c r="A7557" i="106"/>
  <c r="D7556" i="106"/>
  <c r="A7558" i="106"/>
  <c r="D7557" i="106"/>
  <c r="A7559" i="106"/>
  <c r="D7558" i="106"/>
  <c r="A7560" i="106"/>
  <c r="D7559" i="106"/>
  <c r="A7561" i="106"/>
  <c r="D7560" i="106"/>
  <c r="A7562" i="106"/>
  <c r="D7561" i="106"/>
  <c r="A7563" i="106"/>
  <c r="D7562" i="106"/>
  <c r="A7564" i="106"/>
  <c r="D7563" i="106"/>
  <c r="A7565" i="106"/>
  <c r="D7564" i="106"/>
  <c r="A7566" i="106"/>
  <c r="D7565" i="106"/>
  <c r="A7567" i="106"/>
  <c r="D7566" i="106"/>
  <c r="A7568" i="106"/>
  <c r="D7567" i="106"/>
  <c r="A7569" i="106"/>
  <c r="D7568" i="106"/>
  <c r="A7570" i="106"/>
  <c r="D7569" i="106"/>
  <c r="A7571" i="106"/>
  <c r="D7570" i="106"/>
  <c r="A7572" i="106"/>
  <c r="D7571" i="106"/>
  <c r="A7573" i="106"/>
  <c r="D7572" i="106"/>
  <c r="A7574" i="106"/>
  <c r="D7573" i="106"/>
  <c r="A7575" i="106"/>
  <c r="D7574" i="106"/>
  <c r="A7576" i="106"/>
  <c r="D7575" i="106"/>
  <c r="A7577" i="106"/>
  <c r="D7576" i="106"/>
  <c r="A7578" i="106"/>
  <c r="D7577" i="106"/>
  <c r="A7579" i="106"/>
  <c r="D7578" i="106"/>
  <c r="A7580" i="106"/>
  <c r="D7579" i="106"/>
  <c r="A7581" i="106"/>
  <c r="D7580" i="106"/>
  <c r="A7582" i="106"/>
  <c r="D7581" i="106"/>
  <c r="A7583" i="106"/>
  <c r="D7582" i="106"/>
  <c r="A7584" i="106"/>
  <c r="D7583" i="106"/>
  <c r="A7585" i="106"/>
  <c r="D7584" i="106"/>
  <c r="A7586" i="106"/>
  <c r="D7585" i="106"/>
  <c r="A7587" i="106"/>
  <c r="D7586" i="106"/>
  <c r="A7588" i="106"/>
  <c r="D7587" i="106"/>
  <c r="A7589" i="106"/>
  <c r="D7588" i="106"/>
  <c r="A7590" i="106"/>
  <c r="D7589" i="106"/>
  <c r="A7591" i="106"/>
  <c r="D7590" i="106"/>
  <c r="A7592" i="106"/>
  <c r="D7591" i="106"/>
  <c r="A7593" i="106"/>
  <c r="D7592" i="106"/>
  <c r="A7594" i="106"/>
  <c r="D7593" i="106"/>
  <c r="A7595" i="106"/>
  <c r="D7594" i="106"/>
  <c r="A7596" i="106"/>
  <c r="D7595" i="106"/>
  <c r="A7597" i="106"/>
  <c r="D7596" i="106"/>
  <c r="A7598" i="106"/>
  <c r="D7597" i="106"/>
  <c r="A7599" i="106"/>
  <c r="D7598" i="106"/>
  <c r="A7600" i="106"/>
  <c r="D7599" i="106"/>
  <c r="A7601" i="106"/>
  <c r="D7600" i="106"/>
  <c r="A7602" i="106"/>
  <c r="D7601" i="106"/>
  <c r="A7603" i="106"/>
  <c r="D7602" i="106"/>
  <c r="A7604" i="106"/>
  <c r="D7603" i="106"/>
  <c r="A7605" i="106"/>
  <c r="D7604" i="106"/>
  <c r="A7606" i="106"/>
  <c r="D7605" i="106"/>
  <c r="A7607" i="106"/>
  <c r="D7606" i="106"/>
  <c r="A7608" i="106"/>
  <c r="D7607" i="106"/>
  <c r="A7609" i="106"/>
  <c r="D7608" i="106"/>
  <c r="A7610" i="106"/>
  <c r="D7609" i="106"/>
  <c r="A7611" i="106"/>
  <c r="D7610" i="106"/>
  <c r="A7612" i="106"/>
  <c r="D7611" i="106"/>
  <c r="A7613" i="106"/>
  <c r="D7612" i="106"/>
  <c r="A7614" i="106"/>
  <c r="D7613" i="106"/>
  <c r="A7615" i="106"/>
  <c r="D7614" i="106"/>
  <c r="A7616" i="106"/>
  <c r="D7615" i="106"/>
  <c r="A7617" i="106"/>
  <c r="D7616" i="106"/>
  <c r="A7618" i="106"/>
  <c r="D7617" i="106"/>
  <c r="A7619" i="106"/>
  <c r="D7618" i="106"/>
  <c r="A7620" i="106"/>
  <c r="D7619" i="106"/>
  <c r="A7621" i="106"/>
  <c r="D7620" i="106"/>
  <c r="A7622" i="106"/>
  <c r="D7621" i="106"/>
  <c r="A7623" i="106"/>
  <c r="D7622" i="106"/>
  <c r="A7624" i="106"/>
  <c r="D7623" i="106"/>
  <c r="A7625" i="106"/>
  <c r="D7624" i="106"/>
  <c r="A7626" i="106"/>
  <c r="A7627" i="106"/>
  <c r="A7628" i="106"/>
  <c r="A7629" i="106"/>
  <c r="A7630" i="106"/>
  <c r="A7631" i="106"/>
  <c r="D7625" i="106"/>
  <c r="A7632" i="106"/>
  <c r="A7633" i="106"/>
  <c r="A7634" i="106"/>
  <c r="A7635" i="106"/>
  <c r="D7631" i="106"/>
  <c r="A7636" i="106"/>
  <c r="D7635" i="106"/>
  <c r="A7637" i="106"/>
  <c r="D7636" i="106"/>
  <c r="A7638" i="106"/>
  <c r="D7637" i="106"/>
  <c r="A7639" i="106"/>
  <c r="D7638" i="106"/>
  <c r="A7640" i="106"/>
  <c r="D7639" i="106"/>
  <c r="A7641" i="106"/>
  <c r="D7640" i="106"/>
  <c r="A7642" i="106"/>
  <c r="D7641" i="106"/>
  <c r="A7643" i="106"/>
  <c r="D7642" i="106"/>
  <c r="A7644" i="106"/>
  <c r="D7643" i="106"/>
  <c r="A7645" i="106"/>
  <c r="D7644" i="106"/>
  <c r="A7646" i="106"/>
  <c r="D7645" i="106"/>
  <c r="A7647" i="106"/>
  <c r="D7646" i="106"/>
  <c r="A7648" i="106"/>
  <c r="D7647" i="106"/>
  <c r="A7649" i="106"/>
  <c r="D7648" i="106"/>
  <c r="A7650" i="106"/>
  <c r="D7650" i="106"/>
  <c r="D7649" i="106"/>
  <c r="B2" i="175" l="1"/>
  <c r="A2" i="173"/>
  <c r="B1" i="184"/>
  <c r="B1" i="186"/>
  <c r="B2" i="186"/>
  <c r="A2" i="171"/>
  <c r="B2" i="176"/>
  <c r="B2" i="174"/>
  <c r="B2" i="177"/>
  <c r="B2" i="179"/>
  <c r="B2" i="184"/>
  <c r="B2" i="1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<sst xmlns="http://schemas.openxmlformats.org/spreadsheetml/2006/main" count="5348" uniqueCount="2151">
  <si>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</si>
  <si>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</si>
  <si>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</si>
  <si>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</si>
  <si>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</si>
  <si>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</si>
  <si>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</si>
  <si>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</si>
  <si>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</si>
  <si>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</si>
  <si>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</si>
  <si>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</si>
  <si>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</si>
  <si>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</si>
  <si>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</si>
  <si>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</si>
  <si>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</si>
  <si>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</si>
  <si>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</si>
  <si>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</si>
  <si>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</si>
  <si>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</si>
  <si>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</si>
  <si>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</si>
  <si>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</si>
  <si>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</si>
  <si>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</si>
  <si>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</si>
  <si>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</si>
  <si>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</si>
  <si>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</si>
  <si>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</si>
  <si>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</si>
  <si>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</si>
  <si>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</si>
  <si>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</si>
  <si>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</si>
  <si>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</si>
  <si>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</si>
  <si>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</si>
  <si>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</si>
  <si>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</si>
  <si>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</si>
  <si>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</si>
  <si>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</si>
  <si>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</si>
  <si>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</si>
  <si>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</si>
  <si>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</si>
  <si>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</si>
  <si>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</si>
  <si>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</si>
  <si>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</si>
  <si>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</si>
  <si>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</si>
  <si>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</si>
  <si>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</si>
  <si>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</si>
  <si>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</si>
  <si>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</si>
  <si>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</si>
  <si>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</si>
  <si>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</si>
  <si>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</si>
  <si>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</si>
  <si>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</si>
  <si>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</si>
  <si>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</si>
  <si>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</si>
  <si>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</si>
  <si>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</si>
  <si>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</si>
  <si>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</si>
  <si>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</si>
  <si>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</si>
  <si>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</si>
  <si>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</si>
  <si>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</si>
  <si>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</si>
  <si>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</si>
  <si>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</si>
  <si>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</si>
  <si>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</si>
  <si>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</si>
  <si>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</si>
  <si>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</si>
  <si>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</si>
  <si>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</si>
  <si>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</si>
  <si>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</si>
  <si>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</si>
  <si>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</si>
  <si>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</si>
  <si>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</si>
  <si>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</si>
  <si>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</si>
  <si>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</si>
  <si>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</si>
  <si>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</si>
  <si>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</si>
  <si>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</si>
  <si>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</si>
  <si>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</si>
  <si>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</si>
  <si>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</si>
  <si>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</si>
  <si>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</si>
  <si>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</si>
  <si>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</si>
  <si>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</si>
  <si>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</si>
  <si>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</si>
  <si>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</si>
  <si>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</si>
  <si>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</si>
  <si>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</si>
  <si>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</si>
  <si>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</si>
  <si>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</si>
  <si>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</si>
  <si>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</si>
  <si>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</si>
  <si>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</si>
  <si>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</si>
  <si>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</si>
  <si>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</si>
  <si>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</si>
  <si>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</si>
  <si>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</si>
  <si>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</si>
  <si>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</si>
  <si>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</si>
  <si>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</si>
  <si>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</si>
  <si>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</si>
  <si>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</si>
  <si>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</si>
  <si>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</si>
  <si>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</si>
  <si>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</si>
  <si>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</si>
  <si>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</si>
  <si>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</si>
  <si>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</si>
  <si>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</si>
  <si>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</si>
  <si>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</si>
  <si>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</si>
  <si>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</si>
  <si>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</si>
  <si>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</si>
  <si>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</si>
  <si>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</si>
  <si>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</si>
  <si>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</si>
  <si>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</si>
  <si>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</si>
  <si>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</si>
  <si>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</si>
  <si>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</si>
  <si>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</si>
  <si>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</si>
  <si>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</si>
  <si>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</si>
  <si>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</si>
  <si>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</si>
  <si>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</si>
  <si>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</si>
  <si>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</si>
  <si>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</si>
  <si>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</si>
  <si>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</si>
  <si>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</si>
  <si>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</si>
  <si>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</si>
  <si>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</si>
  <si>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</si>
  <si>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</si>
  <si>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</si>
  <si>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</si>
  <si>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</si>
  <si>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</si>
  <si>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</si>
  <si>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</si>
  <si>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</si>
  <si>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</si>
  <si>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</si>
  <si>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</si>
  <si>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</si>
  <si>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</si>
  <si>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</si>
  <si>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</si>
  <si>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</si>
  <si>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</si>
  <si>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</si>
  <si>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</si>
  <si>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</si>
  <si>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</si>
  <si>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</si>
  <si>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</si>
  <si>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</si>
  <si>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</si>
  <si>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</si>
  <si>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</si>
  <si>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</si>
  <si>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</si>
  <si>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</si>
  <si>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</si>
  <si>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</si>
  <si>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</si>
  <si>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</si>
  <si>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</si>
  <si>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</si>
  <si>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</si>
  <si>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</si>
  <si>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</si>
  <si>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</si>
  <si>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</si>
  <si>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</si>
  <si>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</si>
  <si>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</si>
  <si>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</si>
  <si>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</si>
  <si>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</si>
  <si>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</si>
  <si>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</si>
  <si>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</si>
  <si>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</si>
  <si>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</si>
  <si>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</si>
  <si>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</si>
  <si>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</si>
  <si>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</si>
  <si>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</si>
  <si>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</si>
  <si>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</si>
  <si>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</si>
  <si>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</si>
  <si>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</si>
  <si>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</si>
  <si>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</si>
  <si>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</si>
  <si>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</si>
  <si>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</si>
  <si>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</si>
  <si>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</si>
  <si>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</si>
  <si>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</si>
  <si>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</si>
  <si>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</si>
  <si>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</si>
  <si>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</si>
  <si>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</si>
  <si>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</si>
  <si>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</si>
  <si>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</si>
  <si>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</si>
  <si>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</si>
  <si>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</si>
  <si>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</si>
  <si>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</si>
  <si>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</si>
  <si>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</si>
  <si>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</si>
  <si>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</si>
  <si>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</si>
  <si>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</si>
  <si>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</si>
  <si>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</si>
  <si>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</si>
  <si>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</si>
  <si>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</si>
  <si>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</si>
  <si>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</si>
  <si>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</si>
  <si>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</si>
  <si>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</si>
  <si>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</si>
  <si>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</si>
  <si>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</si>
  <si>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</si>
  <si>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</si>
  <si>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</si>
  <si>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</si>
  <si>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</si>
  <si>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</si>
  <si>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</si>
  <si>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</si>
  <si>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</si>
  <si>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</si>
  <si>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</si>
  <si>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</si>
  <si>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</si>
  <si>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</si>
  <si>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</si>
  <si>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</si>
  <si>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</si>
  <si>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</si>
  <si>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</si>
  <si>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</si>
  <si>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</si>
  <si>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</si>
  <si>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</si>
  <si>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</si>
  <si>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</si>
  <si>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</si>
  <si>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</si>
  <si>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</si>
  <si>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</si>
  <si>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</si>
  <si>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</si>
  <si>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</si>
  <si>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</si>
  <si>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</si>
  <si>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</si>
  <si>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</si>
  <si>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</si>
  <si>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</si>
  <si>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</si>
  <si>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</si>
  <si>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</si>
  <si>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</si>
  <si>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</si>
  <si>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</si>
  <si>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</si>
  <si>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</si>
  <si>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</si>
  <si>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</si>
  <si>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</si>
  <si>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</si>
  <si>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</si>
  <si>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</si>
  <si>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</si>
  <si>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</si>
  <si>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</si>
  <si>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</si>
  <si>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</si>
  <si>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</si>
  <si>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</si>
  <si>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</si>
  <si>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</si>
  <si>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</si>
  <si>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</si>
  <si>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</si>
  <si>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</si>
  <si>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</si>
  <si>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</si>
  <si>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</si>
  <si>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</si>
  <si>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</si>
  <si>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</si>
  <si>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</si>
  <si>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</si>
  <si>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</si>
  <si>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</si>
  <si>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</si>
  <si>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</si>
  <si>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</si>
  <si>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</si>
  <si>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</si>
  <si>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</si>
  <si>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</si>
  <si>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</si>
  <si>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</si>
  <si>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</si>
  <si>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</si>
  <si>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</si>
  <si>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</si>
  <si>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</si>
  <si>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</si>
  <si>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</si>
  <si>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</si>
  <si>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</si>
  <si>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</si>
  <si>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</si>
  <si>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</si>
  <si>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</si>
  <si>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</si>
  <si>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</si>
  <si>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</si>
  <si>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</si>
  <si>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</si>
  <si>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</si>
  <si>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</si>
  <si>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</si>
  <si>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</si>
  <si>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</si>
  <si>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</si>
  <si>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</si>
  <si>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</si>
  <si>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</si>
  <si>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</si>
  <si>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</si>
  <si>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</si>
  <si>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</si>
  <si>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</si>
  <si>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</si>
  <si>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</si>
  <si>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</si>
  <si>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</si>
  <si>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</si>
  <si>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</si>
  <si>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</si>
  <si>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</si>
  <si>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</si>
  <si>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</si>
  <si>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</si>
  <si>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</si>
  <si>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</si>
  <si>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</si>
  <si>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</si>
  <si>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</si>
  <si>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</si>
  <si>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</si>
  <si>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</si>
  <si>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</si>
  <si>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</si>
  <si>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</si>
  <si>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</si>
  <si>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</si>
  <si>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</si>
  <si>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</si>
  <si>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</si>
  <si>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</si>
  <si>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</si>
  <si>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</si>
  <si>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</si>
  <si>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</si>
  <si>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</si>
  <si>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</si>
  <si>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</si>
  <si>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</si>
  <si>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</si>
  <si>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</si>
  <si>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</si>
  <si>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</si>
  <si>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</si>
  <si>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</si>
  <si>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</si>
  <si>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</si>
  <si>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</si>
  <si>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</si>
  <si>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</si>
  <si>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</si>
  <si>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</si>
  <si>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</si>
  <si>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</si>
  <si>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</si>
  <si>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</si>
  <si>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</si>
  <si>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</si>
  <si>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</si>
  <si>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</si>
  <si>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</si>
  <si>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</si>
  <si>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</si>
  <si>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</si>
  <si>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</si>
  <si>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</si>
  <si>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</si>
  <si>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</si>
  <si>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</si>
  <si>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</si>
  <si>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</si>
  <si>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</si>
  <si>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</si>
  <si>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</si>
  <si>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</si>
  <si>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</si>
  <si>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</si>
  <si>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</si>
  <si>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</si>
  <si>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</si>
  <si>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</si>
  <si>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</si>
  <si>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</si>
  <si>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</si>
  <si>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</si>
  <si>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</si>
  <si>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</si>
  <si>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</si>
  <si>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</si>
  <si>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</si>
  <si>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</si>
  <si>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</si>
  <si>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</si>
  <si>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</si>
  <si>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</si>
  <si>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</si>
  <si>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</si>
  <si>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</si>
  <si>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</si>
  <si>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</si>
  <si>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</si>
  <si>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</si>
  <si>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</si>
  <si>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</si>
  <si>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</si>
  <si>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</si>
  <si>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</si>
  <si>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</si>
  <si>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</si>
  <si>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</si>
  <si>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</si>
  <si>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</si>
  <si>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</si>
  <si>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</si>
  <si>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</si>
  <si>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</si>
  <si>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</si>
  <si>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</si>
  <si>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</si>
  <si>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</si>
  <si>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</si>
  <si>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</si>
  <si>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</si>
  <si>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</si>
  <si>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</si>
  <si>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</si>
  <si>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</si>
  <si>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</si>
  <si>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</si>
  <si>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</si>
  <si>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</si>
  <si>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</si>
  <si>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</si>
  <si>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</si>
  <si>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</si>
  <si>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</si>
  <si>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</si>
  <si>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</si>
  <si>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</si>
  <si>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</si>
  <si>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</si>
  <si>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</si>
  <si>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</si>
  <si>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</si>
  <si>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</si>
  <si>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</si>
  <si>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</si>
  <si>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</si>
  <si>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</si>
  <si>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</si>
  <si>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</si>
  <si>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</si>
  <si>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</si>
  <si>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</si>
  <si>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</si>
  <si>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</si>
  <si>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</si>
  <si>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</si>
  <si>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</si>
  <si>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</si>
  <si>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</si>
  <si>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</si>
  <si>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</si>
  <si>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</si>
  <si>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</si>
  <si>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</si>
  <si>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</si>
  <si>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</si>
  <si>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</si>
  <si>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</si>
  <si>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</si>
  <si>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</si>
  <si>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</si>
  <si>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</si>
  <si>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</si>
  <si>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</si>
  <si>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</si>
  <si>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</si>
  <si>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</si>
  <si>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</si>
  <si>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</si>
  <si>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</si>
  <si>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</si>
  <si>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</si>
  <si>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</si>
  <si>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</si>
  <si>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</si>
  <si>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</si>
  <si>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</si>
  <si>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</si>
  <si>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</si>
  <si>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</si>
  <si>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</si>
  <si>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</si>
  <si>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</si>
  <si>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</si>
  <si>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</si>
  <si>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</si>
  <si>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</si>
  <si>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</si>
  <si>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</si>
  <si>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</si>
  <si>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</si>
  <si>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</si>
  <si>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</si>
  <si>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</si>
  <si>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</si>
  <si>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</si>
  <si>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</si>
  <si>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</si>
  <si>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</si>
  <si>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</si>
  <si>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</si>
  <si>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</si>
  <si>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</si>
  <si>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</si>
  <si>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</si>
  <si>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</si>
  <si>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</si>
  <si>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</si>
  <si>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</si>
  <si>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</si>
  <si>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</si>
  <si>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</si>
  <si>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</si>
  <si>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</si>
  <si>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</si>
  <si>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</si>
  <si>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</si>
  <si>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</si>
  <si>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</si>
  <si>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</si>
  <si>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</si>
  <si>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</si>
  <si>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</si>
  <si>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</si>
  <si>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</si>
  <si>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</si>
  <si>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</si>
  <si>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</si>
  <si>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</si>
  <si>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</si>
  <si>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</si>
  <si>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</si>
  <si>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</si>
  <si>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</si>
  <si>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</si>
  <si>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</si>
  <si>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</si>
  <si>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</si>
  <si>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</si>
  <si>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</si>
  <si>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</si>
  <si>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</si>
  <si>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</si>
  <si>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</si>
  <si>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</si>
  <si>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</si>
  <si>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</si>
  <si>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</si>
  <si>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</si>
  <si>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</si>
  <si>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</si>
  <si>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</si>
  <si>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</si>
  <si>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</si>
  <si>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</si>
  <si>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</si>
  <si>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</si>
  <si>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</si>
  <si>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</si>
  <si>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</si>
  <si>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</si>
  <si>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</si>
  <si>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</si>
  <si>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</si>
  <si>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</si>
  <si>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</si>
  <si>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</si>
  <si>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</si>
  <si>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</si>
  <si>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</si>
  <si>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</si>
  <si>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</si>
  <si>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</si>
  <si>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</si>
  <si>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</si>
  <si>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</si>
  <si>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</si>
  <si>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</si>
  <si>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</si>
  <si>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</si>
  <si>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</si>
  <si>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</si>
  <si>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</si>
  <si>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</si>
  <si>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</si>
  <si>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</si>
  <si>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</si>
  <si>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</si>
  <si>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</si>
  <si>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</si>
  <si>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</si>
  <si>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</si>
  <si>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</si>
  <si>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</si>
  <si>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</si>
  <si>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</si>
  <si>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</si>
  <si>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</si>
  <si>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</si>
  <si>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</si>
  <si>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</si>
  <si>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</si>
  <si>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</si>
  <si>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</si>
  <si>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</si>
  <si>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</si>
  <si>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</si>
  <si>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</si>
  <si>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</si>
  <si>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</si>
  <si>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</si>
  <si>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</si>
  <si>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</si>
  <si>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</si>
  <si>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</si>
  <si>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</si>
  <si>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</si>
  <si>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</si>
  <si>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</si>
  <si>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</si>
  <si>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</si>
  <si>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</si>
  <si>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</si>
  <si>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</si>
  <si>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</si>
  <si>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</si>
  <si>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</si>
  <si>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</si>
  <si>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</si>
  <si>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</si>
  <si>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</si>
  <si>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</si>
  <si>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</si>
  <si>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</si>
  <si>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</si>
  <si>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</si>
  <si>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</si>
  <si>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</si>
  <si>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</si>
  <si>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</si>
  <si>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</si>
  <si>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</si>
  <si>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</si>
  <si>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</si>
  <si>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</si>
  <si>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</si>
  <si>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</si>
  <si>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</si>
  <si>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</si>
  <si>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</si>
  <si>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</si>
  <si>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</si>
  <si>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</si>
  <si>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</si>
  <si>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</si>
  <si>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</si>
  <si>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</si>
  <si>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</si>
  <si>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</si>
  <si>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</si>
  <si>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</si>
  <si>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</si>
  <si>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</si>
  <si>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</si>
  <si>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</si>
  <si>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</si>
  <si>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</si>
  <si>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</si>
  <si>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</si>
  <si>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</si>
  <si>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</si>
  <si>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</si>
  <si>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</si>
  <si>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</si>
  <si>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</si>
  <si>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</si>
  <si>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</si>
  <si>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</si>
  <si>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</si>
  <si>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</si>
  <si>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</si>
  <si>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</si>
  <si>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</si>
  <si>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</si>
  <si>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</si>
  <si>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</si>
  <si>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</si>
  <si>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</si>
  <si>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</si>
  <si>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</si>
  <si>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</si>
  <si>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</si>
  <si>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</si>
  <si>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</si>
  <si>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</si>
  <si>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</si>
  <si>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</si>
  <si>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</si>
  <si>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</si>
  <si>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</si>
  <si>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</si>
  <si>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</si>
  <si>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</si>
  <si>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</si>
  <si>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</si>
  <si>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</si>
  <si>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</si>
  <si>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</si>
  <si>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</si>
  <si>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</si>
  <si>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</si>
  <si>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</si>
  <si>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</si>
  <si>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</si>
  <si>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</si>
  <si>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</si>
  <si>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</si>
  <si>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</si>
  <si>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</si>
  <si>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</si>
  <si>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</si>
  <si>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</si>
  <si>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</si>
  <si>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</si>
  <si>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</si>
  <si>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</si>
  <si>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</si>
  <si>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</si>
  <si>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</si>
  <si>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</si>
  <si>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</si>
  <si>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</si>
  <si>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</si>
  <si>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</si>
  <si>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</si>
  <si>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</si>
  <si>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</si>
  <si>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</si>
  <si>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</si>
  <si>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</si>
  <si>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</si>
  <si>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</si>
  <si>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</si>
  <si>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</si>
  <si>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</si>
  <si>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</si>
  <si>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</si>
  <si>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</si>
  <si>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</si>
  <si>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</si>
  <si>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</si>
  <si>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</si>
  <si>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</si>
  <si>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</si>
  <si>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</si>
  <si>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</si>
  <si>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</si>
  <si>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</si>
  <si>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</si>
  <si>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</si>
  <si>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</si>
  <si>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</si>
  <si>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</si>
  <si>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</si>
  <si>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</si>
  <si>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</si>
  <si>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</si>
  <si>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</si>
  <si>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</si>
  <si>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</si>
  <si>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</si>
  <si>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</si>
  <si>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</si>
  <si>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</si>
  <si>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</si>
  <si>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</si>
  <si>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</si>
  <si>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</si>
  <si>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</si>
  <si>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</si>
  <si>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</si>
  <si>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</si>
  <si>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</si>
  <si>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</si>
  <si>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</si>
  <si>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</si>
  <si>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</si>
  <si>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</si>
  <si>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</si>
  <si>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</si>
  <si>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</si>
  <si>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</si>
  <si>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</si>
  <si>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</si>
  <si>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</si>
  <si>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</si>
  <si>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</si>
  <si>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</si>
  <si>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</si>
  <si>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</si>
  <si>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</si>
  <si>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</si>
  <si>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</si>
  <si>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</si>
  <si>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</si>
  <si>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</si>
  <si>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</si>
  <si>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</si>
  <si>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</si>
  <si>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</si>
  <si>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</si>
  <si>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</si>
  <si>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</si>
  <si>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</si>
  <si>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</si>
  <si>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</si>
  <si>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</si>
  <si>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</si>
  <si>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</si>
  <si>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</si>
  <si>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</si>
  <si>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</si>
  <si>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</si>
  <si>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</si>
  <si>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</si>
  <si>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</si>
  <si>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</si>
  <si>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</si>
  <si>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</si>
  <si>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</si>
  <si>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</si>
  <si>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</si>
  <si>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</si>
  <si>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</si>
  <si>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</si>
  <si>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</si>
  <si>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</si>
  <si>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</si>
  <si>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</si>
  <si>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</si>
  <si>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</si>
  <si>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</si>
  <si>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</si>
  <si>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</si>
  <si>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</si>
  <si>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</si>
  <si>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</si>
  <si>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</si>
  <si>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</si>
  <si>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</si>
  <si>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</si>
  <si>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</si>
  <si>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</si>
  <si>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</si>
  <si>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</si>
  <si>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</si>
  <si>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</si>
  <si>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</si>
  <si>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</si>
  <si>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</si>
  <si>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</si>
  <si>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</si>
  <si>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</si>
  <si>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</si>
  <si>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</si>
  <si>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</si>
  <si>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</si>
  <si>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</si>
  <si>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</si>
  <si>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</si>
  <si>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</si>
  <si>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</si>
  <si>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</si>
  <si>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</si>
  <si>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</si>
  <si>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</si>
  <si>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</si>
  <si>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</si>
  <si>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</si>
  <si>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</si>
  <si>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</si>
  <si>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</si>
  <si>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</si>
  <si>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</si>
  <si>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</si>
  <si>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</si>
  <si>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</si>
  <si>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</si>
  <si>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</si>
  <si>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</si>
  <si>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</si>
  <si>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</si>
  <si>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</si>
  <si>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</si>
  <si>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</si>
  <si>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</si>
  <si>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</si>
  <si>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</si>
  <si>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</si>
  <si>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</si>
  <si>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</si>
  <si>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</si>
  <si>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</si>
  <si>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</si>
  <si>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</si>
  <si>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</si>
  <si>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</si>
  <si>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</si>
  <si>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</si>
  <si>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</si>
  <si>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</si>
  <si>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</si>
  <si>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</si>
  <si>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</si>
  <si>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</si>
  <si>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</si>
  <si>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</si>
  <si>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</si>
  <si>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</si>
  <si>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</si>
  <si>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</si>
  <si>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</si>
  <si>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</si>
  <si>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</si>
  <si>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</si>
  <si>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</si>
  <si>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</si>
  <si>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</si>
  <si>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</si>
  <si>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</si>
  <si>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</si>
  <si>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</si>
  <si>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</si>
  <si>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</si>
  <si>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</si>
  <si>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</si>
  <si>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</si>
  <si>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</si>
  <si>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</si>
  <si>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</si>
  <si>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</si>
  <si>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</si>
  <si>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</si>
  <si>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</si>
  <si>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</si>
  <si>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</si>
  <si>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</si>
  <si>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</si>
  <si>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</si>
  <si>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</si>
  <si>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</si>
  <si>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</si>
  <si>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</si>
  <si>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</si>
  <si>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</si>
  <si>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</si>
  <si>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</si>
  <si>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</si>
  <si>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</si>
  <si>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</si>
  <si>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</si>
  <si>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</si>
  <si>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</si>
  <si>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</si>
  <si>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</si>
  <si>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</si>
  <si>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</si>
  <si>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</si>
  <si>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</si>
  <si>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</si>
  <si>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</si>
  <si>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</si>
  <si>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</si>
  <si>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</si>
  <si>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</si>
  <si>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</si>
  <si>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</si>
  <si>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</si>
  <si>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</si>
  <si>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</si>
  <si>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</si>
  <si>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</si>
  <si>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</si>
  <si>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</si>
  <si>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</si>
  <si>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</si>
  <si>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</si>
  <si>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</si>
  <si>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</si>
  <si>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</si>
  <si>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</si>
  <si>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</si>
  <si>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</si>
  <si>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</si>
  <si>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</si>
  <si>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</si>
  <si>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</si>
  <si>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</si>
  <si>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</si>
  <si>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</si>
  <si>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</si>
  <si>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</si>
  <si>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</si>
  <si>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</si>
  <si>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</si>
  <si>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</si>
  <si>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</si>
  <si>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</si>
  <si>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</si>
  <si>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</si>
  <si>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</si>
  <si>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</si>
  <si>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</si>
  <si>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</si>
  <si>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</si>
  <si>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</si>
  <si>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</si>
  <si>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</si>
  <si>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</si>
  <si>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</si>
  <si>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</si>
  <si>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</si>
  <si>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</si>
  <si>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</si>
  <si>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</si>
  <si>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</si>
  <si>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</si>
  <si>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</si>
  <si>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</si>
  <si>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</si>
  <si>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</si>
  <si>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</si>
  <si>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</si>
  <si>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</si>
  <si>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</si>
  <si>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</si>
  <si>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</si>
  <si>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</si>
  <si>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</si>
  <si>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</si>
  <si>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</si>
  <si>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</si>
  <si>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</si>
  <si>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</si>
  <si>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</si>
  <si>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</si>
  <si>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</si>
  <si>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</si>
  <si>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</si>
  <si>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</si>
  <si>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</si>
  <si>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</si>
  <si>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</si>
  <si>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</si>
  <si>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</si>
  <si>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</si>
  <si>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</si>
  <si>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</si>
  <si>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</si>
  <si>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</si>
  <si>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</si>
  <si>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</si>
  <si>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</si>
  <si>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</si>
  <si>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</si>
  <si>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</si>
  <si>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</si>
  <si>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</si>
  <si>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</si>
  <si>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</si>
  <si>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</si>
  <si>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</si>
  <si>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</si>
  <si>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</si>
  <si>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</si>
  <si>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</si>
  <si>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</si>
  <si>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</si>
  <si>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</si>
  <si>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</si>
  <si>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</si>
  <si>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</si>
  <si>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</si>
  <si>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</si>
  <si>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</si>
  <si>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</si>
  <si>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</si>
  <si>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</si>
  <si>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</si>
  <si>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</si>
  <si>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</si>
  <si>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</si>
  <si>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</si>
  <si>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</si>
  <si>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</si>
  <si>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</si>
  <si>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</si>
  <si>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</si>
  <si>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</si>
  <si>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</si>
  <si>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</si>
  <si>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</si>
  <si>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</si>
  <si>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</si>
  <si>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</si>
  <si>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</si>
  <si>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</si>
  <si>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</si>
  <si>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</si>
  <si>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</si>
  <si>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</si>
  <si>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</si>
  <si>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</si>
  <si>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</si>
  <si>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</si>
  <si>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</si>
  <si>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</si>
  <si>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</si>
  <si>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</si>
  <si>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</si>
  <si>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</si>
  <si>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</si>
  <si>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</si>
  <si>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</si>
  <si>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</si>
  <si>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</si>
  <si>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</si>
  <si>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</si>
  <si>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</si>
  <si>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</si>
  <si>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</si>
  <si>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</si>
  <si>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</si>
  <si>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</si>
  <si>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</si>
  <si>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</si>
  <si>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</si>
  <si>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</si>
  <si>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</si>
  <si>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</si>
  <si>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</si>
  <si>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</si>
  <si>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</si>
  <si>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</si>
  <si>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</si>
  <si>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</si>
  <si>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</si>
  <si>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</si>
  <si>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</si>
  <si>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</si>
  <si>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</si>
  <si>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</si>
  <si>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</si>
  <si>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</si>
  <si>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</si>
  <si>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</si>
  <si>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</si>
  <si>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</si>
  <si>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</si>
  <si>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</si>
  <si>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</si>
  <si>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</si>
  <si>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</si>
  <si>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</si>
  <si>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</si>
  <si>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</si>
  <si>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</si>
  <si>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</si>
  <si>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</si>
  <si>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</si>
  <si>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</si>
  <si>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</si>
  <si>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</si>
  <si>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</si>
  <si>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</si>
  <si>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</si>
  <si>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</si>
  <si>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</si>
  <si>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</si>
  <si>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</si>
  <si>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</si>
  <si>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</si>
  <si>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</si>
  <si>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</si>
  <si>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</si>
  <si>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</si>
  <si>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</si>
  <si>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</si>
  <si>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</si>
  <si>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</si>
  <si>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</si>
  <si>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</si>
  <si>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</si>
  <si>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</si>
  <si>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</si>
  <si>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</si>
  <si>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</si>
  <si>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</si>
  <si>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</si>
  <si>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</si>
  <si>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</si>
  <si>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</si>
  <si>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</si>
  <si>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</si>
  <si>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</si>
  <si>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</si>
  <si>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</si>
  <si>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</si>
  <si>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</si>
  <si>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</si>
  <si>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</si>
  <si>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</si>
  <si>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</si>
  <si>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</si>
  <si>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</si>
  <si>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</si>
  <si>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</si>
  <si>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</si>
  <si>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</si>
  <si>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</si>
  <si>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</si>
  <si>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</si>
  <si>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</si>
  <si>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</si>
  <si>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</si>
  <si>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</si>
  <si>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</si>
  <si>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</si>
  <si>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</si>
  <si>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</si>
  <si>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</si>
  <si>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</si>
  <si>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</si>
  <si>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</si>
  <si>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</si>
  <si>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</si>
  <si>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</si>
  <si>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</si>
  <si>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</si>
  <si>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</si>
  <si>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</si>
  <si>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</si>
  <si>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</si>
  <si>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</si>
  <si>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</si>
  <si>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</si>
  <si>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</si>
  <si>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</si>
  <si>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</si>
  <si>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</si>
  <si>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</si>
  <si>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</si>
  <si>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</si>
  <si>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</si>
  <si>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</si>
  <si>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</si>
  <si>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</si>
  <si>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</si>
  <si>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</si>
  <si>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</si>
  <si>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</si>
  <si>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</si>
  <si>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</si>
  <si>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</si>
  <si>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</si>
  <si>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</si>
  <si>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</si>
  <si>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</si>
  <si>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</si>
  <si>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</si>
  <si>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</si>
  <si>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</si>
  <si>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</si>
  <si>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</si>
  <si>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</si>
  <si>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</si>
  <si>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</si>
  <si>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</si>
  <si>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</si>
  <si>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</si>
  <si>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</si>
  <si>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</si>
  <si>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</si>
  <si>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</si>
  <si>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</si>
  <si>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</si>
  <si>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</si>
  <si>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</si>
  <si>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</si>
  <si>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</si>
  <si>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</si>
  <si>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</si>
  <si>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</si>
  <si>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</si>
  <si>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</si>
  <si>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</si>
  <si>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</si>
  <si>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</si>
  <si>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</si>
  <si>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</si>
  <si>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</si>
  <si>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</si>
  <si>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</si>
  <si>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</si>
  <si>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</si>
  <si>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</si>
  <si>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</si>
  <si>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</si>
  <si>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</si>
  <si>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</si>
  <si>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</si>
  <si>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</si>
  <si>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</si>
  <si>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</si>
  <si>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</si>
  <si>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</si>
  <si>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</si>
  <si>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</si>
  <si>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</si>
  <si>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</si>
  <si>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</si>
  <si>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</si>
  <si>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</si>
  <si>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</si>
  <si>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</si>
  <si>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</si>
  <si>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</si>
  <si>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</si>
  <si>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</si>
  <si>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</si>
  <si>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</si>
  <si>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</si>
  <si>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</si>
  <si>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</si>
  <si>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</si>
  <si>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</si>
  <si>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</si>
  <si>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</si>
  <si>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</si>
  <si>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</si>
  <si>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</si>
  <si>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</si>
  <si>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</si>
  <si>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</si>
  <si>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</si>
  <si>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</si>
  <si>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</si>
  <si>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</si>
  <si>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</si>
  <si>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</si>
  <si>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</si>
  <si>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</si>
  <si>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</si>
  <si>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</si>
  <si>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</si>
  <si>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</si>
  <si>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</si>
  <si>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</si>
  <si>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</si>
  <si>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</si>
  <si>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</si>
  <si>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</si>
  <si>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</si>
  <si>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</si>
  <si>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</si>
  <si>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</si>
  <si>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</si>
  <si>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</si>
  <si>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</si>
  <si>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</si>
  <si>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</si>
  <si>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</si>
  <si>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</si>
  <si>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</si>
  <si>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</si>
  <si>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</si>
  <si>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</si>
  <si>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</si>
  <si>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</si>
  <si>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</si>
  <si>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</si>
  <si>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</si>
  <si>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</si>
  <si>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</si>
  <si>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</si>
  <si>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</si>
  <si>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</si>
  <si>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</si>
  <si>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</si>
  <si>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</si>
  <si>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</si>
  <si>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</si>
  <si>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</si>
  <si>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</si>
  <si>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</si>
  <si>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</si>
  <si>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</si>
  <si>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</si>
  <si>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</si>
  <si>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</si>
  <si>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</si>
  <si>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</si>
  <si>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</si>
  <si>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</si>
  <si>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</si>
  <si>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</si>
  <si>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</si>
  <si>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</si>
  <si>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</si>
  <si>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</si>
  <si>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</si>
  <si>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</si>
  <si>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</si>
  <si>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</si>
  <si>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</si>
  <si>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</si>
  <si>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</si>
  <si>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</si>
  <si>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</si>
  <si>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</si>
  <si>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</si>
  <si>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</si>
  <si>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</si>
  <si>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</si>
  <si>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</si>
  <si>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</si>
  <si>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</si>
  <si>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</si>
  <si>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</si>
  <si>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</si>
  <si>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</si>
  <si>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</si>
  <si>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</si>
  <si>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</si>
  <si>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</si>
  <si>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</si>
  <si>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</si>
  <si>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</si>
  <si>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</si>
  <si>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</si>
  <si>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</si>
  <si>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</si>
  <si>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</si>
  <si>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</si>
  <si>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</si>
  <si>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</si>
  <si>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</si>
  <si>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</si>
  <si>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</si>
  <si>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</si>
  <si>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</si>
  <si>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</si>
  <si>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</si>
  <si>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</si>
  <si>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</si>
  <si>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</si>
  <si>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</si>
  <si>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</si>
  <si>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</si>
  <si>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</si>
  <si>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</si>
  <si>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</si>
  <si>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</si>
  <si>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</si>
  <si>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</si>
  <si>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</si>
  <si>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</si>
  <si>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</si>
  <si>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</si>
  <si>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</si>
  <si>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</si>
  <si>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</si>
  <si>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</si>
  <si>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</si>
  <si>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</si>
  <si>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</si>
  <si>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</si>
  <si>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</si>
  <si>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</si>
  <si>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</si>
  <si>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</si>
  <si>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</si>
  <si>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</si>
  <si>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</si>
  <si>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</si>
  <si>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</si>
  <si>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</si>
  <si>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</si>
  <si>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</si>
  <si>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</si>
  <si>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</si>
  <si>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</si>
  <si>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</si>
  <si>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</si>
  <si>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</si>
  <si>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</si>
  <si>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</si>
  <si>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</si>
  <si>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</si>
  <si>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</si>
  <si>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</si>
  <si>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</si>
  <si>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</si>
  <si>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</si>
  <si>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</si>
  <si>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</si>
  <si>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</si>
  <si>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</si>
  <si>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</si>
  <si>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</si>
  <si>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</si>
  <si>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</si>
  <si>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</si>
  <si>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</si>
  <si>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</si>
  <si>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</si>
  <si>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</si>
  <si>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</si>
  <si>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</si>
  <si>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</si>
  <si>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</si>
  <si>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</si>
  <si>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</si>
  <si>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</si>
  <si>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</si>
  <si>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</si>
  <si>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</si>
  <si>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</si>
  <si>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</si>
  <si>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</si>
  <si>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</si>
  <si>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</si>
  <si>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</si>
  <si>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</si>
  <si>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</si>
  <si>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</si>
  <si>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</si>
  <si>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</si>
  <si>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</si>
  <si>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</si>
  <si>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</si>
  <si>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</si>
  <si>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</si>
  <si>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</si>
  <si>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</si>
  <si>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</si>
  <si>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</si>
  <si>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</si>
  <si>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</si>
  <si>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</si>
  <si>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</si>
  <si>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</si>
  <si>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</si>
  <si>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</si>
  <si>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</si>
  <si>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</si>
  <si>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</si>
  <si>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</si>
  <si>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</si>
  <si>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</si>
  <si>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</si>
  <si>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</si>
  <si>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</si>
  <si>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</si>
  <si>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</si>
  <si>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</si>
  <si>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</si>
  <si>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</si>
  <si>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</si>
  <si>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</si>
  <si>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</si>
  <si>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</si>
  <si>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</si>
  <si>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</si>
  <si>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</si>
  <si>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</si>
  <si>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</si>
  <si>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</si>
  <si>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</si>
  <si>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</si>
  <si>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</si>
  <si>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</si>
  <si>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</si>
  <si>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</si>
  <si>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</si>
  <si>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</si>
  <si>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</si>
  <si>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</si>
  <si>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</si>
  <si>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</si>
  <si>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</si>
  <si>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</si>
  <si>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</si>
  <si>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</si>
  <si>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</si>
  <si>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</si>
  <si>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</si>
  <si>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</si>
  <si>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</si>
  <si>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</si>
  <si>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</si>
  <si>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</si>
  <si>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</si>
  <si>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</si>
  <si>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</si>
  <si>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</si>
  <si>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</si>
  <si>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</si>
  <si>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</si>
  <si>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</si>
  <si>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</si>
  <si>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</si>
  <si>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</si>
  <si>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</si>
  <si>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</si>
  <si>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</si>
  <si>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</si>
  <si>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</si>
  <si>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</si>
  <si>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</si>
  <si>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</si>
  <si>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</si>
  <si>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</si>
  <si>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</si>
  <si>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</si>
  <si>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</si>
  <si>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</si>
  <si>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</si>
  <si>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</si>
  <si>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</si>
  <si>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</si>
  <si>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</si>
  <si>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</si>
  <si>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</si>
  <si>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</si>
  <si>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</si>
  <si>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</si>
  <si>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</si>
  <si>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</si>
  <si>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</si>
  <si>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</si>
  <si>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</si>
  <si>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</si>
  <si>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</si>
  <si>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</si>
  <si>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</si>
  <si>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</si>
  <si>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</si>
  <si>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</si>
  <si>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</si>
  <si>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</si>
  <si>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</si>
  <si>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</si>
  <si>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</si>
  <si>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</si>
  <si>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</si>
  <si>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</si>
  <si>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</si>
  <si>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</si>
  <si>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</si>
  <si>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</si>
  <si>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</si>
  <si>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</si>
  <si>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</si>
  <si>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</si>
  <si>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</si>
  <si>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</si>
  <si>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</si>
  <si>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</si>
  <si>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</si>
  <si>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</si>
  <si>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</si>
  <si>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</si>
  <si>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</si>
  <si>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</si>
  <si>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</si>
  <si>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</si>
  <si>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</si>
  <si>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</si>
  <si>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</si>
  <si>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</si>
  <si>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</si>
  <si>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</si>
  <si>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</si>
  <si>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</si>
  <si>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</si>
  <si>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</si>
  <si>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</si>
  <si>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</si>
  <si>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</si>
  <si>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</si>
  <si>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</si>
  <si>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</si>
  <si>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</si>
  <si>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</si>
  <si>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</si>
  <si>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</si>
  <si>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</si>
  <si>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</si>
  <si>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</si>
  <si>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</si>
  <si>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</si>
  <si>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</si>
  <si>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</si>
  <si>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</si>
  <si>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</si>
  <si>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</si>
  <si>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</si>
  <si>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</si>
  <si>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</si>
  <si>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</si>
  <si>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</si>
  <si>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</si>
  <si>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</si>
  <si>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</si>
  <si>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</si>
  <si>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</si>
  <si>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</si>
  <si>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</si>
  <si>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</si>
  <si>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</si>
  <si>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</si>
  <si>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</si>
  <si>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</si>
  <si>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</si>
  <si>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</si>
  <si>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</si>
  <si>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</si>
  <si>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</si>
  <si>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</si>
  <si>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</si>
  <si>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</si>
  <si>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</si>
  <si>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</si>
  <si>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</si>
  <si>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</si>
  <si>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</si>
  <si>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</si>
  <si>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</si>
  <si>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</si>
  <si>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</si>
  <si>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</si>
  <si>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</si>
  <si>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</si>
  <si>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</si>
  <si>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</si>
  <si>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</si>
  <si>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</si>
  <si>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</si>
  <si>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</si>
  <si>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</si>
  <si>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</si>
  <si>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</si>
  <si>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</si>
  <si>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</si>
  <si>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</si>
  <si>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</si>
  <si>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</si>
  <si>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</si>
  <si>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</si>
  <si>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</si>
  <si>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</si>
  <si>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</si>
  <si>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</si>
  <si>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</si>
  <si>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</si>
  <si>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</si>
  <si>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</si>
  <si>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</si>
  <si>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</si>
  <si>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</si>
  <si>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</si>
  <si>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</si>
  <si>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</si>
  <si>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</si>
  <si>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</si>
  <si>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</si>
  <si>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</si>
  <si>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</si>
  <si>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</si>
  <si>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</si>
  <si>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</si>
  <si>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</si>
  <si>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</si>
  <si>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</si>
  <si>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</si>
  <si>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</si>
  <si>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</si>
  <si>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</si>
  <si>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</si>
  <si>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</si>
  <si>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</si>
  <si>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</si>
  <si>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</si>
  <si>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</si>
  <si>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</si>
  <si>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</si>
  <si>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</si>
  <si>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</si>
  <si>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</si>
  <si>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</si>
  <si>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</si>
  <si>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</si>
  <si>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</si>
  <si>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</si>
  <si>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</si>
  <si>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</si>
  <si>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</si>
  <si>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</si>
  <si>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</si>
  <si>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</si>
  <si>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</si>
  <si>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</si>
  <si>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</si>
  <si>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</si>
  <si>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</si>
  <si>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</si>
  <si>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</si>
  <si>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</si>
  <si>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</si>
  <si>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</si>
  <si>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</si>
  <si>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</si>
  <si>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</si>
  <si>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</si>
  <si>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</si>
  <si>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</si>
  <si>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</si>
  <si>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</si>
  <si>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</si>
  <si>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</si>
  <si>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</si>
  <si>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</si>
  <si>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</si>
  <si>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</si>
  <si>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</si>
  <si>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</si>
  <si>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</si>
  <si>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</si>
  <si>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</si>
  <si>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</si>
  <si>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</si>
  <si>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</si>
  <si>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</si>
  <si>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</si>
  <si>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</si>
  <si>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</si>
  <si>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</si>
  <si>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</si>
  <si>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</si>
  <si>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</si>
  <si>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</si>
  <si>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</si>
  <si>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</si>
  <si>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</si>
  <si>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</si>
  <si>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</si>
  <si>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</si>
  <si>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</si>
  <si>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</si>
  <si>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</si>
  <si>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</si>
  <si>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</si>
  <si>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</si>
  <si>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</si>
  <si>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</si>
  <si>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</si>
  <si>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</si>
  <si>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</si>
  <si>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</si>
  <si>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</si>
  <si>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</si>
  <si>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</si>
  <si>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</si>
  <si>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</si>
  <si>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</si>
  <si>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</si>
  <si>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</si>
  <si>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</si>
  <si>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</si>
  <si>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</si>
  <si>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</si>
  <si>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</si>
  <si>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</si>
  <si>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</si>
  <si>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</si>
  <si>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</si>
  <si>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</si>
  <si>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</si>
  <si>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</si>
  <si>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</si>
  <si>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</si>
  <si>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</si>
  <si>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</si>
  <si>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</si>
  <si>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</si>
  <si>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</si>
  <si>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</si>
  <si>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</si>
  <si>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</si>
  <si>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</si>
  <si>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</si>
  <si>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</si>
  <si>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</si>
  <si>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</si>
  <si>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</si>
  <si>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</si>
  <si>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</si>
  <si>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</si>
  <si>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</si>
  <si>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</si>
  <si>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</si>
  <si>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</si>
  <si>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</si>
  <si>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</si>
  <si>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</si>
  <si>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</si>
  <si>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KNOX, PEORIA, AND STARK</t>
  </si>
  <si>
    <t>325 WEST KENTUCKY</t>
  </si>
  <si>
    <t>WILLIAMSFIELD, ILLINOIS</t>
  </si>
  <si>
    <t>tim.farquer@billtown.org</t>
  </si>
  <si>
    <t>TIM FARQUER</t>
  </si>
  <si>
    <t>309-639-2219</t>
  </si>
  <si>
    <t>309-639-2618</t>
  </si>
  <si>
    <t>BLUCKER, KNEER &amp; ASSOCIATES, LTD.</t>
  </si>
  <si>
    <t>TERESA A. WELCH</t>
  </si>
  <si>
    <t>P.O. BOX 1464</t>
  </si>
  <si>
    <t>GALESBURG</t>
  </si>
  <si>
    <t>IL</t>
  </si>
  <si>
    <t>309-343-4156</t>
  </si>
  <si>
    <t>309-343-0174</t>
  </si>
  <si>
    <t>065-024137</t>
  </si>
  <si>
    <t>teresabka@gmail.com</t>
  </si>
  <si>
    <t>JODI SCOTT</t>
  </si>
  <si>
    <t>jscott@roe33.net</t>
  </si>
  <si>
    <t>309-734-6822</t>
  </si>
  <si>
    <t>309-734-2452</t>
  </si>
  <si>
    <t>2017 ALTERNATE REVENUE BONDS</t>
  </si>
  <si>
    <t>2019 GENERAL OBLIGATION BONDS</t>
  </si>
  <si>
    <t>TRANSPORTATION LEASE</t>
  </si>
  <si>
    <t>ALTERNATE REVENUE BONDS</t>
  </si>
  <si>
    <t>CAPITAL LEASE</t>
  </si>
  <si>
    <t>KNOX-WARREN SPECIAL EDUCATION COOPERATIVE</t>
  </si>
  <si>
    <t>2019 ALTERNATE REVENUE BONDS</t>
  </si>
  <si>
    <t>DELABAR/CARL SANDBURG COLLEGE</t>
  </si>
  <si>
    <t>MID-COUNTY ATHLETIC COOP=GALVA/ROWVA &amp; R-W COOP - ROWVA</t>
  </si>
  <si>
    <t>Duties of the school district personnel are to be segregated to recude the risk of error or fraud so that no one individual controls all key aspects of a transaction.  By doing this, the district ensures reliable funancial reporting, effective, and efficient operations, and compliance with applicable laws and regulations.</t>
  </si>
  <si>
    <t>A single individual controls most of the accounting functions includig those related to cash transactions, payroll, and general ledger.  This results in a lack of segregation of duties.</t>
  </si>
  <si>
    <t>Transactions could be altered by District personnel in error or in an effort to commit fraud.</t>
  </si>
  <si>
    <t>The number of personnel performing accounting functions limit the ability of the district to have adequate segregation of duties over accounting transactions.</t>
  </si>
  <si>
    <t>This type of weakness is common among school districts of this size and number of employees.  The finding could be elminiated by hiring additional staff and separating accounting duties.  However, this is not practical under current budget constraints.</t>
  </si>
  <si>
    <t>Due to the size of the district, the proposed corrective actions are not deemed practical.</t>
  </si>
  <si>
    <t>The above condition is an on going issue for the school district.</t>
  </si>
  <si>
    <t>Financial Statements are the responsibility of the client and should be prepared by them including footnotes.</t>
  </si>
  <si>
    <t>The District does not have an internal control system available or the personnel with the needed expertise and knowledge to prepare the financial statements.  The auditors draft the financial statemetns and notes.  The District's management review the draft financial statements.</t>
  </si>
  <si>
    <t>Management or employees in the normal course of performing their assigned functions may not prevent or detect financial statements mistatements in a timely manner.</t>
  </si>
  <si>
    <t>The District has no one with the necessary expertise to prepare the financial statements and footnotes.</t>
  </si>
  <si>
    <t>The District should retain an employee capable of preparing the Financial Statements and required footnotes.</t>
  </si>
  <si>
    <t>Due to the size of the district, it is the decision of management to accept this deficiency in light of the costs and other considerations.</t>
  </si>
  <si>
    <t>Per Illinois Compiled statutes, total fund expenditures may not legally exceed the District's budgeted amounts.</t>
  </si>
  <si>
    <t>For the year ending June 30, 2020, actual expenditures for the Education, Operation and Maintenance, Municipal Retirement/Social Security, and Fire Prevention and Safety funds exceeded the budget.</t>
  </si>
  <si>
    <t>The approved budget extablishes the authorized expenditures limitations in each fund.</t>
  </si>
  <si>
    <t>Actual expenditures exceeded the budget in several funds.</t>
  </si>
  <si>
    <t>The District did amend the budget,  however, actual expenditures still exceeded the budgeted amounts.</t>
  </si>
  <si>
    <t>The District will implement a better monitoring system between the budget and actual expenditures to ensure more oversight.</t>
  </si>
  <si>
    <t>2019-001</t>
  </si>
  <si>
    <t>Lack of Segregation of Duties</t>
  </si>
  <si>
    <t>Repeat Finding - Corrective Action is not practical</t>
  </si>
  <si>
    <t>under current financial environment.</t>
  </si>
  <si>
    <t>Financial Statements and footnote preparation</t>
  </si>
  <si>
    <t>to hire additional staff.</t>
  </si>
  <si>
    <t>2019-003</t>
  </si>
  <si>
    <t>Expenditures in excess of budget amounts</t>
  </si>
  <si>
    <t>2019-002</t>
  </si>
  <si>
    <t xml:space="preserve">Repeat Finding- Corrective Action is not practical </t>
  </si>
  <si>
    <t>implemented.</t>
  </si>
  <si>
    <t>Repeat Finding - Corrective Action is to be better</t>
  </si>
  <si>
    <t>A portion of the Corporate Personal Property Replacement Taxes must be deposited into the Municipal Retirement Fund to satisfy the lien requirment as per the Illinois Compiled Statutes.</t>
  </si>
  <si>
    <t>The District did not deposited the necessary Personal Property Replacement Tax monies into  the IMRF fund for the current fiscal year.</t>
  </si>
  <si>
    <t>Required per State of Illinois Compiled Statutes</t>
  </si>
  <si>
    <t xml:space="preserve"> The District is not in compilance with a state law.</t>
  </si>
  <si>
    <t>The District overlooked depositing the necessary tax monies into the required funds.</t>
  </si>
  <si>
    <t>A reminder needs to be established to ensure the PPRT monies are deposited into the correct funds as required.</t>
  </si>
  <si>
    <t xml:space="preserve"> The District Superintendent will place a reminder within his calendar to ensure the monies are deposited correctly in the future.</t>
  </si>
  <si>
    <t>No Contracts</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</si>
  <si>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</si>
  <si>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</si>
  <si>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</si>
  <si>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</si>
  <si>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</si>
  <si>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</si>
  <si>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</si>
  <si>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</si>
  <si>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</si>
  <si>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</si>
  <si>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</si>
  <si>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</si>
  <si>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</si>
  <si>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</si>
  <si>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</si>
  <si>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</si>
  <si>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</si>
  <si>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</si>
  <si>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</si>
  <si>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</si>
  <si>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</si>
  <si>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</si>
  <si>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</si>
  <si>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</si>
  <si>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</si>
  <si>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</si>
  <si>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</si>
  <si>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</si>
  <si>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</si>
  <si>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</si>
  <si>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</si>
  <si>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</si>
  <si>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</si>
  <si>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</si>
  <si>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</si>
  <si>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</si>
  <si>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</si>
  <si>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 xml:space="preserve">Per Illinois Compiled statutes, school board members, and administrators must file an economic interest statements with the county clerk. </t>
  </si>
  <si>
    <t>District officials did not comply will State Statutes.</t>
  </si>
  <si>
    <t>District is not in compliance with the Illinois Government Ethics Act.</t>
  </si>
  <si>
    <t xml:space="preserve">A policy should be established where the administration follows up and ensures that the  Economic Interest Statements have been submitted to the county clerk's office. </t>
  </si>
  <si>
    <t>The District will implement a better monitoring system to ensure all the required economic interest statements have been submitted.</t>
  </si>
  <si>
    <t xml:space="preserve">For the year ending June 30, 2020, five school board members did not return the required economic interest statements with the Knox County Clerks office. </t>
  </si>
  <si>
    <t>Five School Board members did not return the required economic interest statements.</t>
  </si>
  <si>
    <t>2019-004</t>
  </si>
  <si>
    <t>Lack of Economic Interest Statements</t>
  </si>
  <si>
    <t xml:space="preserve">    Education</t>
  </si>
  <si>
    <t>Page 8 - $ (500) Change in Reserved Fund Balance for Scholarship given.</t>
  </si>
  <si>
    <t>Page 11 - #1999 - $153 - Other Miscellaeneous receipts</t>
  </si>
  <si>
    <t xml:space="preserve">     Operation and Maintenance</t>
  </si>
  <si>
    <t>Page 11 - #1999 - $246 - Other Miscellaeneous receipts</t>
  </si>
  <si>
    <t xml:space="preserve">    Transportation</t>
  </si>
  <si>
    <t>Page 11 - #1999 - $2,307 - Sale of property</t>
  </si>
  <si>
    <t>Page 14, # 4998 - $21,664 - REAP Grant Receipts</t>
  </si>
  <si>
    <t>Page 15, #2190- Technology Costs #100 - $61,951, #200-$6,346, #300-$1,582, #400-$20,267, #500 $8,378</t>
  </si>
  <si>
    <t xml:space="preserve">    Debt Service</t>
  </si>
  <si>
    <t>Page 18 - #5400 - $1000- Bond Ageent Fees</t>
  </si>
  <si>
    <t xml:space="preserve">    Municipal Retirement/Social Security </t>
  </si>
  <si>
    <t>Page 19 - #2190 - $11,670 - Benefits for Technology Salaries.</t>
  </si>
  <si>
    <t>Teresa A. Welch</t>
  </si>
  <si>
    <t xml:space="preserve">   Williamsfield CUSD 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</si>
</sst>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72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3" fillId="0" borderId="155" xfId="19" applyFont="1" applyBorder="1" applyAlignment="1" applyProtection="1">
      <alignment vertical="top"/>
      <protection locked="0"/>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0" xfId="3" applyFont="1" applyAlignment="1">
      <alignment horizontal="center" vertical="center"/>
    </xf>
    <xf numFmtId="0" fontId="54" fillId="0" borderId="0" xfId="3" applyFont="1" applyAlignment="1" applyProtection="1">
      <alignment horizontal="center" vertical="center"/>
    </xf>
    <xf numFmtId="0" fontId="2" fillId="0" borderId="155" xfId="19" applyFont="1" applyBorder="1" applyAlignment="1" applyProtection="1">
      <alignment horizontal="left" vertical="top" wrapText="1"/>
      <protection locked="0"/>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2" fillId="0" borderId="0" xfId="20"/>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65" fillId="26" borderId="190" xfId="20" applyNumberFormat="1" applyFont="1" applyFill="1" applyBorder="1" applyAlignment="1" applyProtection="1">
      <alignment horizontal="center"/>
      <protection locked="0"/>
    </xf>
    <xf numFmtId="38" fontId="57" fillId="0" borderId="191"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3" xfId="20" applyFont="1" applyBorder="1" applyAlignment="1">
      <alignment horizontal="center"/>
    </xf>
    <xf numFmtId="38" fontId="65" fillId="26" borderId="194" xfId="20" applyNumberFormat="1" applyFont="1" applyFill="1" applyBorder="1" applyAlignment="1" applyProtection="1">
      <alignment horizontal="center"/>
      <protection locked="0"/>
    </xf>
    <xf numFmtId="38" fontId="57" fillId="0" borderId="195" xfId="20" applyNumberFormat="1" applyFont="1" applyBorder="1" applyAlignment="1" applyProtection="1">
      <alignment horizontal="center"/>
      <protection locked="0"/>
    </xf>
    <xf numFmtId="38" fontId="57" fillId="0" borderId="193"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xf numFmtId="0" fontId="143" fillId="0" borderId="0" xfId="20" applyFont="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0" fontId="54" fillId="0" borderId="0" xfId="3" applyFont="1" applyAlignment="1" applyProtection="1">
      <alignment horizontal="center" vertical="center"/>
    </xf>
    <xf numFmtId="0" fontId="57" fillId="0" borderId="78" xfId="0" applyFont="1" applyBorder="1"/>
    <xf numFmtId="14" fontId="57" fillId="0" borderId="0" xfId="3" applyNumberFormat="1" applyFont="1" applyBorder="1" applyProtection="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88" xfId="20" applyFont="1" applyBorder="1"/>
    <xf numFmtId="0" fontId="57" fillId="0" borderId="189" xfId="20" applyFont="1" applyBorder="1"/>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applyAlignment="1">
      <alignment wrapText="1"/>
    </xf>
    <xf numFmtId="0" fontId="57" fillId="0" borderId="189" xfId="20" applyFont="1" applyBorder="1" applyAlignment="1">
      <alignment wrapText="1"/>
    </xf>
    <xf numFmtId="0" fontId="144" fillId="0" borderId="0" xfId="20" applyFont="1" applyAlignment="1">
      <alignment horizontal="left" vertical="center" wrapText="1"/>
    </xf>
    <xf numFmtId="0" fontId="101" fillId="0" borderId="0" xfId="20" applyFont="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92" xfId="20" applyFont="1" applyBorder="1"/>
    <xf numFmtId="0" fontId="57" fillId="0" borderId="193" xfId="20" applyFont="1" applyBorder="1"/>
    <xf numFmtId="0" fontId="65" fillId="0" borderId="180" xfId="20" applyFont="1" applyBorder="1"/>
    <xf numFmtId="0" fontId="65" fillId="0" borderId="77" xfId="20" applyFont="1" applyBorder="1"/>
    <xf numFmtId="0" fontId="144" fillId="0" borderId="168" xfId="20"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6B80F006-2158-4C28-9908-C82BA554FF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CC"/>
      <color rgb="FF99FF33"/>
      <color rgb="FFC0C0C0"/>
      <color rgb="FFFFFFCC"/>
      <color rgb="FFFFFF99"/>
      <color rgb="FFFDDFC7"/>
      <color rgb="FFFF9966"/>
      <color rgb="FFDDDDDD"/>
      <color rgb="FFFFCC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4</xdr:row>
          <xdr:rowOff>0</xdr:rowOff>
        </xdr:from>
        <xdr:to>
          <xdr:col>3</xdr:col>
          <xdr:colOff>304800</xdr:colOff>
          <xdr:row>8</xdr:row>
          <xdr:rowOff>123825</xdr:rowOff>
        </xdr:to>
        <xdr:sp macro="" textlink="">
          <xdr:nvSpPr>
            <xdr:cNvPr id="47106" name="Object 2" hidden="1">
              <a:extLst>
                <a:ext uri="{63B3BB69-23CF-44E3-9099-C40C66FF867C}">
                  <a14:compatExt spid="_x0000_s47106"/>
                </a:ext>
                <a:ext uri="{FF2B5EF4-FFF2-40B4-BE49-F238E27FC236}">
                  <a16:creationId xmlns:a16="http://schemas.microsoft.com/office/drawing/2014/main" id="{00000000-0008-0000-1500-000002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123825</xdr:rowOff>
        </xdr:to>
        <xdr:sp macro="" textlink="">
          <xdr:nvSpPr>
            <xdr:cNvPr id="47107" name="Object 3" hidden="1">
              <a:extLst>
                <a:ext uri="{63B3BB69-23CF-44E3-9099-C40C66FF867C}">
                  <a14:compatExt spid="_x0000_s47107"/>
                </a:ext>
                <a:ext uri="{FF2B5EF4-FFF2-40B4-BE49-F238E27FC236}">
                  <a16:creationId xmlns:a16="http://schemas.microsoft.com/office/drawing/2014/main" id="{00000000-0008-0000-1500-000003B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FF00"/>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2">
        <f>+'AFR20'!E4</f>
        <v>44119</v>
      </c>
      <c r="C1" s="2112"/>
      <c r="D1" s="2113"/>
      <c r="I1" s="2191" t="s">
        <v>402</v>
      </c>
      <c r="J1" s="2192"/>
      <c r="K1" s="2192"/>
      <c r="L1" s="2192"/>
      <c r="M1" s="2192"/>
      <c r="N1" s="2192"/>
      <c r="O1" s="2192"/>
      <c r="P1" s="2192"/>
      <c r="Q1" s="2192"/>
      <c r="R1" s="2192"/>
      <c r="S1" s="2192"/>
    </row>
    <row r="2" spans="1:32" ht="12" customHeight="1" x14ac:dyDescent="0.2">
      <c r="A2" s="1889" t="str">
        <f>"Due to ISBE on "</f>
        <v xml:space="preserve">Due to ISBE on </v>
      </c>
      <c r="B2" s="2114">
        <f>+'AFR20'!F4</f>
        <v>44151</v>
      </c>
      <c r="C2" s="2114"/>
      <c r="D2" s="2115"/>
      <c r="I2" s="2193" t="s">
        <v>2006</v>
      </c>
      <c r="J2" s="2192"/>
      <c r="K2" s="2192"/>
      <c r="L2" s="2192"/>
      <c r="M2" s="2192"/>
      <c r="N2" s="2192"/>
      <c r="O2" s="2192"/>
      <c r="P2" s="2192"/>
      <c r="Q2" s="2192"/>
      <c r="R2" s="2192"/>
      <c r="S2" s="2192"/>
    </row>
    <row r="3" spans="1:32" ht="12" customHeight="1" x14ac:dyDescent="0.2">
      <c r="A3" s="1892" t="str">
        <f>"SD/JA"&amp;MID('AFR20'!E2,3,2)</f>
        <v>SD/JA20</v>
      </c>
      <c r="B3" s="151"/>
      <c r="C3" s="151"/>
      <c r="D3" s="152"/>
      <c r="I3" s="2193" t="s">
        <v>52</v>
      </c>
      <c r="J3" s="2192"/>
      <c r="K3" s="2192"/>
      <c r="L3" s="2192"/>
      <c r="M3" s="2192"/>
      <c r="N3" s="2192"/>
      <c r="O3" s="2192"/>
      <c r="P3" s="2192"/>
      <c r="Q3" s="2192"/>
      <c r="R3" s="2192"/>
      <c r="S3" s="2192"/>
    </row>
    <row r="4" spans="1:32" ht="12" customHeight="1" x14ac:dyDescent="0.2">
      <c r="A4" s="37"/>
      <c r="I4" s="2193" t="s">
        <v>521</v>
      </c>
      <c r="J4" s="2192"/>
      <c r="K4" s="2192"/>
      <c r="L4" s="2192"/>
      <c r="M4" s="2192"/>
      <c r="N4" s="2192"/>
      <c r="O4" s="2192"/>
      <c r="P4" s="2192"/>
      <c r="Q4" s="2192"/>
      <c r="R4" s="2192"/>
      <c r="S4" s="2192"/>
    </row>
    <row r="5" spans="1:32" ht="14.1" customHeight="1" x14ac:dyDescent="0.2">
      <c r="B5" s="101" t="s">
        <v>2021</v>
      </c>
      <c r="C5" s="26" t="s">
        <v>904</v>
      </c>
      <c r="D5" s="81"/>
      <c r="E5" s="81"/>
      <c r="H5" s="38"/>
      <c r="I5" s="2200" t="s">
        <v>675</v>
      </c>
      <c r="J5" s="2145"/>
      <c r="K5" s="2145"/>
      <c r="L5" s="2145"/>
      <c r="M5" s="2145"/>
      <c r="N5" s="2145"/>
      <c r="O5" s="2145"/>
      <c r="P5" s="2145"/>
      <c r="Q5" s="2145"/>
      <c r="R5" s="2145"/>
      <c r="S5" s="2145"/>
      <c r="AF5" s="1885"/>
    </row>
    <row r="6" spans="1:32" ht="14.1" customHeight="1" x14ac:dyDescent="0.2">
      <c r="B6" s="101"/>
      <c r="C6" s="26" t="s">
        <v>905</v>
      </c>
      <c r="D6" s="81"/>
      <c r="E6" s="81"/>
      <c r="I6" s="2199" t="s">
        <v>877</v>
      </c>
      <c r="J6" s="2145"/>
      <c r="K6" s="2145"/>
      <c r="L6" s="2145"/>
      <c r="M6" s="2145"/>
      <c r="N6" s="2145"/>
      <c r="O6" s="2145"/>
      <c r="P6" s="2145"/>
      <c r="Q6" s="2145"/>
      <c r="R6" s="2145"/>
      <c r="S6" s="2145"/>
    </row>
    <row r="7" spans="1:32" ht="12.2" customHeight="1" x14ac:dyDescent="0.2">
      <c r="I7" s="2194" t="str">
        <f>"June 30, "&amp;'AFR20'!E2</f>
        <v>June 30, 2020</v>
      </c>
      <c r="J7" s="2195"/>
      <c r="K7" s="2195"/>
      <c r="L7" s="2195"/>
      <c r="M7" s="2195"/>
      <c r="N7" s="2195"/>
      <c r="O7" s="2195"/>
      <c r="P7" s="2195"/>
      <c r="Q7" s="2195"/>
      <c r="R7" s="2195"/>
      <c r="S7" s="219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6" t="s">
        <v>669</v>
      </c>
      <c r="J9" s="2197"/>
      <c r="K9" s="2197"/>
      <c r="L9" s="2197"/>
      <c r="M9" s="2197"/>
      <c r="N9" s="2197"/>
      <c r="O9" s="2197"/>
      <c r="P9" s="2197"/>
      <c r="Q9" s="2197"/>
      <c r="R9" s="2197"/>
      <c r="S9" s="2198"/>
      <c r="T9" s="2141" t="s">
        <v>530</v>
      </c>
      <c r="U9" s="2142"/>
      <c r="V9" s="2142"/>
      <c r="W9" s="2142"/>
      <c r="X9" s="2142"/>
      <c r="Y9" s="2142"/>
      <c r="Z9" s="2142"/>
      <c r="AA9" s="2143"/>
    </row>
    <row r="10" spans="1:32" ht="13.5" customHeight="1" x14ac:dyDescent="0.2">
      <c r="A10" s="2150" t="s">
        <v>670</v>
      </c>
      <c r="B10" s="2151"/>
      <c r="C10" s="2151"/>
      <c r="D10" s="2151"/>
      <c r="E10" s="2151"/>
      <c r="F10" s="2151"/>
      <c r="G10" s="2151"/>
      <c r="H10" s="2152"/>
      <c r="I10" s="29"/>
      <c r="J10" s="30"/>
      <c r="K10" s="28"/>
      <c r="R10" s="30"/>
      <c r="S10" s="30"/>
      <c r="T10" s="2144"/>
      <c r="U10" s="2145"/>
      <c r="V10" s="2145"/>
      <c r="W10" s="2145"/>
      <c r="X10" s="2145"/>
      <c r="Y10" s="2145"/>
      <c r="Z10" s="2145"/>
      <c r="AA10" s="2146"/>
    </row>
    <row r="11" spans="1:32" ht="14.25" customHeight="1" x14ac:dyDescent="0.2">
      <c r="A11" s="2153" t="s">
        <v>949</v>
      </c>
      <c r="B11" s="2154"/>
      <c r="C11" s="2154"/>
      <c r="D11" s="2154"/>
      <c r="E11" s="2154"/>
      <c r="F11" s="2154"/>
      <c r="G11" s="2154"/>
      <c r="H11" s="2155"/>
      <c r="I11" s="27"/>
      <c r="J11" s="71"/>
      <c r="K11" s="27"/>
      <c r="O11" s="144" t="s">
        <v>2021</v>
      </c>
      <c r="P11" s="97" t="s">
        <v>199</v>
      </c>
      <c r="Q11" s="30"/>
      <c r="R11" s="28"/>
      <c r="S11" s="27"/>
      <c r="T11" s="2147"/>
      <c r="U11" s="2148"/>
      <c r="V11" s="2148"/>
      <c r="W11" s="2148"/>
      <c r="X11" s="2148"/>
      <c r="Y11" s="2148"/>
      <c r="Z11" s="2148"/>
      <c r="AA11" s="214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61">
        <v>33048210026</v>
      </c>
      <c r="B13" s="2162"/>
      <c r="C13" s="2162"/>
      <c r="D13" s="2162"/>
      <c r="E13" s="2162"/>
      <c r="F13" s="2162"/>
      <c r="G13" s="2162"/>
      <c r="H13" s="2163"/>
      <c r="I13" s="31"/>
      <c r="J13" s="30"/>
      <c r="K13" s="28"/>
      <c r="L13" s="30"/>
      <c r="M13" s="30"/>
      <c r="N13" s="30"/>
      <c r="O13" s="30"/>
      <c r="P13" s="30"/>
      <c r="Q13" s="30"/>
      <c r="R13" s="30"/>
      <c r="S13" s="30"/>
      <c r="T13" s="2166" t="s">
        <v>2029</v>
      </c>
      <c r="U13" s="2167"/>
      <c r="V13" s="2167"/>
      <c r="W13" s="2167"/>
      <c r="X13" s="2167"/>
      <c r="Y13" s="2168"/>
      <c r="Z13" s="2168"/>
      <c r="AA13" s="2169"/>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59" t="s">
        <v>2022</v>
      </c>
      <c r="B15" s="2164"/>
      <c r="C15" s="2164"/>
      <c r="D15" s="2164"/>
      <c r="E15" s="2164"/>
      <c r="F15" s="2164"/>
      <c r="G15" s="2164"/>
      <c r="H15" s="2165"/>
      <c r="T15" s="2127" t="s">
        <v>2030</v>
      </c>
      <c r="U15" s="2128"/>
      <c r="V15" s="2128"/>
      <c r="W15" s="2128"/>
      <c r="X15" s="2128"/>
      <c r="Y15" s="2170"/>
      <c r="Z15" s="2170"/>
      <c r="AA15" s="217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9" t="s">
        <v>2150</v>
      </c>
      <c r="B17" s="2189"/>
      <c r="C17" s="2189"/>
      <c r="D17" s="2189"/>
      <c r="E17" s="2189"/>
      <c r="F17" s="2189"/>
      <c r="G17" s="2189"/>
      <c r="H17" s="2190"/>
      <c r="T17" s="2176" t="s">
        <v>2031</v>
      </c>
      <c r="U17" s="2177"/>
      <c r="V17" s="2177"/>
      <c r="W17" s="2177"/>
      <c r="X17" s="2177"/>
      <c r="Y17" s="2177"/>
      <c r="Z17" s="2177"/>
      <c r="AA17" s="2178"/>
    </row>
    <row r="18" spans="1:27" ht="13.5" customHeight="1" x14ac:dyDescent="0.2">
      <c r="A18" s="82" t="s">
        <v>527</v>
      </c>
      <c r="B18" s="73"/>
      <c r="C18" s="69"/>
      <c r="D18" s="73"/>
      <c r="E18" s="73"/>
      <c r="F18" s="73"/>
      <c r="G18" s="73"/>
      <c r="H18" s="53"/>
      <c r="I18" s="2186" t="s">
        <v>671</v>
      </c>
      <c r="J18" s="2187"/>
      <c r="K18" s="2187"/>
      <c r="L18" s="2187"/>
      <c r="M18" s="2187"/>
      <c r="N18" s="2187"/>
      <c r="O18" s="2187"/>
      <c r="P18" s="2187"/>
      <c r="Q18" s="2187"/>
      <c r="R18" s="2187"/>
      <c r="S18" s="2188"/>
      <c r="T18" s="82" t="s">
        <v>706</v>
      </c>
      <c r="U18" s="48"/>
      <c r="V18" s="69"/>
      <c r="W18" s="47"/>
      <c r="X18" s="82" t="s">
        <v>264</v>
      </c>
      <c r="Y18" s="78"/>
      <c r="Z18" s="154" t="s">
        <v>672</v>
      </c>
      <c r="AA18" s="44"/>
    </row>
    <row r="19" spans="1:27" ht="13.5" customHeight="1" x14ac:dyDescent="0.2">
      <c r="A19" s="2159" t="s">
        <v>2023</v>
      </c>
      <c r="B19" s="2160"/>
      <c r="C19" s="2160"/>
      <c r="D19" s="2160"/>
      <c r="E19" s="2160"/>
      <c r="F19" s="2160"/>
      <c r="G19" s="2160"/>
      <c r="H19" s="2158"/>
      <c r="I19" s="30"/>
      <c r="J19" s="96"/>
      <c r="K19" s="40"/>
      <c r="L19" s="38"/>
      <c r="M19" s="109" t="s">
        <v>312</v>
      </c>
      <c r="P19" s="27"/>
      <c r="Q19" s="27"/>
      <c r="R19" s="27"/>
      <c r="S19" s="31"/>
      <c r="T19" s="2159" t="s">
        <v>2032</v>
      </c>
      <c r="U19" s="2157"/>
      <c r="V19" s="2157"/>
      <c r="W19" s="2158"/>
      <c r="X19" s="2174" t="s">
        <v>2033</v>
      </c>
      <c r="Y19" s="2175"/>
      <c r="Z19" s="2172">
        <v>61401</v>
      </c>
      <c r="AA19" s="217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56" t="s">
        <v>2024</v>
      </c>
      <c r="B21" s="2157"/>
      <c r="C21" s="2157"/>
      <c r="D21" s="2157"/>
      <c r="E21" s="2157"/>
      <c r="F21" s="2157"/>
      <c r="G21" s="2157"/>
      <c r="H21" s="2158"/>
      <c r="I21" s="2182" t="s">
        <v>673</v>
      </c>
      <c r="J21" s="2145"/>
      <c r="K21" s="2145"/>
      <c r="L21" s="2145"/>
      <c r="M21" s="2145"/>
      <c r="N21" s="2145"/>
      <c r="O21" s="2145"/>
      <c r="P21" s="2145"/>
      <c r="Q21" s="2145"/>
      <c r="R21" s="2145"/>
      <c r="S21" s="2146"/>
      <c r="T21" s="2124" t="s">
        <v>2034</v>
      </c>
      <c r="U21" s="2125"/>
      <c r="V21" s="2125"/>
      <c r="W21" s="2125"/>
      <c r="X21" s="2138" t="s">
        <v>2035</v>
      </c>
      <c r="Y21" s="2139"/>
      <c r="Z21" s="2139"/>
      <c r="AA21" s="2140"/>
    </row>
    <row r="22" spans="1:27" ht="13.5" customHeight="1" x14ac:dyDescent="0.2">
      <c r="A22" s="84" t="s">
        <v>528</v>
      </c>
      <c r="B22" s="56"/>
      <c r="C22" s="56"/>
      <c r="D22" s="56"/>
      <c r="E22" s="56"/>
      <c r="F22" s="56"/>
      <c r="G22" s="56"/>
      <c r="H22" s="57"/>
      <c r="I22" s="2183" t="s">
        <v>1415</v>
      </c>
      <c r="J22" s="2184"/>
      <c r="K22" s="2184"/>
      <c r="L22" s="2184"/>
      <c r="M22" s="2184"/>
      <c r="N22" s="2184"/>
      <c r="O22" s="2184"/>
      <c r="P22" s="2184"/>
      <c r="Q22" s="2184"/>
      <c r="R22" s="2184"/>
      <c r="S22" s="2185"/>
      <c r="T22" s="82" t="s">
        <v>1502</v>
      </c>
      <c r="U22" s="48"/>
      <c r="V22" s="69"/>
      <c r="W22" s="48"/>
      <c r="X22" s="155" t="s">
        <v>1309</v>
      </c>
      <c r="Z22" s="43"/>
      <c r="AA22" s="44"/>
    </row>
    <row r="23" spans="1:27" ht="13.5" customHeight="1" x14ac:dyDescent="0.2">
      <c r="A23" s="2179" t="s">
        <v>2025</v>
      </c>
      <c r="B23" s="2180"/>
      <c r="C23" s="2180"/>
      <c r="D23" s="2180"/>
      <c r="E23" s="2180"/>
      <c r="F23" s="2180"/>
      <c r="G23" s="2180"/>
      <c r="H23" s="2181"/>
      <c r="T23" s="2119" t="s">
        <v>2036</v>
      </c>
      <c r="U23" s="2120"/>
      <c r="V23" s="2120"/>
      <c r="W23" s="2120"/>
      <c r="X23" s="2135">
        <v>44469</v>
      </c>
      <c r="Y23" s="2136"/>
      <c r="Z23" s="2136"/>
      <c r="AA23" s="2137"/>
    </row>
    <row r="24" spans="1:27" ht="14.1" customHeight="1" x14ac:dyDescent="0.2">
      <c r="A24" s="85" t="s">
        <v>672</v>
      </c>
      <c r="B24" s="46"/>
      <c r="C24" s="46"/>
      <c r="D24" s="46"/>
      <c r="E24" s="46"/>
      <c r="F24" s="46"/>
      <c r="G24" s="46"/>
      <c r="H24" s="58"/>
      <c r="J24" s="2221">
        <f>IF(B5="x",IF(AUDITCHECK!D29="AFR form Incomplete.","",IF(AUDITCHECK!D29="Deficit reduction plan is required.","School District must complete a deficit reduction plan in the 2019-2020 Budget",)),"")</f>
        <v>0</v>
      </c>
      <c r="K24" s="2221"/>
      <c r="L24" s="2221"/>
      <c r="M24" s="2221"/>
      <c r="N24" s="2221"/>
      <c r="O24" s="2221"/>
      <c r="P24" s="2221"/>
      <c r="Q24" s="2221"/>
      <c r="R24" s="2221"/>
      <c r="S24" s="2222"/>
      <c r="T24" s="102" t="s">
        <v>528</v>
      </c>
      <c r="U24" s="103"/>
      <c r="V24" s="103"/>
      <c r="W24" s="103"/>
      <c r="X24" s="104"/>
      <c r="Y24" s="104"/>
      <c r="Z24" s="104"/>
      <c r="AA24" s="105"/>
    </row>
    <row r="25" spans="1:27" ht="14.1" customHeight="1" x14ac:dyDescent="0.2">
      <c r="A25" s="2156">
        <v>61489</v>
      </c>
      <c r="B25" s="2157"/>
      <c r="C25" s="2157"/>
      <c r="D25" s="2157"/>
      <c r="E25" s="2157"/>
      <c r="F25" s="2157"/>
      <c r="G25" s="2157"/>
      <c r="H25" s="2158"/>
      <c r="I25" s="110"/>
      <c r="J25" s="2223"/>
      <c r="K25" s="2223"/>
      <c r="L25" s="2223"/>
      <c r="M25" s="2223"/>
      <c r="N25" s="2223"/>
      <c r="O25" s="2223"/>
      <c r="P25" s="2223"/>
      <c r="Q25" s="2223"/>
      <c r="R25" s="2223"/>
      <c r="S25" s="2224"/>
      <c r="T25" s="2116" t="s">
        <v>2037</v>
      </c>
      <c r="U25" s="2117"/>
      <c r="V25" s="2117"/>
      <c r="W25" s="2117"/>
      <c r="X25" s="2117"/>
      <c r="Y25" s="2117"/>
      <c r="Z25" s="2117"/>
      <c r="AA25" s="211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214" t="s">
        <v>1497</v>
      </c>
      <c r="J27" s="2187"/>
      <c r="K27" s="2187"/>
      <c r="L27" s="2187"/>
      <c r="M27" s="2187"/>
      <c r="N27" s="2187"/>
      <c r="O27" s="2187"/>
      <c r="P27" s="2187"/>
      <c r="Q27" s="2187"/>
      <c r="R27" s="2187"/>
      <c r="S27" s="2188"/>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2021</v>
      </c>
      <c r="K31" s="40" t="s">
        <v>879</v>
      </c>
      <c r="L31" s="144"/>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60"/>
      <c r="Q35" s="2157"/>
      <c r="R35" s="215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9" t="s">
        <v>2026</v>
      </c>
      <c r="B38" s="2189"/>
      <c r="C38" s="2189"/>
      <c r="D38" s="2189"/>
      <c r="E38" s="2189"/>
      <c r="F38" s="2157"/>
      <c r="G38" s="2157"/>
      <c r="H38" s="2158"/>
      <c r="I38" s="2208"/>
      <c r="J38" s="2128"/>
      <c r="K38" s="2128"/>
      <c r="L38" s="2128"/>
      <c r="M38" s="2128"/>
      <c r="N38" s="2128"/>
      <c r="O38" s="2128"/>
      <c r="P38" s="2129"/>
      <c r="Q38" s="2129"/>
      <c r="R38" s="2129"/>
      <c r="S38" s="2130"/>
      <c r="T38" s="2127" t="s">
        <v>2038</v>
      </c>
      <c r="U38" s="2128"/>
      <c r="V38" s="2128"/>
      <c r="W38" s="2128"/>
      <c r="X38" s="2129"/>
      <c r="Y38" s="2129"/>
      <c r="Z38" s="2129"/>
      <c r="AA38" s="2130"/>
    </row>
    <row r="39" spans="1:27" ht="12" customHeight="1" x14ac:dyDescent="0.2">
      <c r="A39" s="2212" t="s">
        <v>528</v>
      </c>
      <c r="B39" s="2213"/>
      <c r="C39" s="69"/>
      <c r="D39" s="66"/>
      <c r="E39" s="66"/>
      <c r="F39" s="76"/>
      <c r="G39" s="66"/>
      <c r="H39" s="53"/>
      <c r="I39" s="2212" t="s">
        <v>528</v>
      </c>
      <c r="J39" s="2213"/>
      <c r="K39" s="2213"/>
      <c r="L39" s="2213"/>
      <c r="M39" s="2213"/>
      <c r="N39" s="64"/>
      <c r="O39" s="69"/>
      <c r="P39" s="69"/>
      <c r="Q39" s="75"/>
      <c r="R39" s="69"/>
      <c r="S39" s="53"/>
      <c r="T39" s="69" t="s">
        <v>528</v>
      </c>
      <c r="U39" s="48"/>
      <c r="V39" s="69"/>
      <c r="W39" s="47"/>
      <c r="X39" s="75"/>
      <c r="Y39" s="43"/>
      <c r="Z39" s="43"/>
      <c r="AA39" s="44"/>
    </row>
    <row r="40" spans="1:27" ht="13.5" customHeight="1" x14ac:dyDescent="0.2">
      <c r="A40" s="2215" t="s">
        <v>2025</v>
      </c>
      <c r="B40" s="2216"/>
      <c r="C40" s="2217"/>
      <c r="D40" s="2217"/>
      <c r="E40" s="2217"/>
      <c r="F40" s="2218"/>
      <c r="G40" s="2218"/>
      <c r="H40" s="2219"/>
      <c r="I40" s="2131"/>
      <c r="J40" s="2133"/>
      <c r="K40" s="2133"/>
      <c r="L40" s="2133"/>
      <c r="M40" s="2133"/>
      <c r="N40" s="2133"/>
      <c r="O40" s="2133"/>
      <c r="P40" s="2133"/>
      <c r="Q40" s="2133"/>
      <c r="R40" s="2133"/>
      <c r="S40" s="2134"/>
      <c r="T40" s="2131" t="s">
        <v>2039</v>
      </c>
      <c r="U40" s="2132"/>
      <c r="V40" s="2133"/>
      <c r="W40" s="2133"/>
      <c r="X40" s="2133"/>
      <c r="Y40" s="2133"/>
      <c r="Z40" s="2133"/>
      <c r="AA40" s="213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05" t="s">
        <v>2027</v>
      </c>
      <c r="B42" s="2206"/>
      <c r="C42" s="2207"/>
      <c r="D42" s="2220" t="s">
        <v>2028</v>
      </c>
      <c r="E42" s="2206"/>
      <c r="F42" s="2206"/>
      <c r="G42" s="2206"/>
      <c r="H42" s="2207"/>
      <c r="I42" s="2126"/>
      <c r="J42" s="2122"/>
      <c r="K42" s="2122"/>
      <c r="L42" s="2122"/>
      <c r="M42" s="2122"/>
      <c r="N42" s="2122"/>
      <c r="O42" s="2123"/>
      <c r="P42" s="2121"/>
      <c r="Q42" s="2122"/>
      <c r="R42" s="2122"/>
      <c r="S42" s="2123"/>
      <c r="T42" s="2126" t="s">
        <v>2040</v>
      </c>
      <c r="U42" s="2122"/>
      <c r="V42" s="2122"/>
      <c r="W42" s="2123"/>
      <c r="X42" s="2121" t="s">
        <v>2041</v>
      </c>
      <c r="Y42" s="2122"/>
      <c r="Z42" s="2122"/>
      <c r="AA42" s="212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09"/>
      <c r="B44" s="2210"/>
      <c r="C44" s="2210"/>
      <c r="D44" s="2210"/>
      <c r="E44" s="2210"/>
      <c r="F44" s="2210"/>
      <c r="G44" s="2210"/>
      <c r="H44" s="2211"/>
      <c r="I44" s="2201"/>
      <c r="J44" s="2203"/>
      <c r="K44" s="2203"/>
      <c r="L44" s="2203"/>
      <c r="M44" s="2203"/>
      <c r="N44" s="2203"/>
      <c r="O44" s="2203"/>
      <c r="P44" s="2203"/>
      <c r="Q44" s="2203"/>
      <c r="R44" s="2203"/>
      <c r="S44" s="2204"/>
      <c r="T44" s="2201"/>
      <c r="U44" s="2202"/>
      <c r="V44" s="2202"/>
      <c r="W44" s="2202"/>
      <c r="X44" s="2202"/>
      <c r="Y44" s="2202"/>
      <c r="Z44" s="2203"/>
      <c r="AA44" s="2204"/>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H36"/>
  <sheetViews>
    <sheetView showGridLines="0" defaultGridColor="0" colorId="8" zoomScale="110" zoomScaleNormal="110" workbookViewId="0">
      <selection activeCell="C6" sqref="C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950000000000003" customHeight="1" x14ac:dyDescent="0.2">
      <c r="A1" s="1561" t="s">
        <v>104</v>
      </c>
      <c r="B1" s="307"/>
      <c r="C1" s="307"/>
      <c r="D1" s="307"/>
      <c r="E1" s="307"/>
    </row>
    <row r="2" spans="1:8" ht="39.75" customHeight="1" x14ac:dyDescent="0.2">
      <c r="A2" s="2363"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64"/>
      <c r="B3" s="1339"/>
      <c r="C3" s="1340"/>
      <c r="D3" s="1341" t="s">
        <v>254</v>
      </c>
      <c r="E3" s="1340"/>
      <c r="F3" s="1341" t="s">
        <v>255</v>
      </c>
    </row>
    <row r="4" spans="1:8" ht="13.9" customHeight="1" x14ac:dyDescent="0.2">
      <c r="A4" s="579" t="s">
        <v>1147</v>
      </c>
      <c r="B4" s="1771">
        <f>'Revenues 9-14'!C5</f>
        <v>3082447</v>
      </c>
      <c r="C4" s="1772">
        <v>666705</v>
      </c>
      <c r="D4" s="1773">
        <f>B4-C4</f>
        <v>2415742</v>
      </c>
      <c r="E4" s="1772">
        <v>2900798</v>
      </c>
      <c r="F4" s="1773">
        <f>E4-C4</f>
        <v>2234093</v>
      </c>
    </row>
    <row r="5" spans="1:8" ht="13.9" customHeight="1" x14ac:dyDescent="0.2">
      <c r="A5" s="579" t="s">
        <v>865</v>
      </c>
      <c r="B5" s="1774">
        <f>'Revenues 9-14'!D5</f>
        <v>429079</v>
      </c>
      <c r="C5" s="1714">
        <v>90966</v>
      </c>
      <c r="D5" s="1775">
        <f t="shared" ref="D5:D18" si="0">B5-C5</f>
        <v>338113</v>
      </c>
      <c r="E5" s="1714">
        <v>396049</v>
      </c>
      <c r="F5" s="1775">
        <f>E5-C5</f>
        <v>305083</v>
      </c>
    </row>
    <row r="6" spans="1:8" ht="13.9" customHeight="1" x14ac:dyDescent="0.2">
      <c r="A6" s="579" t="s">
        <v>408</v>
      </c>
      <c r="B6" s="1774">
        <f>'Revenues 9-14'!E5</f>
        <v>122304</v>
      </c>
      <c r="C6" s="1714">
        <v>122304</v>
      </c>
      <c r="D6" s="1775">
        <f t="shared" si="0"/>
        <v>0</v>
      </c>
      <c r="E6" s="1714">
        <v>532426</v>
      </c>
      <c r="F6" s="1775">
        <f t="shared" ref="F6:F18" si="1">E6-C6</f>
        <v>410122</v>
      </c>
    </row>
    <row r="7" spans="1:8" ht="13.9" customHeight="1" x14ac:dyDescent="0.2">
      <c r="A7" s="579" t="s">
        <v>154</v>
      </c>
      <c r="B7" s="1774">
        <f>'Revenues 9-14'!F5</f>
        <v>163807</v>
      </c>
      <c r="C7" s="1714">
        <v>35148</v>
      </c>
      <c r="D7" s="1775">
        <f t="shared" si="0"/>
        <v>128659</v>
      </c>
      <c r="E7" s="1714">
        <v>153012</v>
      </c>
      <c r="F7" s="1775">
        <f t="shared" si="1"/>
        <v>117864</v>
      </c>
    </row>
    <row r="8" spans="1:8" ht="13.9" customHeight="1" x14ac:dyDescent="0.2">
      <c r="A8" s="579" t="s">
        <v>1171</v>
      </c>
      <c r="B8" s="1774">
        <f>'Revenues 9-14'!G5</f>
        <v>114412</v>
      </c>
      <c r="C8" s="1714">
        <v>11486</v>
      </c>
      <c r="D8" s="1775">
        <f t="shared" si="0"/>
        <v>102926</v>
      </c>
      <c r="E8" s="1714">
        <v>50002</v>
      </c>
      <c r="F8" s="1775">
        <f t="shared" si="1"/>
        <v>38516</v>
      </c>
    </row>
    <row r="9" spans="1:8" ht="13.9" customHeight="1" x14ac:dyDescent="0.2">
      <c r="A9" s="579" t="s">
        <v>405</v>
      </c>
      <c r="B9" s="1774">
        <f>'Revenues 9-14'!H5</f>
        <v>0</v>
      </c>
      <c r="C9" s="1714"/>
      <c r="D9" s="1775">
        <f t="shared" si="0"/>
        <v>0</v>
      </c>
      <c r="E9" s="1714"/>
      <c r="F9" s="1775">
        <f t="shared" si="1"/>
        <v>0</v>
      </c>
    </row>
    <row r="10" spans="1:8" ht="13.9" customHeight="1" x14ac:dyDescent="0.2">
      <c r="A10" s="579" t="s">
        <v>404</v>
      </c>
      <c r="B10" s="1774">
        <f>'Revenues 9-14'!I5</f>
        <v>0</v>
      </c>
      <c r="C10" s="1714"/>
      <c r="D10" s="1775">
        <f t="shared" si="0"/>
        <v>0</v>
      </c>
      <c r="E10" s="1714"/>
      <c r="F10" s="1775">
        <f t="shared" si="1"/>
        <v>0</v>
      </c>
    </row>
    <row r="11" spans="1:8" x14ac:dyDescent="0.2">
      <c r="A11" s="579" t="s">
        <v>406</v>
      </c>
      <c r="B11" s="1774">
        <f>'Revenues 9-14'!J5</f>
        <v>75205</v>
      </c>
      <c r="C11" s="1714">
        <v>2298</v>
      </c>
      <c r="D11" s="1775">
        <f t="shared" si="0"/>
        <v>72907</v>
      </c>
      <c r="E11" s="1714">
        <v>10006</v>
      </c>
      <c r="F11" s="1775">
        <f t="shared" si="1"/>
        <v>7708</v>
      </c>
    </row>
    <row r="12" spans="1:8" ht="13.9" customHeight="1" x14ac:dyDescent="0.2">
      <c r="A12" s="579" t="s">
        <v>156</v>
      </c>
      <c r="B12" s="1774">
        <f>'Revenues 9-14'!K5</f>
        <v>49056</v>
      </c>
      <c r="C12" s="1714">
        <v>10456</v>
      </c>
      <c r="D12" s="1775">
        <f t="shared" si="0"/>
        <v>38600</v>
      </c>
      <c r="E12" s="1714">
        <v>45523</v>
      </c>
      <c r="F12" s="1775">
        <f t="shared" si="1"/>
        <v>35067</v>
      </c>
    </row>
    <row r="13" spans="1:8" ht="13.9" customHeight="1" x14ac:dyDescent="0.2">
      <c r="A13" s="579" t="s">
        <v>930</v>
      </c>
      <c r="B13" s="1774">
        <f>SUM('Revenues 9-14'!C6:D6)</f>
        <v>0</v>
      </c>
      <c r="C13" s="1714"/>
      <c r="D13" s="1775">
        <f t="shared" si="0"/>
        <v>0</v>
      </c>
      <c r="E13" s="1714"/>
      <c r="F13" s="1775">
        <f t="shared" si="1"/>
        <v>0</v>
      </c>
    </row>
    <row r="14" spans="1:8" ht="13.9" customHeight="1" x14ac:dyDescent="0.2">
      <c r="A14" s="579" t="s">
        <v>407</v>
      </c>
      <c r="B14" s="1774">
        <f>SUM('Revenues 9-14'!C7:D7,'Revenues 9-14'!F7:H7)</f>
        <v>38385</v>
      </c>
      <c r="C14" s="1714">
        <v>8365</v>
      </c>
      <c r="D14" s="1775">
        <f t="shared" si="0"/>
        <v>30020</v>
      </c>
      <c r="E14" s="1714">
        <v>36418</v>
      </c>
      <c r="F14" s="1775">
        <f t="shared" si="1"/>
        <v>28053</v>
      </c>
    </row>
    <row r="15" spans="1:8" ht="13.9" customHeight="1" x14ac:dyDescent="0.2">
      <c r="A15" s="579" t="s">
        <v>1150</v>
      </c>
      <c r="B15" s="1774">
        <f>SUM('Revenues 9-14'!D9:E9,'Revenues 9-14'!H9)</f>
        <v>0</v>
      </c>
      <c r="C15" s="1714"/>
      <c r="D15" s="1775">
        <f t="shared" si="0"/>
        <v>0</v>
      </c>
      <c r="E15" s="1714"/>
      <c r="F15" s="1775">
        <f t="shared" si="1"/>
        <v>0</v>
      </c>
    </row>
    <row r="16" spans="1:8" ht="13.9" customHeight="1" x14ac:dyDescent="0.2">
      <c r="A16" s="579" t="s">
        <v>1151</v>
      </c>
      <c r="B16" s="1774">
        <f>'Revenues 9-14'!G8</f>
        <v>105835</v>
      </c>
      <c r="C16" s="1714">
        <v>11486</v>
      </c>
      <c r="D16" s="1775">
        <f t="shared" si="0"/>
        <v>94349</v>
      </c>
      <c r="E16" s="1714">
        <v>50002</v>
      </c>
      <c r="F16" s="1775">
        <f t="shared" si="1"/>
        <v>38516</v>
      </c>
    </row>
    <row r="17" spans="1:6" ht="13.9" customHeight="1" x14ac:dyDescent="0.2">
      <c r="A17" s="579" t="s">
        <v>1152</v>
      </c>
      <c r="B17" s="1774">
        <f>'Revenues 9-14'!C10</f>
        <v>0</v>
      </c>
      <c r="C17" s="1714"/>
      <c r="D17" s="1775">
        <f t="shared" si="0"/>
        <v>0</v>
      </c>
      <c r="E17" s="1714"/>
      <c r="F17" s="1775">
        <f t="shared" si="1"/>
        <v>0</v>
      </c>
    </row>
    <row r="18" spans="1:6" ht="13.9" customHeight="1" x14ac:dyDescent="0.2">
      <c r="A18" s="579" t="s">
        <v>757</v>
      </c>
      <c r="B18" s="1774">
        <f>SUM('Revenues 9-14'!C11:K11)</f>
        <v>0</v>
      </c>
      <c r="C18" s="1714"/>
      <c r="D18" s="1775">
        <f t="shared" si="0"/>
        <v>0</v>
      </c>
      <c r="E18" s="1714"/>
      <c r="F18" s="1775">
        <f t="shared" si="1"/>
        <v>0</v>
      </c>
    </row>
    <row r="19" spans="1:6" ht="13.9" customHeight="1" thickBot="1" x14ac:dyDescent="0.25">
      <c r="A19" s="1481" t="s">
        <v>1153</v>
      </c>
      <c r="B19" s="1776">
        <f>SUM(B4:B18)</f>
        <v>4180530</v>
      </c>
      <c r="C19" s="1776">
        <f>SUM(C4:C18)</f>
        <v>959214</v>
      </c>
      <c r="D19" s="1776">
        <f>SUM(D4:D18)</f>
        <v>3221316</v>
      </c>
      <c r="E19" s="1776">
        <f>SUM(E4:E18)</f>
        <v>4174236</v>
      </c>
      <c r="F19" s="1776">
        <f>SUM(F4:F18)</f>
        <v>3215022</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&amp;F&amp;RThe notes to the financial statements are an integral part of this statement.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FF00"/>
    <pageSetUpPr fitToPage="1"/>
  </sheetPr>
  <dimension ref="A1:K59"/>
  <sheetViews>
    <sheetView showGridLines="0" defaultGridColor="0" topLeftCell="B22" colorId="8" zoomScale="110" zoomScaleNormal="110" workbookViewId="0">
      <selection activeCell="E38" sqref="E3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2" customHeight="1" x14ac:dyDescent="0.2">
      <c r="A1" s="2369" t="s">
        <v>625</v>
      </c>
      <c r="B1" s="2370"/>
      <c r="C1" s="585"/>
    </row>
    <row r="2" spans="1:7" ht="33.75" x14ac:dyDescent="0.2">
      <c r="A2" s="2378" t="s">
        <v>1782</v>
      </c>
      <c r="B2" s="2379"/>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95" customHeight="1" x14ac:dyDescent="0.2">
      <c r="A3" s="2382" t="s">
        <v>1106</v>
      </c>
      <c r="B3" s="2383"/>
      <c r="C3" s="2371"/>
      <c r="D3" s="2372"/>
      <c r="E3" s="2372"/>
      <c r="F3" s="2373"/>
    </row>
    <row r="4" spans="1:7" ht="12.75" customHeight="1" thickBot="1" x14ac:dyDescent="0.25">
      <c r="A4" s="2380" t="s">
        <v>626</v>
      </c>
      <c r="B4" s="2381"/>
      <c r="C4" s="1706"/>
      <c r="D4" s="1706"/>
      <c r="E4" s="1706"/>
      <c r="F4" s="1782">
        <f>SUM(C4+D4)-E4</f>
        <v>0</v>
      </c>
    </row>
    <row r="5" spans="1:7" ht="15.95" customHeight="1" thickTop="1" x14ac:dyDescent="0.2">
      <c r="A5" s="2365" t="s">
        <v>1103</v>
      </c>
      <c r="B5" s="2366"/>
      <c r="C5" s="2374"/>
      <c r="D5" s="2375"/>
      <c r="E5" s="2375"/>
      <c r="F5" s="2376"/>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367" t="s">
        <v>627</v>
      </c>
      <c r="B15" s="2368"/>
      <c r="C15" s="1782">
        <f>SUM(C6:C14)</f>
        <v>0</v>
      </c>
      <c r="D15" s="1782">
        <f>SUM(D6:D14)</f>
        <v>0</v>
      </c>
      <c r="E15" s="1782">
        <f>SUM(E6:E14)</f>
        <v>0</v>
      </c>
      <c r="F15" s="1782">
        <f>SUM(F6:F14)</f>
        <v>0</v>
      </c>
      <c r="G15" s="473"/>
    </row>
    <row r="16" spans="1:7" s="197" customFormat="1" ht="15.95" customHeight="1" thickTop="1" x14ac:dyDescent="0.2">
      <c r="A16" s="2377" t="s">
        <v>1104</v>
      </c>
      <c r="B16" s="2366"/>
      <c r="C16" s="2374"/>
      <c r="D16" s="2375"/>
      <c r="E16" s="2375"/>
      <c r="F16" s="2376"/>
    </row>
    <row r="17" spans="1:11" ht="12.75" customHeight="1" thickBot="1" x14ac:dyDescent="0.25">
      <c r="A17" s="2390" t="s">
        <v>64</v>
      </c>
      <c r="B17" s="2391"/>
      <c r="C17" s="1783"/>
      <c r="D17" s="1714"/>
      <c r="E17" s="1783"/>
      <c r="F17" s="1782">
        <f>SUM(C17+D17)-E17</f>
        <v>0</v>
      </c>
    </row>
    <row r="18" spans="1:11" ht="12.75" customHeight="1" thickTop="1" thickBot="1" x14ac:dyDescent="0.25">
      <c r="A18" s="2390" t="s">
        <v>6</v>
      </c>
      <c r="B18" s="2391"/>
      <c r="C18" s="1783"/>
      <c r="D18" s="1714"/>
      <c r="E18" s="1783"/>
      <c r="F18" s="1782">
        <f>SUM(C18+D18)-E18</f>
        <v>0</v>
      </c>
    </row>
    <row r="19" spans="1:11" ht="12.75" customHeight="1" thickTop="1" thickBot="1" x14ac:dyDescent="0.25">
      <c r="A19" s="2390" t="s">
        <v>385</v>
      </c>
      <c r="B19" s="2391"/>
      <c r="C19" s="1783"/>
      <c r="D19" s="1714"/>
      <c r="E19" s="1783"/>
      <c r="F19" s="1782">
        <f>SUM(C19+D19)-E19</f>
        <v>0</v>
      </c>
    </row>
    <row r="20" spans="1:11" ht="12.75" customHeight="1" thickTop="1" thickBot="1" x14ac:dyDescent="0.25">
      <c r="A20" s="2390" t="s">
        <v>445</v>
      </c>
      <c r="B20" s="2391"/>
      <c r="C20" s="1783"/>
      <c r="D20" s="1714"/>
      <c r="E20" s="1783"/>
      <c r="F20" s="1782">
        <f>SUM(C20+D20)-E20</f>
        <v>0</v>
      </c>
    </row>
    <row r="21" spans="1:11" ht="14.25" thickTop="1" thickBot="1" x14ac:dyDescent="0.25">
      <c r="A21" s="2367" t="s">
        <v>628</v>
      </c>
      <c r="B21" s="2368"/>
      <c r="C21" s="1782">
        <f>SUM(C17:C20)</f>
        <v>0</v>
      </c>
      <c r="D21" s="1782">
        <f>SUM(D17:D20)</f>
        <v>0</v>
      </c>
      <c r="E21" s="1782">
        <f>SUM(E17:E20)</f>
        <v>0</v>
      </c>
      <c r="F21" s="1782">
        <f>SUM(F17:F20)</f>
        <v>0</v>
      </c>
      <c r="G21" s="473"/>
    </row>
    <row r="22" spans="1:11" ht="15.95" customHeight="1" thickTop="1" x14ac:dyDescent="0.2">
      <c r="A22" s="2392" t="s">
        <v>1105</v>
      </c>
      <c r="B22" s="2366"/>
      <c r="C22" s="2374"/>
      <c r="D22" s="2375"/>
      <c r="E22" s="2375"/>
      <c r="F22" s="2376"/>
    </row>
    <row r="23" spans="1:11" ht="13.5" thickBot="1" x14ac:dyDescent="0.25">
      <c r="A23" s="2380" t="s">
        <v>629</v>
      </c>
      <c r="B23" s="2381"/>
      <c r="C23" s="1706"/>
      <c r="D23" s="1706"/>
      <c r="E23" s="1706"/>
      <c r="F23" s="1782">
        <f>SUM(C23+D23)-E23</f>
        <v>0</v>
      </c>
      <c r="G23" s="473"/>
    </row>
    <row r="24" spans="1:11" ht="15.95" customHeight="1" thickTop="1" x14ac:dyDescent="0.2">
      <c r="A24" s="2392" t="s">
        <v>2009</v>
      </c>
      <c r="B24" s="2366"/>
      <c r="C24" s="2374"/>
      <c r="D24" s="2375"/>
      <c r="E24" s="2375"/>
      <c r="F24" s="2376"/>
    </row>
    <row r="25" spans="1:11" ht="13.5" thickBot="1" x14ac:dyDescent="0.25">
      <c r="A25" s="2380" t="s">
        <v>2010</v>
      </c>
      <c r="B25" s="2381"/>
      <c r="C25" s="1706"/>
      <c r="D25" s="1706"/>
      <c r="E25" s="1706"/>
      <c r="F25" s="1782">
        <f>SUM(C25+D25)-E25</f>
        <v>0</v>
      </c>
      <c r="G25" s="473"/>
    </row>
    <row r="26" spans="1:11" ht="15.95" customHeight="1" thickTop="1" x14ac:dyDescent="0.2">
      <c r="A26" s="2365" t="s">
        <v>652</v>
      </c>
      <c r="B26" s="2366"/>
      <c r="C26" s="589"/>
      <c r="D26" s="589"/>
      <c r="E26" s="589"/>
      <c r="F26" s="590"/>
    </row>
    <row r="27" spans="1:11" ht="13.5" thickBot="1" x14ac:dyDescent="0.25">
      <c r="A27" s="2367" t="s">
        <v>1063</v>
      </c>
      <c r="B27" s="2368"/>
      <c r="C27" s="1714"/>
      <c r="D27" s="1714"/>
      <c r="E27" s="1714"/>
      <c r="F27" s="1782">
        <f>SUM(C27+D27)-E27</f>
        <v>0</v>
      </c>
      <c r="G27" s="473"/>
    </row>
    <row r="28" spans="1:11" ht="7.5" customHeight="1" thickTop="1" x14ac:dyDescent="0.2">
      <c r="A28" s="489"/>
    </row>
    <row r="29" spans="1:11" ht="23.45" customHeight="1" x14ac:dyDescent="0.2">
      <c r="A29" s="2393" t="s">
        <v>578</v>
      </c>
      <c r="B29" s="2370"/>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2042</v>
      </c>
      <c r="B31" s="595">
        <v>42859</v>
      </c>
      <c r="C31" s="1784">
        <v>600000</v>
      </c>
      <c r="D31" s="1785">
        <v>7</v>
      </c>
      <c r="E31" s="1784">
        <v>590000</v>
      </c>
      <c r="F31" s="1784"/>
      <c r="G31" s="1784"/>
      <c r="H31" s="1784">
        <v>100000</v>
      </c>
      <c r="I31" s="1786">
        <f>((E31+F31)-H31)+G31</f>
        <v>490000</v>
      </c>
      <c r="J31" s="1784">
        <v>322063</v>
      </c>
      <c r="K31" s="596"/>
    </row>
    <row r="32" spans="1:11" ht="12" customHeight="1" x14ac:dyDescent="0.2">
      <c r="A32" s="594" t="s">
        <v>2043</v>
      </c>
      <c r="B32" s="595">
        <v>43753</v>
      </c>
      <c r="C32" s="1784">
        <v>2500000</v>
      </c>
      <c r="D32" s="1785">
        <v>4</v>
      </c>
      <c r="E32" s="1784"/>
      <c r="F32" s="1784">
        <v>2500000</v>
      </c>
      <c r="G32" s="1784"/>
      <c r="H32" s="1784"/>
      <c r="I32" s="1786">
        <f>((E32+F32)-H32)+G32</f>
        <v>2500000</v>
      </c>
      <c r="J32" s="1784">
        <v>2500000</v>
      </c>
      <c r="K32" s="596"/>
    </row>
    <row r="33" spans="1:11" ht="12" customHeight="1" x14ac:dyDescent="0.2">
      <c r="A33" s="594" t="s">
        <v>2044</v>
      </c>
      <c r="B33" s="595">
        <v>42856</v>
      </c>
      <c r="C33" s="1784">
        <v>45572</v>
      </c>
      <c r="D33" s="1785">
        <v>8</v>
      </c>
      <c r="E33" s="1784">
        <v>18603</v>
      </c>
      <c r="F33" s="1784"/>
      <c r="G33" s="1784">
        <v>-9095</v>
      </c>
      <c r="H33" s="1784"/>
      <c r="I33" s="1786">
        <f t="shared" ref="I33:I48" si="1">((E33+F33)-H33)+G33</f>
        <v>9508</v>
      </c>
      <c r="J33" s="1784">
        <v>9508</v>
      </c>
      <c r="K33" s="596"/>
    </row>
    <row r="34" spans="1:11" ht="12" customHeight="1" x14ac:dyDescent="0.2">
      <c r="A34" s="594" t="s">
        <v>2048</v>
      </c>
      <c r="B34" s="595">
        <v>43647</v>
      </c>
      <c r="C34" s="1784">
        <v>300000</v>
      </c>
      <c r="D34" s="1785">
        <v>7</v>
      </c>
      <c r="E34" s="1784"/>
      <c r="F34" s="1784">
        <v>300000</v>
      </c>
      <c r="G34" s="1784"/>
      <c r="H34" s="1784"/>
      <c r="I34" s="1786">
        <f t="shared" si="1"/>
        <v>300000</v>
      </c>
      <c r="J34" s="1784">
        <v>300000</v>
      </c>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3445572</v>
      </c>
      <c r="D49" s="1792"/>
      <c r="E49" s="1786">
        <f t="shared" ref="E49:J49" si="2">SUM(E31:E48)</f>
        <v>608603</v>
      </c>
      <c r="F49" s="1786">
        <f t="shared" si="2"/>
        <v>2800000</v>
      </c>
      <c r="G49" s="1786">
        <f t="shared" si="2"/>
        <v>-9095</v>
      </c>
      <c r="H49" s="1786">
        <f t="shared" si="2"/>
        <v>100000</v>
      </c>
      <c r="I49" s="1786">
        <f t="shared" si="2"/>
        <v>3299508</v>
      </c>
      <c r="J49" s="1786">
        <f t="shared" si="2"/>
        <v>3131571</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84" t="s">
        <v>580</v>
      </c>
      <c r="C52" s="2385"/>
      <c r="D52" s="2385"/>
      <c r="E52" s="603" t="s">
        <v>840</v>
      </c>
      <c r="F52" s="2386" t="s">
        <v>2045</v>
      </c>
      <c r="G52" s="2387"/>
      <c r="H52" s="596"/>
      <c r="I52" s="596"/>
      <c r="J52" s="600"/>
    </row>
    <row r="53" spans="1:11" ht="11.25" customHeight="1" x14ac:dyDescent="0.2">
      <c r="A53" s="604" t="s">
        <v>907</v>
      </c>
      <c r="B53" s="605" t="s">
        <v>945</v>
      </c>
      <c r="C53" s="600"/>
      <c r="D53" s="597"/>
      <c r="E53" s="603" t="s">
        <v>494</v>
      </c>
      <c r="F53" s="2388" t="s">
        <v>2046</v>
      </c>
      <c r="G53" s="2389"/>
      <c r="H53" s="596"/>
      <c r="I53" s="596"/>
      <c r="J53" s="600"/>
    </row>
    <row r="54" spans="1:11" ht="11.25" customHeight="1" x14ac:dyDescent="0.2">
      <c r="A54" s="606" t="s">
        <v>908</v>
      </c>
      <c r="B54" s="601" t="s">
        <v>946</v>
      </c>
      <c r="C54" s="600"/>
      <c r="D54" s="597"/>
      <c r="E54" s="603" t="s">
        <v>495</v>
      </c>
      <c r="F54" s="2388"/>
      <c r="G54" s="238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25" right="0.15" top="0.4" bottom="0.25" header="0.17" footer="0.1"/>
  <pageSetup scale="75" firstPageNumber="24" fitToHeight="0" orientation="landscape" useFirstPageNumber="1" r:id="rId1"/>
  <headerFooter alignWithMargins="0">
    <oddHeader>&amp;L&amp;8Page &amp;P&amp;R&amp;8Page &amp;P</oddHeader>
    <oddFooter>&amp;L&amp;8Print Date: &amp;D 
&amp;F&amp;RThe notes to the financial statements are an integral part of this statement.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FF00"/>
  </sheetPr>
  <dimension ref="A1:O48"/>
  <sheetViews>
    <sheetView showGridLines="0" defaultGridColor="0" topLeftCell="B1" colorId="8" zoomScale="110" zoomScaleNormal="110" workbookViewId="0">
      <selection activeCell="H26" sqref="H26"/>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20" t="s">
        <v>851</v>
      </c>
      <c r="B1" s="2421"/>
      <c r="C1" s="2421"/>
      <c r="D1" s="2421"/>
      <c r="E1" s="2421"/>
      <c r="F1" s="2421"/>
      <c r="G1" s="2422"/>
      <c r="H1" s="1343"/>
      <c r="I1" s="614"/>
      <c r="J1" s="400"/>
    </row>
    <row r="2" spans="1:11" ht="26.25" x14ac:dyDescent="0.2">
      <c r="A2" s="2397" t="s">
        <v>1661</v>
      </c>
      <c r="B2" s="2398"/>
      <c r="C2" s="2398"/>
      <c r="D2" s="2398"/>
      <c r="E2" s="2399"/>
      <c r="F2" s="615" t="s">
        <v>898</v>
      </c>
      <c r="G2" s="616" t="s">
        <v>1658</v>
      </c>
      <c r="H2" s="616" t="s">
        <v>407</v>
      </c>
      <c r="I2" s="616" t="s">
        <v>1150</v>
      </c>
      <c r="J2" s="616" t="s">
        <v>1792</v>
      </c>
      <c r="K2" s="616" t="s">
        <v>137</v>
      </c>
    </row>
    <row r="3" spans="1:11" x14ac:dyDescent="0.2">
      <c r="A3" s="2400" t="str">
        <f>"Cash Basis Fund Balance as of July 1, "&amp;'AFR20'!E2-1</f>
        <v>Cash Basis Fund Balance as of July 1, 2019</v>
      </c>
      <c r="B3" s="2401"/>
      <c r="C3" s="2401"/>
      <c r="D3" s="2401"/>
      <c r="E3" s="2402"/>
      <c r="F3" s="617"/>
      <c r="G3" s="1794"/>
      <c r="H3" s="1794"/>
      <c r="I3" s="1794"/>
      <c r="J3" s="1795"/>
      <c r="K3" s="1795"/>
    </row>
    <row r="4" spans="1:11" x14ac:dyDescent="0.2">
      <c r="A4" s="2403" t="s">
        <v>366</v>
      </c>
      <c r="B4" s="2404"/>
      <c r="C4" s="2404"/>
      <c r="D4" s="2404"/>
      <c r="E4" s="2385"/>
      <c r="F4" s="620"/>
      <c r="G4" s="1796"/>
      <c r="H4" s="1797"/>
      <c r="I4" s="1796"/>
      <c r="J4" s="1798"/>
      <c r="K4" s="1798"/>
    </row>
    <row r="5" spans="1:11" x14ac:dyDescent="0.2">
      <c r="A5" s="2423" t="s">
        <v>1062</v>
      </c>
      <c r="B5" s="2394"/>
      <c r="C5" s="2394"/>
      <c r="D5" s="2394"/>
      <c r="E5" s="2424"/>
      <c r="F5" s="622" t="s">
        <v>843</v>
      </c>
      <c r="G5" s="1799"/>
      <c r="H5" s="1794">
        <v>38385</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v>2845</v>
      </c>
    </row>
    <row r="8" spans="1:11" x14ac:dyDescent="0.2">
      <c r="A8" s="629" t="s">
        <v>342</v>
      </c>
      <c r="B8" s="630"/>
      <c r="C8" s="630"/>
      <c r="D8" s="630"/>
      <c r="E8" s="631"/>
      <c r="F8" s="622" t="s">
        <v>846</v>
      </c>
      <c r="G8" s="1803"/>
      <c r="H8" s="1803"/>
      <c r="I8" s="1803"/>
      <c r="J8" s="1795">
        <v>172141</v>
      </c>
      <c r="K8" s="1798"/>
    </row>
    <row r="9" spans="1:11" x14ac:dyDescent="0.2">
      <c r="A9" s="629" t="s">
        <v>137</v>
      </c>
      <c r="B9" s="630"/>
      <c r="C9" s="630"/>
      <c r="D9" s="630"/>
      <c r="E9" s="631"/>
      <c r="F9" s="628" t="s">
        <v>848</v>
      </c>
      <c r="G9" s="1803"/>
      <c r="H9" s="1799"/>
      <c r="I9" s="1799"/>
      <c r="J9" s="1802"/>
      <c r="K9" s="1795"/>
    </row>
    <row r="10" spans="1:11" x14ac:dyDescent="0.2">
      <c r="A10" s="2423" t="s">
        <v>1793</v>
      </c>
      <c r="B10" s="2394"/>
      <c r="C10" s="2394"/>
      <c r="D10" s="2394"/>
      <c r="E10" s="2425"/>
      <c r="F10" s="633" t="s">
        <v>857</v>
      </c>
      <c r="G10" s="1803"/>
      <c r="H10" s="1804"/>
      <c r="I10" s="1794"/>
      <c r="J10" s="1795"/>
      <c r="K10" s="1795"/>
    </row>
    <row r="11" spans="1:11" x14ac:dyDescent="0.2">
      <c r="A11" s="2423" t="s">
        <v>159</v>
      </c>
      <c r="B11" s="2394"/>
      <c r="C11" s="2394"/>
      <c r="D11" s="2394"/>
      <c r="E11" s="2424"/>
      <c r="F11" s="622" t="s">
        <v>847</v>
      </c>
      <c r="G11" s="1799"/>
      <c r="H11" s="1794"/>
      <c r="I11" s="1794"/>
      <c r="J11" s="1795"/>
      <c r="K11" s="1801"/>
    </row>
    <row r="12" spans="1:11" ht="13.5" thickBot="1" x14ac:dyDescent="0.25">
      <c r="A12" s="2411" t="s">
        <v>899</v>
      </c>
      <c r="B12" s="2412"/>
      <c r="C12" s="2412"/>
      <c r="D12" s="2412"/>
      <c r="E12" s="2413"/>
      <c r="F12" s="1482"/>
      <c r="G12" s="1805">
        <f>SUM(G5:G11)</f>
        <v>0</v>
      </c>
      <c r="H12" s="1805">
        <f>SUM(H5:H11)</f>
        <v>38385</v>
      </c>
      <c r="I12" s="1805">
        <f>SUM(I5:I11)</f>
        <v>0</v>
      </c>
      <c r="J12" s="1805">
        <f>SUM(J5:J11)</f>
        <v>172141</v>
      </c>
      <c r="K12" s="1805">
        <f>SUM(K5:K11)</f>
        <v>2845</v>
      </c>
    </row>
    <row r="13" spans="1:11" ht="13.5" thickTop="1" x14ac:dyDescent="0.2">
      <c r="A13" s="2405" t="s">
        <v>367</v>
      </c>
      <c r="B13" s="2406"/>
      <c r="C13" s="2406"/>
      <c r="D13" s="2406"/>
      <c r="E13" s="2407"/>
      <c r="F13" s="634"/>
      <c r="G13" s="1806"/>
      <c r="H13" s="1807"/>
      <c r="I13" s="1808"/>
      <c r="J13" s="1808"/>
      <c r="K13" s="1808"/>
    </row>
    <row r="14" spans="1:11" x14ac:dyDescent="0.2">
      <c r="A14" s="2429" t="s">
        <v>453</v>
      </c>
      <c r="B14" s="2429"/>
      <c r="C14" s="2429"/>
      <c r="D14" s="2429"/>
      <c r="E14" s="2430"/>
      <c r="F14" s="635" t="s">
        <v>849</v>
      </c>
      <c r="G14" s="1803"/>
      <c r="H14" s="1794">
        <v>224031</v>
      </c>
      <c r="I14" s="1799"/>
      <c r="J14" s="1801"/>
      <c r="K14" s="1795">
        <v>36332</v>
      </c>
    </row>
    <row r="15" spans="1:11" x14ac:dyDescent="0.2">
      <c r="A15" s="2394" t="s">
        <v>4</v>
      </c>
      <c r="B15" s="2394"/>
      <c r="C15" s="2394"/>
      <c r="D15" s="2394"/>
      <c r="E15" s="2424"/>
      <c r="F15" s="635" t="s">
        <v>850</v>
      </c>
      <c r="G15" s="1799"/>
      <c r="H15" s="1794"/>
      <c r="I15" s="1794"/>
      <c r="J15" s="1795"/>
      <c r="K15" s="1795"/>
    </row>
    <row r="16" spans="1:11" x14ac:dyDescent="0.2">
      <c r="A16" s="2394" t="s">
        <v>295</v>
      </c>
      <c r="B16" s="2394"/>
      <c r="C16" s="2394"/>
      <c r="D16" s="2394"/>
      <c r="E16" s="2424"/>
      <c r="F16" s="635" t="s">
        <v>917</v>
      </c>
      <c r="G16" s="1800"/>
      <c r="H16" s="1796"/>
      <c r="I16" s="1796"/>
      <c r="J16" s="1798"/>
      <c r="K16" s="1798"/>
    </row>
    <row r="17" spans="1:15" x14ac:dyDescent="0.2">
      <c r="A17" s="2418" t="s">
        <v>929</v>
      </c>
      <c r="B17" s="2418"/>
      <c r="C17" s="2418"/>
      <c r="D17" s="2418"/>
      <c r="E17" s="2419"/>
      <c r="F17" s="636"/>
      <c r="G17" s="1809"/>
      <c r="H17" s="1810"/>
      <c r="I17" s="1810"/>
      <c r="J17" s="1811"/>
      <c r="K17" s="1812"/>
    </row>
    <row r="18" spans="1:15" x14ac:dyDescent="0.2">
      <c r="A18" s="2408" t="s">
        <v>365</v>
      </c>
      <c r="B18" s="2409"/>
      <c r="C18" s="2409"/>
      <c r="D18" s="2409"/>
      <c r="E18" s="2410"/>
      <c r="F18" s="635" t="s">
        <v>926</v>
      </c>
      <c r="G18" s="1803"/>
      <c r="H18" s="1803"/>
      <c r="I18" s="1803"/>
      <c r="J18" s="1795">
        <v>32128</v>
      </c>
      <c r="K18" s="1813"/>
    </row>
    <row r="19" spans="1:15" ht="21.75" customHeight="1" x14ac:dyDescent="0.2">
      <c r="A19" s="2431" t="s">
        <v>1789</v>
      </c>
      <c r="B19" s="2431"/>
      <c r="C19" s="2431"/>
      <c r="D19" s="2431"/>
      <c r="E19" s="2432"/>
      <c r="F19" s="635" t="s">
        <v>927</v>
      </c>
      <c r="G19" s="1803"/>
      <c r="H19" s="1803"/>
      <c r="I19" s="1803"/>
      <c r="J19" s="1795">
        <v>100000</v>
      </c>
      <c r="K19" s="1813"/>
    </row>
    <row r="20" spans="1:15" x14ac:dyDescent="0.2">
      <c r="A20" s="2408" t="s">
        <v>1794</v>
      </c>
      <c r="B20" s="2409"/>
      <c r="C20" s="2409"/>
      <c r="D20" s="2409"/>
      <c r="E20" s="2410"/>
      <c r="F20" s="635" t="s">
        <v>928</v>
      </c>
      <c r="G20" s="1803"/>
      <c r="H20" s="1803"/>
      <c r="I20" s="1803"/>
      <c r="J20" s="1795">
        <v>1000</v>
      </c>
      <c r="K20" s="1813"/>
    </row>
    <row r="21" spans="1:15" ht="13.5" thickBot="1" x14ac:dyDescent="0.25">
      <c r="A21" s="2414" t="s">
        <v>633</v>
      </c>
      <c r="B21" s="2414"/>
      <c r="C21" s="2414"/>
      <c r="D21" s="2414"/>
      <c r="E21" s="2414"/>
      <c r="F21" s="1483"/>
      <c r="G21" s="1810"/>
      <c r="H21" s="1814"/>
      <c r="I21" s="1814"/>
      <c r="J21" s="1815">
        <f>SUM(J18:J20)</f>
        <v>133128</v>
      </c>
      <c r="K21" s="1811"/>
    </row>
    <row r="22" spans="1:15" ht="13.5" thickTop="1" x14ac:dyDescent="0.2">
      <c r="A22" s="2394" t="s">
        <v>1795</v>
      </c>
      <c r="B22" s="2394"/>
      <c r="C22" s="2394"/>
      <c r="D22" s="2394"/>
      <c r="E22" s="2424"/>
      <c r="F22" s="635" t="s">
        <v>857</v>
      </c>
      <c r="G22" s="1803"/>
      <c r="H22" s="1794"/>
      <c r="I22" s="1794"/>
      <c r="J22" s="1816"/>
      <c r="K22" s="1795"/>
    </row>
    <row r="23" spans="1:15" ht="13.5" thickBot="1" x14ac:dyDescent="0.25">
      <c r="A23" s="2415" t="s">
        <v>900</v>
      </c>
      <c r="B23" s="2414"/>
      <c r="C23" s="2414"/>
      <c r="D23" s="2414"/>
      <c r="E23" s="2414"/>
      <c r="F23" s="1485"/>
      <c r="G23" s="1805">
        <f>SUM(G14:G16,G21,G22)</f>
        <v>0</v>
      </c>
      <c r="H23" s="1805">
        <f>SUM(H14:H16,H21,H22)</f>
        <v>224031</v>
      </c>
      <c r="I23" s="1805">
        <f>SUM(I14:I16,I21,I22)</f>
        <v>0</v>
      </c>
      <c r="J23" s="1805">
        <f>SUM(J14:J16,J21,J22)</f>
        <v>133128</v>
      </c>
      <c r="K23" s="1805">
        <f>SUM(K14:K16,K21,K22)</f>
        <v>36332</v>
      </c>
      <c r="M23" s="1904"/>
      <c r="N23" s="1904"/>
      <c r="O23" s="1904"/>
    </row>
    <row r="24" spans="1:15" ht="14.25" thickTop="1" thickBot="1" x14ac:dyDescent="0.25">
      <c r="A24" s="2416" t="str">
        <f>"Ending Cash Basis Fund Balance as of June 30, "&amp;'AFR20'!E2</f>
        <v>Ending Cash Basis Fund Balance as of June 30, 2020</v>
      </c>
      <c r="B24" s="2417"/>
      <c r="C24" s="2417"/>
      <c r="D24" s="2417"/>
      <c r="E24" s="2417"/>
      <c r="F24" s="1486"/>
      <c r="G24" s="1817">
        <f>SUM(G3,G12)-G23</f>
        <v>0</v>
      </c>
      <c r="H24" s="1817">
        <f>SUM(H3,H12)-H23</f>
        <v>-185646</v>
      </c>
      <c r="I24" s="1817">
        <f>SUM(I3,I12)-I23</f>
        <v>0</v>
      </c>
      <c r="J24" s="1817">
        <f>SUM(J3,J12)-J23</f>
        <v>39013</v>
      </c>
      <c r="K24" s="1817">
        <f>SUM(K3,K12)-K23</f>
        <v>-33487</v>
      </c>
      <c r="L24" s="1904"/>
      <c r="M24" s="1904"/>
      <c r="N24" s="1904"/>
      <c r="O24" s="1904"/>
    </row>
    <row r="25" spans="1:15" ht="13.5" thickTop="1" x14ac:dyDescent="0.2">
      <c r="A25" s="639" t="s">
        <v>417</v>
      </c>
      <c r="B25" s="640"/>
      <c r="C25" s="640"/>
      <c r="D25" s="640"/>
      <c r="E25" s="641"/>
      <c r="F25" s="642">
        <v>714</v>
      </c>
      <c r="G25" s="1818"/>
      <c r="H25" s="1818">
        <v>-27912</v>
      </c>
      <c r="I25" s="1818"/>
      <c r="J25" s="1816"/>
      <c r="K25" s="1816"/>
    </row>
    <row r="26" spans="1:15" ht="13.5" thickBot="1" x14ac:dyDescent="0.25">
      <c r="A26" s="639" t="s">
        <v>339</v>
      </c>
      <c r="B26" s="640"/>
      <c r="C26" s="640"/>
      <c r="D26" s="640"/>
      <c r="E26" s="641"/>
      <c r="F26" s="642">
        <v>730</v>
      </c>
      <c r="G26" s="1805">
        <f>G24-G25</f>
        <v>0</v>
      </c>
      <c r="H26" s="1805">
        <f>H24-H25</f>
        <v>-157734</v>
      </c>
      <c r="I26" s="1805">
        <f>I24-I25</f>
        <v>0</v>
      </c>
      <c r="J26" s="1805">
        <f>J24-J25</f>
        <v>39013</v>
      </c>
      <c r="K26" s="1805">
        <f>K24-K25</f>
        <v>-33487</v>
      </c>
    </row>
    <row r="27" spans="1:15" ht="5.4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26"/>
      <c r="I31" s="2427"/>
      <c r="J31" s="2427"/>
      <c r="K31" s="2427"/>
    </row>
    <row r="32" spans="1:15" x14ac:dyDescent="0.2">
      <c r="A32" s="649"/>
      <c r="B32" s="232"/>
      <c r="C32" s="232"/>
      <c r="D32" s="232"/>
      <c r="E32" s="645"/>
      <c r="F32" s="651" t="s">
        <v>537</v>
      </c>
      <c r="G32" s="618"/>
      <c r="H32" s="2428"/>
      <c r="I32" s="2427"/>
      <c r="J32" s="2427"/>
      <c r="K32" s="2427"/>
    </row>
    <row r="33" spans="1:11" ht="1.7" customHeight="1" x14ac:dyDescent="0.2">
      <c r="A33" s="652" t="s">
        <v>1161</v>
      </c>
      <c r="B33" s="341"/>
      <c r="C33" s="341"/>
      <c r="D33" s="341"/>
      <c r="E33" s="341"/>
      <c r="F33" s="341"/>
      <c r="G33" s="653"/>
      <c r="H33" s="2428"/>
      <c r="I33" s="2427"/>
      <c r="J33" s="2427"/>
      <c r="K33" s="2427"/>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94" t="s">
        <v>538</v>
      </c>
      <c r="B41" s="2395"/>
      <c r="C41" s="2395"/>
      <c r="D41" s="2395"/>
      <c r="E41" s="2395"/>
      <c r="F41" s="239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&amp;F&amp;RThe notes to the financial statements are an  integral part of this statement.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FF00"/>
  </sheetPr>
  <dimension ref="A1:N27"/>
  <sheetViews>
    <sheetView showGridLines="0" defaultGridColor="0" colorId="8" zoomScale="110" zoomScaleNormal="110" workbookViewId="0">
      <selection activeCell="J14" sqref="J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5" t="s">
        <v>1878</v>
      </c>
      <c r="B1" s="2436"/>
      <c r="C1" s="2437"/>
      <c r="D1" s="666"/>
      <c r="E1" s="667"/>
      <c r="F1" s="667"/>
      <c r="G1" s="668"/>
      <c r="H1" s="669"/>
      <c r="I1" s="670"/>
      <c r="J1" s="2433"/>
      <c r="K1" s="2434"/>
      <c r="L1" s="2434"/>
    </row>
    <row r="2" spans="1:14" ht="69.9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22782</v>
      </c>
      <c r="D5" s="1820"/>
      <c r="E5" s="1820"/>
      <c r="F5" s="1815">
        <f>(C5+D5)-E5</f>
        <v>22782</v>
      </c>
      <c r="G5" s="676"/>
      <c r="H5" s="680"/>
      <c r="I5" s="680"/>
      <c r="J5" s="680"/>
      <c r="K5" s="637"/>
      <c r="L5" s="1491">
        <f>F5-K5</f>
        <v>22782</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4149472</v>
      </c>
      <c r="D8" s="1821">
        <v>702220</v>
      </c>
      <c r="E8" s="1821"/>
      <c r="F8" s="1815">
        <f>(C8+D8)-E8</f>
        <v>4851692</v>
      </c>
      <c r="G8" s="681">
        <v>50</v>
      </c>
      <c r="H8" s="619">
        <v>2473009</v>
      </c>
      <c r="I8" s="619">
        <v>95275</v>
      </c>
      <c r="J8" s="619"/>
      <c r="K8" s="1491">
        <f>(H8+I8)-J8</f>
        <v>2568284</v>
      </c>
      <c r="L8" s="1491">
        <f>F8-K8</f>
        <v>2283408</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c r="D10" s="1822"/>
      <c r="E10" s="1822"/>
      <c r="F10" s="1823">
        <f>(C10+D10)-E10</f>
        <v>0</v>
      </c>
      <c r="G10" s="681">
        <v>20</v>
      </c>
      <c r="H10" s="683"/>
      <c r="I10" s="683"/>
      <c r="J10" s="683"/>
      <c r="K10" s="1491">
        <f>(H10+I10)-J10</f>
        <v>0</v>
      </c>
      <c r="L10" s="1491">
        <f>F10-K10</f>
        <v>0</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310855</v>
      </c>
      <c r="D12" s="1821"/>
      <c r="E12" s="1821"/>
      <c r="F12" s="1815">
        <f>(C12+D12)-E12</f>
        <v>310855</v>
      </c>
      <c r="G12" s="681">
        <v>10</v>
      </c>
      <c r="H12" s="619">
        <v>277634</v>
      </c>
      <c r="I12" s="619">
        <v>6702</v>
      </c>
      <c r="J12" s="619"/>
      <c r="K12" s="1491">
        <f>(H12+I12)-J12</f>
        <v>284336</v>
      </c>
      <c r="L12" s="1491">
        <f>F12-K12</f>
        <v>26519</v>
      </c>
    </row>
    <row r="13" spans="1:14" ht="14.25" thickTop="1" thickBot="1" x14ac:dyDescent="0.25">
      <c r="A13" s="684" t="s">
        <v>1114</v>
      </c>
      <c r="B13" s="679">
        <v>252</v>
      </c>
      <c r="C13" s="1821">
        <v>830397</v>
      </c>
      <c r="D13" s="1821">
        <v>114122</v>
      </c>
      <c r="E13" s="1821">
        <v>86468</v>
      </c>
      <c r="F13" s="1815">
        <f>(C13+D13)-E13</f>
        <v>858051</v>
      </c>
      <c r="G13" s="681">
        <v>5</v>
      </c>
      <c r="H13" s="619">
        <v>621170</v>
      </c>
      <c r="I13" s="619">
        <v>79063</v>
      </c>
      <c r="J13" s="619">
        <v>86468</v>
      </c>
      <c r="K13" s="1491">
        <f>(H13+I13)-J13</f>
        <v>613765</v>
      </c>
      <c r="L13" s="1491">
        <f>F13-K13</f>
        <v>244286</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v>443734</v>
      </c>
      <c r="D15" s="1821">
        <v>24205</v>
      </c>
      <c r="E15" s="1821">
        <v>443734</v>
      </c>
      <c r="F15" s="1815">
        <f>(C15+D15)-E15</f>
        <v>24205</v>
      </c>
      <c r="G15" s="685" t="s">
        <v>857</v>
      </c>
      <c r="H15" s="632"/>
      <c r="I15" s="632"/>
      <c r="J15" s="632"/>
      <c r="K15" s="632"/>
      <c r="L15" s="1491">
        <f>F15-K15</f>
        <v>24205</v>
      </c>
    </row>
    <row r="16" spans="1:14" ht="15" customHeight="1" thickTop="1" thickBot="1" x14ac:dyDescent="0.25">
      <c r="A16" s="1487" t="s">
        <v>638</v>
      </c>
      <c r="B16" s="1488">
        <v>200</v>
      </c>
      <c r="C16" s="1815">
        <f>SUM(C3,C5:C6,C8:C10,C12:C15)</f>
        <v>5757240</v>
      </c>
      <c r="D16" s="1815">
        <f>SUM(D3,D5:D6,D8:D10,D12:D15)</f>
        <v>840547</v>
      </c>
      <c r="E16" s="1815">
        <f>SUM(E3,E5:E6,E8:E10,E12:E15)</f>
        <v>530202</v>
      </c>
      <c r="F16" s="1815">
        <f>SUM(F3,F5:F6,F8:F10,F12:F15)</f>
        <v>6067585</v>
      </c>
      <c r="G16" s="681"/>
      <c r="H16" s="1484">
        <f>SUM(H3,H6,H8:H10,H12:H14,)</f>
        <v>3371813</v>
      </c>
      <c r="I16" s="1484">
        <f>SUM(I3,I6,I8:I10,I12:I14,)</f>
        <v>181040</v>
      </c>
      <c r="J16" s="1484">
        <f>SUM(J3,J6,J8:J10,J12:J14,)</f>
        <v>86468</v>
      </c>
      <c r="K16" s="1484">
        <f>(H16+I16)-J16</f>
        <v>3466385</v>
      </c>
      <c r="L16" s="1484">
        <f>F16-K16</f>
        <v>2601200</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181040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1.1"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&amp;F&amp;RThe notes to the financial statements are an integral part of this statement.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FF00"/>
  </sheetPr>
  <dimension ref="A1:I203"/>
  <sheetViews>
    <sheetView showGridLines="0" defaultGridColor="0" colorId="8" zoomScale="110" zoomScaleNormal="110" workbookViewId="0">
      <pane ySplit="5" topLeftCell="A132" activePane="bottomLeft" state="frozen"/>
      <selection activeCell="A47" sqref="A47"/>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7" customHeight="1" thickTop="1" x14ac:dyDescent="0.2">
      <c r="A1" s="2441" t="str">
        <f>"ESTIMATED OPERATING EXPENSE PER PUPIL (OEPP)/PER CAPITA TUITION CHARGE (PCTC) COMPUTATIONS ("&amp;'AFR20'!E2-1&amp;" - "&amp;'AFR20'!E2&amp;")"</f>
        <v>ESTIMATED OPERATING EXPENSE PER PUPIL (OEPP)/PER CAPITA TUITION CHARGE (PCTC) COMPUTATIONS (2019 - 2020)</v>
      </c>
      <c r="B1" s="2442"/>
      <c r="C1" s="2442"/>
      <c r="D1" s="2442"/>
      <c r="E1" s="2442"/>
      <c r="F1" s="2443"/>
      <c r="G1" s="691"/>
      <c r="I1" s="701"/>
    </row>
    <row r="2" spans="1:9" ht="15" customHeight="1" thickBot="1" x14ac:dyDescent="0.25">
      <c r="A2" s="2444" t="s">
        <v>474</v>
      </c>
      <c r="B2" s="2445"/>
      <c r="C2" s="2445"/>
      <c r="D2" s="2445"/>
      <c r="E2" s="2445"/>
      <c r="F2" s="2446"/>
      <c r="G2" s="693"/>
    </row>
    <row r="3" spans="1:9" ht="5.4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7"/>
      <c r="B5" s="2448"/>
      <c r="C5" s="2448"/>
      <c r="D5" s="2448"/>
      <c r="E5" s="2448"/>
      <c r="F5" s="2448"/>
    </row>
    <row r="6" spans="1:9" ht="13.5" customHeight="1" thickBot="1" x14ac:dyDescent="0.25">
      <c r="A6" s="2438" t="s">
        <v>1097</v>
      </c>
      <c r="B6" s="2439"/>
      <c r="C6" s="2439"/>
      <c r="D6" s="2439"/>
      <c r="E6" s="2439"/>
      <c r="F6" s="2440"/>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3668089</v>
      </c>
      <c r="G8" s="701"/>
    </row>
    <row r="9" spans="1:9" x14ac:dyDescent="0.2">
      <c r="A9" s="705" t="s">
        <v>457</v>
      </c>
      <c r="B9" s="706" t="s">
        <v>1851</v>
      </c>
      <c r="C9" s="707"/>
      <c r="D9" s="705" t="s">
        <v>498</v>
      </c>
      <c r="E9" s="704"/>
      <c r="F9" s="1825">
        <f>'Expenditures 15-22'!K151</f>
        <v>519438</v>
      </c>
      <c r="G9" s="708"/>
    </row>
    <row r="10" spans="1:9" x14ac:dyDescent="0.2">
      <c r="A10" s="705" t="s">
        <v>496</v>
      </c>
      <c r="B10" s="706" t="s">
        <v>1852</v>
      </c>
      <c r="C10" s="707"/>
      <c r="D10" s="705" t="s">
        <v>498</v>
      </c>
      <c r="E10" s="704"/>
      <c r="F10" s="1825">
        <f>'Expenditures 15-22'!K174</f>
        <v>133128</v>
      </c>
      <c r="G10" s="708"/>
    </row>
    <row r="11" spans="1:9" x14ac:dyDescent="0.2">
      <c r="A11" s="705" t="s">
        <v>458</v>
      </c>
      <c r="B11" s="706" t="s">
        <v>1853</v>
      </c>
      <c r="C11" s="707"/>
      <c r="D11" s="705" t="s">
        <v>498</v>
      </c>
      <c r="E11" s="704"/>
      <c r="F11" s="1825">
        <f>'Expenditures 15-22'!K210</f>
        <v>348127</v>
      </c>
      <c r="G11" s="708"/>
    </row>
    <row r="12" spans="1:9" x14ac:dyDescent="0.2">
      <c r="A12" s="705" t="s">
        <v>459</v>
      </c>
      <c r="B12" s="706" t="s">
        <v>1854</v>
      </c>
      <c r="C12" s="707"/>
      <c r="D12" s="705" t="s">
        <v>498</v>
      </c>
      <c r="E12" s="704"/>
      <c r="F12" s="1825">
        <f>'Expenditures 15-22'!K295</f>
        <v>196973</v>
      </c>
      <c r="G12" s="708"/>
    </row>
    <row r="13" spans="1:9" x14ac:dyDescent="0.2">
      <c r="A13" s="705" t="s">
        <v>106</v>
      </c>
      <c r="B13" s="706" t="s">
        <v>1855</v>
      </c>
      <c r="C13" s="707"/>
      <c r="D13" s="705" t="s">
        <v>498</v>
      </c>
      <c r="E13" s="704"/>
      <c r="F13" s="1825">
        <f>'Expenditures 15-22'!K342</f>
        <v>73149</v>
      </c>
      <c r="G13" s="709"/>
    </row>
    <row r="14" spans="1:9" ht="12" customHeight="1" thickBot="1" x14ac:dyDescent="0.25">
      <c r="A14" s="1492"/>
      <c r="B14" s="1493"/>
      <c r="C14" s="1494"/>
      <c r="D14" s="1495" t="s">
        <v>498</v>
      </c>
      <c r="E14" s="1496" t="s">
        <v>952</v>
      </c>
      <c r="F14" s="1826">
        <f>SUM(F8:F13)</f>
        <v>4938904</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121040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133528</v>
      </c>
      <c r="G53" s="701"/>
    </row>
    <row r="54" spans="1:7" x14ac:dyDescent="0.2">
      <c r="A54" s="705" t="s">
        <v>456</v>
      </c>
      <c r="B54" s="705" t="s">
        <v>1462</v>
      </c>
      <c r="C54" s="724" t="s">
        <v>975</v>
      </c>
      <c r="D54" s="720" t="s">
        <v>1088</v>
      </c>
      <c r="E54" s="704"/>
      <c r="F54" s="1832">
        <f>'Expenditures 15-22'!G114</f>
        <v>32003</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0</v>
      </c>
      <c r="G57" s="701"/>
    </row>
    <row r="58" spans="1:7" x14ac:dyDescent="0.2">
      <c r="A58" s="705" t="s">
        <v>457</v>
      </c>
      <c r="B58" s="705" t="s">
        <v>1857</v>
      </c>
      <c r="C58" s="721" t="s">
        <v>975</v>
      </c>
      <c r="D58" s="720" t="s">
        <v>1088</v>
      </c>
      <c r="E58" s="704"/>
      <c r="F58" s="1834">
        <f>'Expenditures 15-22'!G151</f>
        <v>97993</v>
      </c>
      <c r="G58" s="701"/>
    </row>
    <row r="59" spans="1:7" x14ac:dyDescent="0.2">
      <c r="A59" s="728" t="s">
        <v>457</v>
      </c>
      <c r="B59" s="692" t="s">
        <v>1858</v>
      </c>
      <c r="C59" s="729" t="s">
        <v>975</v>
      </c>
      <c r="D59" s="692" t="s">
        <v>288</v>
      </c>
      <c r="F59" s="1835">
        <f>'Expenditures 15-22'!I151</f>
        <v>0</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100000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75998</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6325</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566887</v>
      </c>
      <c r="G77" s="701"/>
    </row>
    <row r="78" spans="1:9" s="728" customFormat="1" ht="12" customHeight="1" thickTop="1" thickBot="1" x14ac:dyDescent="0.25">
      <c r="A78" s="1499"/>
      <c r="B78" s="1497"/>
      <c r="C78" s="1494"/>
      <c r="D78" s="1498" t="s">
        <v>2015</v>
      </c>
      <c r="E78" s="1496"/>
      <c r="F78" s="1838">
        <f>(F14-F77)</f>
        <v>4372017</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300.60000000000002</v>
      </c>
      <c r="G79" s="733"/>
      <c r="H79" s="705"/>
      <c r="I79" s="705"/>
    </row>
    <row r="80" spans="1:9" s="728" customFormat="1" ht="12" customHeight="1" thickBot="1" x14ac:dyDescent="0.25">
      <c r="A80" s="1501"/>
      <c r="B80" s="1497"/>
      <c r="C80" s="1494"/>
      <c r="D80" s="1498" t="s">
        <v>2016</v>
      </c>
      <c r="E80" s="1496" t="s">
        <v>952</v>
      </c>
      <c r="F80" s="1840">
        <f>IF(F79&gt;0,F78/F79," Complete Line 79")</f>
        <v>14544.301397205587</v>
      </c>
      <c r="G80" s="705"/>
    </row>
    <row r="81" spans="1:7" s="728" customFormat="1" ht="8.25" customHeight="1" thickTop="1" x14ac:dyDescent="0.2">
      <c r="A81" s="734"/>
      <c r="B81" s="705"/>
      <c r="C81" s="707"/>
      <c r="D81" s="735"/>
      <c r="E81" s="704"/>
      <c r="F81" s="1841"/>
      <c r="G81" s="705"/>
    </row>
    <row r="82" spans="1:7" s="728" customFormat="1" ht="12" thickBot="1" x14ac:dyDescent="0.25">
      <c r="A82" s="2438" t="s">
        <v>1098</v>
      </c>
      <c r="B82" s="2439"/>
      <c r="C82" s="2439"/>
      <c r="D82" s="2439"/>
      <c r="E82" s="2439"/>
      <c r="F82" s="2440"/>
      <c r="G82" s="705"/>
    </row>
    <row r="83" spans="1:7" s="728" customFormat="1" ht="5.4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74902</v>
      </c>
      <c r="G95" s="745"/>
    </row>
    <row r="96" spans="1:7" x14ac:dyDescent="0.2">
      <c r="A96" s="741" t="s">
        <v>139</v>
      </c>
      <c r="B96" s="741" t="s">
        <v>174</v>
      </c>
      <c r="C96" s="743">
        <v>1700</v>
      </c>
      <c r="D96" s="751" t="str">
        <f>'Revenues 9-14'!A82</f>
        <v>Total District/School Activity Income</v>
      </c>
      <c r="E96" s="739"/>
      <c r="F96" s="1843">
        <f>SUM('Revenues 9-14'!C82,'Revenues 9-14'!D82)</f>
        <v>16926</v>
      </c>
      <c r="G96" s="745"/>
    </row>
    <row r="97" spans="1:7" x14ac:dyDescent="0.2">
      <c r="A97" s="741" t="s">
        <v>456</v>
      </c>
      <c r="B97" s="741" t="s">
        <v>175</v>
      </c>
      <c r="C97" s="743">
        <f>'Revenues 9-14'!B84</f>
        <v>1811</v>
      </c>
      <c r="D97" s="744" t="str">
        <f>'Revenues 9-14'!A84</f>
        <v>Rentals - Regular Textbooks</v>
      </c>
      <c r="E97" s="739"/>
      <c r="F97" s="1843">
        <f>'Revenues 9-14'!C84</f>
        <v>5796</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0</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14754</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745</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2846</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144214</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50000</v>
      </c>
      <c r="G121" s="763"/>
    </row>
    <row r="122" spans="1:7" x14ac:dyDescent="0.2">
      <c r="A122" s="760" t="s">
        <v>497</v>
      </c>
      <c r="B122" s="760" t="s">
        <v>1929</v>
      </c>
      <c r="C122" s="761">
        <f>'Revenues 9-14'!B168</f>
        <v>3999</v>
      </c>
      <c r="D122" s="762" t="s">
        <v>540</v>
      </c>
      <c r="E122" s="764"/>
      <c r="F122" s="1843">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3">
        <f>SUM('Revenues 9-14'!C198,'Revenues 9-14'!G198)</f>
        <v>75460</v>
      </c>
      <c r="G126" s="763"/>
    </row>
    <row r="127" spans="1:7" x14ac:dyDescent="0.2">
      <c r="A127" s="760" t="s">
        <v>663</v>
      </c>
      <c r="B127" s="760" t="s">
        <v>1934</v>
      </c>
      <c r="C127" s="765">
        <v>4300</v>
      </c>
      <c r="D127" s="766" t="str">
        <f>'Revenues 9-14'!A204</f>
        <v>Total Title I</v>
      </c>
      <c r="E127" s="739"/>
      <c r="F127" s="1843">
        <f>SUM('Revenues 9-14'!C204,'Revenues 9-14'!D204,'Revenues 9-14'!F204,'Revenues 9-14'!G204)</f>
        <v>11855</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3464</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21664</v>
      </c>
      <c r="G171" s="760"/>
    </row>
    <row r="172" spans="1:7" x14ac:dyDescent="0.2">
      <c r="A172" s="1579" t="s">
        <v>5</v>
      </c>
      <c r="B172" s="1580" t="s">
        <v>1888</v>
      </c>
      <c r="C172" s="1581">
        <v>3100</v>
      </c>
      <c r="D172" s="1582" t="s">
        <v>1890</v>
      </c>
      <c r="E172" s="739"/>
      <c r="F172" s="1844">
        <v>56999.3</v>
      </c>
      <c r="G172" s="760"/>
    </row>
    <row r="173" spans="1:7" x14ac:dyDescent="0.2">
      <c r="A173" s="1579" t="s">
        <v>659</v>
      </c>
      <c r="B173" s="1580" t="s">
        <v>1888</v>
      </c>
      <c r="C173" s="1581">
        <v>3300</v>
      </c>
      <c r="D173" s="1582" t="s">
        <v>1891</v>
      </c>
      <c r="E173" s="739"/>
      <c r="F173" s="1844">
        <v>0</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479625.3</v>
      </c>
    </row>
    <row r="176" spans="1:7" ht="12" customHeight="1" x14ac:dyDescent="0.2">
      <c r="A176" s="1492"/>
      <c r="B176" s="1502"/>
      <c r="C176" s="1503"/>
      <c r="D176" s="1504" t="s">
        <v>2017</v>
      </c>
      <c r="E176" s="1505"/>
      <c r="F176" s="1843">
        <f>'PCTC-OEPP 27-28'!F78-F175</f>
        <v>3892391.7</v>
      </c>
    </row>
    <row r="177" spans="1:9" ht="12" customHeight="1" x14ac:dyDescent="0.2">
      <c r="A177" s="1492"/>
      <c r="B177" s="1502"/>
      <c r="C177" s="1503"/>
      <c r="D177" s="1504" t="s">
        <v>1797</v>
      </c>
      <c r="E177" s="1505"/>
      <c r="F177" s="1843">
        <f>'Cap Outlay Deprec 26'!I18</f>
        <v>181040</v>
      </c>
    </row>
    <row r="178" spans="1:9" ht="12" customHeight="1" x14ac:dyDescent="0.2">
      <c r="A178" s="1492"/>
      <c r="B178" s="1502"/>
      <c r="C178" s="1503"/>
      <c r="D178" s="1504" t="s">
        <v>2018</v>
      </c>
      <c r="E178" s="1505"/>
      <c r="F178" s="1843">
        <f>F176+F177</f>
        <v>4073431.7</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300.60000000000002</v>
      </c>
      <c r="G179" s="763"/>
      <c r="I179" s="701"/>
    </row>
    <row r="180" spans="1:9" ht="12" customHeight="1" thickBot="1" x14ac:dyDescent="0.25">
      <c r="A180" s="1492"/>
      <c r="B180" s="1506"/>
      <c r="C180" s="1503"/>
      <c r="D180" s="1504" t="s">
        <v>2020</v>
      </c>
      <c r="E180" s="1505" t="s">
        <v>1531</v>
      </c>
      <c r="F180" s="1848">
        <f>F178/F179</f>
        <v>13551.003659347971</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ageMargins left="0.54" right="0.2" top="0.7" bottom="0.45" header="0.19" footer="0.17"/>
  <pageSetup scale="70" firstPageNumber="27" orientation="portrait" useFirstPageNumber="1" r:id="rId2"/>
  <headerFooter alignWithMargins="0">
    <oddHeader>&amp;L&amp;8Page &amp;P&amp;C &amp;R&amp;8Page &amp;P</oddHeader>
    <oddFooter>&amp;L&amp;8Print Date: &amp;D
&amp;F&amp;RThe notes to the financial statements are an integral part of this statement.</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pageSetUpPr fitToPage="1"/>
  </sheetPr>
  <dimension ref="A1:G142"/>
  <sheetViews>
    <sheetView showGridLines="0" zoomScaleNormal="100" workbookViewId="0">
      <selection activeCell="A19" sqref="A19"/>
    </sheetView>
  </sheetViews>
  <sheetFormatPr defaultColWidth="9.140625"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45" customHeight="1" x14ac:dyDescent="0.25">
      <c r="A3" s="1928"/>
      <c r="B3" s="1929"/>
      <c r="C3" s="1928"/>
      <c r="D3" s="1928"/>
      <c r="E3" s="1928"/>
      <c r="F3" s="1928"/>
    </row>
    <row r="4" spans="1:6" ht="18.75" customHeight="1" x14ac:dyDescent="0.25">
      <c r="A4" s="2452" t="s">
        <v>1798</v>
      </c>
      <c r="B4" s="2453"/>
      <c r="C4" s="2453"/>
      <c r="D4" s="2453"/>
      <c r="E4" s="2453"/>
      <c r="F4" s="2454"/>
    </row>
    <row r="5" spans="1:6" x14ac:dyDescent="0.25">
      <c r="A5" s="2455"/>
      <c r="B5" s="2456"/>
      <c r="C5" s="2456"/>
      <c r="D5" s="2456"/>
      <c r="E5" s="2456"/>
      <c r="F5" s="2457"/>
    </row>
    <row r="6" spans="1:6" ht="18.75" x14ac:dyDescent="0.25">
      <c r="A6" s="1930" t="s">
        <v>1799</v>
      </c>
      <c r="B6" s="1931"/>
      <c r="C6" s="1932"/>
      <c r="D6" s="1932"/>
      <c r="E6" s="1932"/>
      <c r="F6" s="1933"/>
    </row>
    <row r="7" spans="1:6" ht="47.25" customHeight="1" x14ac:dyDescent="0.25">
      <c r="A7" s="2458" t="s">
        <v>1988</v>
      </c>
      <c r="B7" s="2459"/>
      <c r="C7" s="2459"/>
      <c r="D7" s="2459"/>
      <c r="E7" s="2459"/>
      <c r="F7" s="2460"/>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95" customHeight="1" x14ac:dyDescent="0.25">
      <c r="A10" s="2461" t="s">
        <v>1984</v>
      </c>
      <c r="B10" s="2462"/>
      <c r="C10" s="2462"/>
      <c r="D10" s="2462"/>
      <c r="E10" s="2462"/>
      <c r="F10" s="2463"/>
    </row>
    <row r="11" spans="1:6" ht="33" customHeight="1" x14ac:dyDescent="0.25">
      <c r="A11" s="2458" t="s">
        <v>1989</v>
      </c>
      <c r="B11" s="2459"/>
      <c r="C11" s="2459"/>
      <c r="D11" s="2459"/>
      <c r="E11" s="2459"/>
      <c r="F11" s="2460"/>
    </row>
    <row r="12" spans="1:6" ht="15" customHeight="1" x14ac:dyDescent="0.25">
      <c r="A12" s="1936" t="s">
        <v>1985</v>
      </c>
      <c r="B12" s="1937"/>
      <c r="C12" s="1938"/>
      <c r="D12" s="1938"/>
      <c r="E12" s="1938"/>
      <c r="F12" s="1939"/>
    </row>
    <row r="13" spans="1:6" ht="17.25" customHeight="1" x14ac:dyDescent="0.25">
      <c r="A13" s="2458" t="s">
        <v>1986</v>
      </c>
      <c r="B13" s="2459"/>
      <c r="C13" s="2459"/>
      <c r="D13" s="2459"/>
      <c r="E13" s="2459"/>
      <c r="F13" s="2460"/>
    </row>
    <row r="14" spans="1:6" ht="15" customHeight="1" x14ac:dyDescent="0.25">
      <c r="A14" s="1936" t="s">
        <v>1803</v>
      </c>
      <c r="B14" s="1937"/>
      <c r="C14" s="1938"/>
      <c r="D14" s="1938"/>
      <c r="E14" s="1938"/>
      <c r="F14" s="1939"/>
    </row>
    <row r="15" spans="1:6" ht="32.25" customHeight="1" x14ac:dyDescent="0.25">
      <c r="A15" s="244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50"/>
      <c r="C15" s="2450"/>
      <c r="D15" s="2450"/>
      <c r="E15" s="2450"/>
      <c r="F15" s="2451"/>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x14ac:dyDescent="0.25">
      <c r="A18" s="1991" t="s">
        <v>2089</v>
      </c>
      <c r="B18" s="1971"/>
      <c r="C18" s="1982"/>
      <c r="D18" s="1949"/>
      <c r="E18" s="1969">
        <f t="shared" ref="E18:E81" si="0">IF(D18&lt;25000,D18,"25,000")</f>
        <v>0</v>
      </c>
      <c r="F18" s="1969" t="str">
        <f t="shared" ref="F18:F81" si="1">IF(D18&gt;=25000,(D18-E18),"0")</f>
        <v>0</v>
      </c>
      <c r="G18" s="1950"/>
    </row>
    <row r="19" spans="1:7" x14ac:dyDescent="0.25">
      <c r="A19" s="1951"/>
      <c r="B19" s="1971"/>
      <c r="C19" s="1948"/>
      <c r="D19" s="1949"/>
      <c r="E19" s="1969">
        <f t="shared" si="0"/>
        <v>0</v>
      </c>
      <c r="F19" s="1969" t="str">
        <f t="shared" si="1"/>
        <v>0</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0</v>
      </c>
      <c r="E142" s="1956">
        <f>SUM(E18:E141)</f>
        <v>0</v>
      </c>
      <c r="F142" s="1957">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&amp;RThe notes to the financial statements are an integral part of this statement.</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FF00"/>
  </sheetPr>
  <dimension ref="A1:M46"/>
  <sheetViews>
    <sheetView showGridLines="0" defaultGridColor="0" topLeftCell="A19"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2"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64" t="s">
        <v>1663</v>
      </c>
      <c r="B5" s="2465"/>
      <c r="C5" s="2465"/>
      <c r="D5" s="2465"/>
      <c r="E5" s="2465"/>
      <c r="F5" s="2465"/>
      <c r="G5" s="2466"/>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v>91700</v>
      </c>
      <c r="F10" s="805"/>
      <c r="G10" s="806"/>
      <c r="H10" s="157"/>
      <c r="I10" s="157"/>
    </row>
    <row r="11" spans="1:13" s="542" customFormat="1" ht="22.5" customHeight="1" x14ac:dyDescent="0.2">
      <c r="A11" s="246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70"/>
      <c r="C11" s="2470"/>
      <c r="D11" s="2471"/>
      <c r="E11" s="1851">
        <v>6566</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2548684</v>
      </c>
      <c r="F19" s="1852"/>
      <c r="G19" s="1854">
        <f>'Expenditures 15-22'!K33-SUM('Expenditures 15-22'!G33,'Expenditures 15-22'!I33)+'Expenditures 15-22'!D229</f>
        <v>2548684</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235075</v>
      </c>
      <c r="F21" s="1855"/>
      <c r="G21" s="1858">
        <f>'Expenditures 15-22'!K42-SUM('Expenditures 15-22'!G42,'Expenditures 15-22'!I42)+'Expenditures 15-22'!K120-SUM('Expenditures 15-22'!G120,'Expenditures 15-22'!I120)+'Expenditures 15-22'!K180-SUM('Expenditures 15-22'!G180,'Expenditures 15-22'!I180)+'Expenditures 15-22'!D238</f>
        <v>235075</v>
      </c>
      <c r="H21" s="817"/>
      <c r="I21" s="157"/>
    </row>
    <row r="22" spans="1:9" s="542" customFormat="1" ht="12" customHeight="1" x14ac:dyDescent="0.2">
      <c r="A22" s="824" t="s">
        <v>560</v>
      </c>
      <c r="B22" s="825"/>
      <c r="C22" s="823">
        <v>2200</v>
      </c>
      <c r="D22" s="1855"/>
      <c r="E22" s="1857">
        <f>'Expenditures 15-22'!K47-SUM('Expenditures 15-22'!G47,'Expenditures 15-22'!I47)+'Expenditures 15-22'!D243</f>
        <v>199547</v>
      </c>
      <c r="F22" s="1855"/>
      <c r="G22" s="1858">
        <f>'Expenditures 15-22'!K47-SUM('Expenditures 15-22'!G47,'Expenditures 15-22'!I47)+'Expenditures 15-22'!D243</f>
        <v>199547</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192615</v>
      </c>
      <c r="F23" s="1855"/>
      <c r="G23" s="1857">
        <f>'Expenditures 15-22'!K53-SUM('Expenditures 15-22'!G53,'Expenditures 15-22'!I53)+'Expenditures 15-22'!D257+'Expenditures 15-22'!K330-SUM('Expenditures 15-22'!G330,'Expenditures 15-22'!I330)</f>
        <v>192615</v>
      </c>
      <c r="H23" s="817"/>
      <c r="I23" s="157"/>
    </row>
    <row r="24" spans="1:9" s="542" customFormat="1" ht="12" customHeight="1" x14ac:dyDescent="0.2">
      <c r="A24" s="824" t="s">
        <v>562</v>
      </c>
      <c r="B24" s="825"/>
      <c r="C24" s="823">
        <v>2400</v>
      </c>
      <c r="D24" s="1855"/>
      <c r="E24" s="1857">
        <f>'Expenditures 15-22'!K57-SUM('Expenditures 15-22'!G57,'Expenditures 15-22'!I57)+'Expenditures 15-22'!D261</f>
        <v>143247</v>
      </c>
      <c r="F24" s="1855"/>
      <c r="G24" s="1858">
        <f>'Expenditures 15-22'!K57-SUM('Expenditures 15-22'!G57,'Expenditures 15-22'!I57)+'Expenditures 15-22'!D261</f>
        <v>143247</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80947</v>
      </c>
      <c r="E27" s="1857">
        <f>E8</f>
        <v>0</v>
      </c>
      <c r="F27" s="1857">
        <f>'Expenditures 15-22'!K60-SUM('Expenditures 15-22'!G60,'Expenditures 15-22'!I60)+'Expenditures 15-22'!D264-E8</f>
        <v>80947</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451579</v>
      </c>
      <c r="F28" s="1859">
        <f>'Expenditures 15-22'!K61-SUM('Expenditures 15-22'!G61,'Expenditures 15-22'!I61)+'Expenditures 15-22'!K124-SUM('Expenditures 15-22'!G124,'Expenditures 15-22'!I124)+'Expenditures 15-22'!D266-E9</f>
        <v>451579</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300376</v>
      </c>
      <c r="F29" s="1855"/>
      <c r="G29" s="1858">
        <f>'Expenditures 15-22'!K62-SUM('Expenditures 15-22'!G62,'Expenditures 15-22'!I62)+'Expenditures 15-22'!K125-SUM('Expenditures 15-22'!G125,'Expenditures 15-22'!I125)+'Expenditures 15-22'!K182-SUM('Expenditures 15-22'!G182,'Expenditures 15-22'!I182)+'Expenditures 15-22'!D267</f>
        <v>300376</v>
      </c>
      <c r="H29" s="815"/>
    </row>
    <row r="30" spans="1:9" ht="12" customHeight="1" x14ac:dyDescent="0.2">
      <c r="A30" s="824" t="s">
        <v>100</v>
      </c>
      <c r="B30" s="827"/>
      <c r="C30" s="823">
        <v>2560</v>
      </c>
      <c r="D30" s="1855"/>
      <c r="E30" s="1857">
        <f>'Expenditures 15-22'!K63-SUM('Expenditures 15-22'!G63,'Expenditures 15-22'!I63)+'Expenditures 15-22'!D268-E10</f>
        <v>222484</v>
      </c>
      <c r="F30" s="1855"/>
      <c r="G30" s="1857">
        <f>'Expenditures 15-22'!K63-SUM('Expenditures 15-22'!G63,'Expenditures 15-22'!I63)+'Expenditures 15-22'!D268-E10</f>
        <v>222484</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5"/>
      <c r="E40" s="1859">
        <f>-'Contracts Paid in CY 29'!F142</f>
        <v>0</v>
      </c>
      <c r="F40" s="1855"/>
      <c r="G40" s="1859">
        <f>-'Contracts Paid in CY 29'!F142</f>
        <v>0</v>
      </c>
    </row>
    <row r="41" spans="1:7" ht="12" customHeight="1" x14ac:dyDescent="0.2">
      <c r="A41" s="828" t="s">
        <v>155</v>
      </c>
      <c r="B41" s="829"/>
      <c r="C41" s="830"/>
      <c r="D41" s="1859">
        <f>SUM(D19:D39)</f>
        <v>80947</v>
      </c>
      <c r="E41" s="1859">
        <f>SUM(E19:E40)</f>
        <v>4293607</v>
      </c>
      <c r="F41" s="1859">
        <f>SUM(F19:F39)</f>
        <v>532526</v>
      </c>
      <c r="G41" s="1859">
        <f>SUM(G19:G40)</f>
        <v>3842028</v>
      </c>
    </row>
    <row r="42" spans="1:7" x14ac:dyDescent="0.2">
      <c r="A42" s="817"/>
      <c r="B42" s="157"/>
      <c r="C42" s="831"/>
      <c r="D42" s="2467" t="s">
        <v>519</v>
      </c>
      <c r="E42" s="2468"/>
      <c r="F42" s="832" t="s">
        <v>520</v>
      </c>
      <c r="G42" s="833"/>
    </row>
    <row r="43" spans="1:7" ht="12" customHeight="1" x14ac:dyDescent="0.2">
      <c r="A43" s="817"/>
      <c r="B43" s="157"/>
      <c r="C43" s="831"/>
      <c r="D43" s="1507" t="s">
        <v>470</v>
      </c>
      <c r="E43" s="1860">
        <f>D41</f>
        <v>80947</v>
      </c>
      <c r="F43" s="1507" t="s">
        <v>470</v>
      </c>
      <c r="G43" s="1860">
        <f>F41</f>
        <v>532526</v>
      </c>
    </row>
    <row r="44" spans="1:7" ht="12" customHeight="1" x14ac:dyDescent="0.2">
      <c r="A44" s="817"/>
      <c r="B44" s="157"/>
      <c r="C44" s="831"/>
      <c r="D44" s="1507" t="s">
        <v>471</v>
      </c>
      <c r="E44" s="1860">
        <f>E41</f>
        <v>4293607</v>
      </c>
      <c r="F44" s="1507" t="s">
        <v>471</v>
      </c>
      <c r="G44" s="1860">
        <f>G41</f>
        <v>3842028</v>
      </c>
    </row>
    <row r="45" spans="1:7" ht="12" customHeight="1" x14ac:dyDescent="0.2">
      <c r="A45" s="817"/>
      <c r="B45" s="157"/>
      <c r="C45" s="157"/>
      <c r="D45" s="1508" t="s">
        <v>999</v>
      </c>
      <c r="E45" s="1861">
        <f>(E43/E44)</f>
        <v>1.8852913179990622E-2</v>
      </c>
      <c r="F45" s="1508" t="s">
        <v>999</v>
      </c>
      <c r="G45" s="1861">
        <f>(G43/G44)</f>
        <v>0.13860544483278103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&amp;F&amp;RThe notes to the financial statements are an integral part of this statement.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FF00"/>
  </sheetPr>
  <dimension ref="A1:O97"/>
  <sheetViews>
    <sheetView showGridLines="0" zoomScale="110" zoomScaleNormal="110" workbookViewId="0">
      <pane ySplit="4" topLeftCell="A5" activePane="bottomLeft" state="frozen"/>
      <selection activeCell="A47" sqref="A47"/>
      <selection pane="bottomLeft" activeCell="F33" sqref="F33"/>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75" t="s">
        <v>1365</v>
      </c>
      <c r="B1" s="2475"/>
      <c r="C1" s="2475"/>
      <c r="D1" s="2475"/>
      <c r="E1" s="2475"/>
      <c r="F1" s="2475"/>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76" t="s">
        <v>1532</v>
      </c>
      <c r="B5" s="2477"/>
      <c r="C5" s="2478"/>
      <c r="D5" s="2478"/>
      <c r="E5" s="2478"/>
      <c r="F5" s="2478"/>
      <c r="G5" s="1556"/>
      <c r="L5" s="1556"/>
      <c r="M5" s="1913"/>
      <c r="N5" s="1913"/>
      <c r="O5" s="1913"/>
    </row>
    <row r="6" spans="1:15" ht="12" customHeight="1" x14ac:dyDescent="0.25">
      <c r="A6" s="1529"/>
      <c r="B6" s="1530"/>
      <c r="C6" s="2479" t="str">
        <f>COVER!A17</f>
        <v xml:space="preserve">   Williamsfield CUSD 210</v>
      </c>
      <c r="D6" s="2479"/>
      <c r="E6" s="2479"/>
      <c r="F6" s="1531"/>
      <c r="G6" s="1556"/>
      <c r="L6" s="1556"/>
      <c r="M6" s="1913"/>
      <c r="N6" s="1913"/>
      <c r="O6" s="1913"/>
    </row>
    <row r="7" spans="1:15" ht="11.25" customHeight="1" thickBot="1" x14ac:dyDescent="0.3">
      <c r="A7" s="1529"/>
      <c r="B7" s="1530"/>
      <c r="C7" s="2480">
        <f>COVER!A13</f>
        <v>33048210026</v>
      </c>
      <c r="D7" s="2480"/>
      <c r="E7" s="2480"/>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9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t="s">
        <v>2021</v>
      </c>
      <c r="D26" s="1544" t="s">
        <v>2021</v>
      </c>
      <c r="E26" s="1547" t="s">
        <v>2021</v>
      </c>
      <c r="F26" s="1546" t="s">
        <v>2047</v>
      </c>
      <c r="G26" s="1556"/>
      <c r="H26" s="1556">
        <f t="shared" si="0"/>
        <v>5</v>
      </c>
      <c r="I26" s="1556">
        <f t="shared" si="1"/>
        <v>5</v>
      </c>
      <c r="J26" s="1556">
        <f t="shared" si="2"/>
        <v>5</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t="s">
        <v>2021</v>
      </c>
      <c r="D31" s="1544" t="s">
        <v>2021</v>
      </c>
      <c r="E31" s="1547" t="s">
        <v>2021</v>
      </c>
      <c r="F31" s="1546" t="s">
        <v>2049</v>
      </c>
      <c r="G31" s="1556"/>
      <c r="H31" s="1556">
        <f t="shared" si="0"/>
        <v>5</v>
      </c>
      <c r="I31" s="1556">
        <f t="shared" si="1"/>
        <v>5</v>
      </c>
      <c r="J31" s="1556">
        <f t="shared" si="2"/>
        <v>5</v>
      </c>
      <c r="L31" s="1914"/>
      <c r="M31" s="1913"/>
      <c r="N31" s="1913"/>
      <c r="O31" s="1913"/>
    </row>
    <row r="32" spans="1:15" ht="12" customHeight="1" x14ac:dyDescent="0.2">
      <c r="A32" s="1542" t="s">
        <v>1526</v>
      </c>
      <c r="B32" s="1543"/>
      <c r="C32" s="1544" t="s">
        <v>2021</v>
      </c>
      <c r="D32" s="1544" t="s">
        <v>2021</v>
      </c>
      <c r="E32" s="1547" t="s">
        <v>2021</v>
      </c>
      <c r="F32" s="1546" t="s">
        <v>2050</v>
      </c>
      <c r="G32" s="1556"/>
      <c r="H32" s="1556">
        <f t="shared" si="0"/>
        <v>5</v>
      </c>
      <c r="I32" s="1556">
        <f t="shared" si="1"/>
        <v>5</v>
      </c>
      <c r="J32" s="1556">
        <f t="shared" si="2"/>
        <v>5</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15</v>
      </c>
      <c r="I34" s="1556">
        <f>SUM(I11:I32)</f>
        <v>15</v>
      </c>
      <c r="J34" s="1556">
        <f>SUM(J11:J32)</f>
        <v>15</v>
      </c>
      <c r="K34" s="1556">
        <f>SUM(H34:J34)</f>
        <v>45</v>
      </c>
      <c r="L34" s="1556"/>
      <c r="M34" s="1913"/>
      <c r="N34" s="1913"/>
      <c r="O34" s="1913"/>
    </row>
    <row r="35" spans="1:15" ht="12" customHeight="1" x14ac:dyDescent="0.2">
      <c r="A35" s="1549" t="s">
        <v>1378</v>
      </c>
      <c r="B35" s="1550"/>
      <c r="C35" s="2481"/>
      <c r="D35" s="2481"/>
      <c r="E35" s="2481"/>
      <c r="F35" s="2482"/>
    </row>
    <row r="36" spans="1:15" ht="12" customHeight="1" x14ac:dyDescent="0.2">
      <c r="A36" s="2472"/>
      <c r="B36" s="2473"/>
      <c r="C36" s="2473"/>
      <c r="D36" s="2473"/>
      <c r="E36" s="2473"/>
      <c r="F36" s="2474"/>
    </row>
    <row r="37" spans="1:15" ht="12" customHeight="1" x14ac:dyDescent="0.2">
      <c r="A37" s="2472"/>
      <c r="B37" s="2473"/>
      <c r="C37" s="2473"/>
      <c r="D37" s="2473"/>
      <c r="E37" s="2473"/>
      <c r="F37" s="2474"/>
    </row>
    <row r="38" spans="1:15" ht="12" customHeight="1" x14ac:dyDescent="0.2">
      <c r="A38" s="2486"/>
      <c r="B38" s="2487"/>
      <c r="C38" s="2487"/>
      <c r="D38" s="2487"/>
      <c r="E38" s="2487"/>
      <c r="F38" s="2488"/>
    </row>
    <row r="39" spans="1:15" ht="4.5" hidden="1" customHeight="1" x14ac:dyDescent="0.2">
      <c r="A39" s="1551"/>
      <c r="B39" s="1551"/>
      <c r="C39" s="1551"/>
      <c r="D39" s="1551"/>
      <c r="E39" s="1551"/>
      <c r="F39" s="1551"/>
    </row>
    <row r="40" spans="1:15" s="1548" customFormat="1" ht="12" customHeight="1" x14ac:dyDescent="0.25">
      <c r="A40" s="1552" t="s">
        <v>1377</v>
      </c>
      <c r="B40" s="1553"/>
      <c r="C40" s="2489"/>
      <c r="D40" s="2489"/>
      <c r="E40" s="2489"/>
      <c r="F40" s="2490"/>
      <c r="H40" s="1557"/>
      <c r="I40" s="1557"/>
      <c r="J40" s="1557"/>
      <c r="K40" s="1557"/>
    </row>
    <row r="41" spans="1:15" s="1548" customFormat="1" ht="12" customHeight="1" x14ac:dyDescent="0.25">
      <c r="A41" s="2491"/>
      <c r="B41" s="2492"/>
      <c r="C41" s="2492"/>
      <c r="D41" s="2492"/>
      <c r="E41" s="2492"/>
      <c r="F41" s="2493"/>
      <c r="H41" s="1557"/>
      <c r="I41" s="1557"/>
      <c r="J41" s="1557"/>
      <c r="K41" s="1557"/>
    </row>
    <row r="42" spans="1:15" s="1548" customFormat="1" ht="12" customHeight="1" x14ac:dyDescent="0.25">
      <c r="A42" s="2491"/>
      <c r="B42" s="2492"/>
      <c r="C42" s="2492"/>
      <c r="D42" s="2492"/>
      <c r="E42" s="2492"/>
      <c r="F42" s="2493"/>
      <c r="H42" s="1557"/>
      <c r="I42" s="1557"/>
      <c r="J42" s="1557"/>
      <c r="K42" s="1557"/>
    </row>
    <row r="43" spans="1:15" s="1548" customFormat="1" ht="15" x14ac:dyDescent="0.25">
      <c r="A43" s="2483"/>
      <c r="B43" s="2484"/>
      <c r="C43" s="2484"/>
      <c r="D43" s="2484"/>
      <c r="E43" s="2484"/>
      <c r="F43" s="2485"/>
      <c r="H43" s="1557"/>
      <c r="I43" s="1557"/>
      <c r="J43" s="1557"/>
      <c r="K43" s="1557"/>
    </row>
    <row r="44" spans="1:15" s="1548" customFormat="1" ht="12" hidden="1" customHeight="1" x14ac:dyDescent="0.25">
      <c r="A44" s="2483"/>
      <c r="B44" s="2484"/>
      <c r="C44" s="2484"/>
      <c r="D44" s="2484"/>
      <c r="E44" s="2484"/>
      <c r="F44" s="2485"/>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ageMargins left="0.3" right="0.2" top="0.68" bottom="0.37" header="0.17" footer="0.17"/>
  <pageSetup scale="85" orientation="landscape" r:id="rId1"/>
  <headerFooter>
    <oddFooter>&amp;C&amp;8Page 31&amp;RThe notes to the financial statements are an integral part of this statement.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FFFF00"/>
    <pageSetUpPr fitToPage="1"/>
  </sheetPr>
  <dimension ref="A1:R40"/>
  <sheetViews>
    <sheetView showGridLines="0" defaultGridColor="0" topLeftCell="A10" colorId="8" zoomScaleNormal="100" workbookViewId="0">
      <selection activeCell="H13" sqref="H13"/>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499" t="str">
        <f>COVER!A17</f>
        <v xml:space="preserve">   Williamsfield CUSD 210</v>
      </c>
      <c r="J6" s="2500"/>
      <c r="K6" s="2501"/>
      <c r="R6" s="1427"/>
    </row>
    <row r="7" spans="1:18" x14ac:dyDescent="0.2">
      <c r="A7" s="2502" t="s">
        <v>864</v>
      </c>
      <c r="B7" s="2503"/>
      <c r="C7" s="2503"/>
      <c r="D7" s="2503"/>
      <c r="E7" s="2504"/>
      <c r="F7" s="847"/>
      <c r="G7" s="839"/>
      <c r="H7" s="846" t="s">
        <v>369</v>
      </c>
      <c r="I7" s="2505">
        <f>COVER!A13</f>
        <v>33048210026</v>
      </c>
      <c r="J7" s="2505"/>
      <c r="K7" s="2505"/>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506" t="s">
        <v>478</v>
      </c>
      <c r="B11" s="2507"/>
      <c r="C11" s="2508"/>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72171</v>
      </c>
      <c r="F12" s="1864"/>
      <c r="G12" s="1863">
        <f t="shared" ref="G12:G18" si="0">SUM(E12:F12)</f>
        <v>72171</v>
      </c>
      <c r="H12" s="1865">
        <v>73950</v>
      </c>
      <c r="I12" s="1864"/>
      <c r="J12" s="1865"/>
      <c r="K12" s="1863">
        <f t="shared" ref="K12:K18" si="1">SUM(H12:J12)</f>
        <v>73950</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9" t="s">
        <v>7</v>
      </c>
      <c r="C18" s="2510"/>
      <c r="D18" s="2511"/>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72171</v>
      </c>
      <c r="F19" s="1868">
        <f t="shared" si="2"/>
        <v>0</v>
      </c>
      <c r="G19" s="1868">
        <f t="shared" si="2"/>
        <v>72171</v>
      </c>
      <c r="H19" s="1868">
        <f t="shared" si="2"/>
        <v>73950</v>
      </c>
      <c r="I19" s="1868">
        <f t="shared" si="2"/>
        <v>0</v>
      </c>
      <c r="J19" s="1868">
        <f t="shared" si="2"/>
        <v>0</v>
      </c>
      <c r="K19" s="1868">
        <f t="shared" si="2"/>
        <v>73950</v>
      </c>
    </row>
    <row r="20" spans="1:11" ht="13.5" thickTop="1" x14ac:dyDescent="0.2">
      <c r="A20" s="863">
        <v>9</v>
      </c>
      <c r="B20" s="2512" t="str">
        <f>"Percent Increase (Decrease) for FY"&amp;'AFR20'!E2+1&amp;" (Budgeted) over FY"&amp;'AFR20'!E2&amp;" (Actual)"</f>
        <v>Percent Increase (Decrease) for FY2021 (Budgeted) over FY2020 (Actual)</v>
      </c>
      <c r="C20" s="2512"/>
      <c r="D20" s="2513"/>
      <c r="E20" s="1869"/>
      <c r="F20" s="1869"/>
      <c r="G20" s="1869"/>
      <c r="H20" s="1869"/>
      <c r="I20" s="1869"/>
      <c r="J20" s="1978"/>
      <c r="K20" s="1870">
        <f>IF(AND(G19&gt;0,K19&gt;0),(((K19-G19)/G19)),"Enter Budget Data")</f>
        <v>2.4649790081888848E-2</v>
      </c>
    </row>
    <row r="21" spans="1:11" ht="9.1999999999999993"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8"/>
      <c r="D26" s="2518"/>
      <c r="E26" s="874"/>
      <c r="F26" s="2517"/>
      <c r="G26" s="2517"/>
    </row>
    <row r="27" spans="1:11" x14ac:dyDescent="0.2">
      <c r="B27" s="871"/>
      <c r="C27" s="875" t="s">
        <v>1026</v>
      </c>
      <c r="D27" s="876"/>
      <c r="E27" s="877"/>
      <c r="F27" s="2514" t="s">
        <v>1495</v>
      </c>
      <c r="G27" s="2514"/>
    </row>
    <row r="28" spans="1:11" ht="28.5" customHeight="1" x14ac:dyDescent="0.2">
      <c r="B28" s="871"/>
      <c r="C28" s="2516"/>
      <c r="D28" s="2516"/>
      <c r="E28" s="878"/>
      <c r="F28" s="2516"/>
      <c r="G28" s="2516"/>
    </row>
    <row r="29" spans="1:11" x14ac:dyDescent="0.2">
      <c r="B29" s="871"/>
      <c r="C29" s="879" t="s">
        <v>1547</v>
      </c>
      <c r="E29" s="880"/>
      <c r="F29" s="2515" t="s">
        <v>1496</v>
      </c>
      <c r="G29" s="2515"/>
    </row>
    <row r="30" spans="1:11" ht="9.1999999999999993" customHeight="1" x14ac:dyDescent="0.2">
      <c r="B30" s="871"/>
      <c r="C30" s="881"/>
      <c r="E30" s="882"/>
      <c r="F30" s="883"/>
      <c r="G30" s="883"/>
    </row>
    <row r="31" spans="1:11" ht="15" customHeight="1" x14ac:dyDescent="0.2">
      <c r="A31" s="841"/>
      <c r="B31" s="884" t="s">
        <v>1027</v>
      </c>
    </row>
    <row r="32" spans="1:11" ht="9.1999999999999993" customHeight="1" x14ac:dyDescent="0.2">
      <c r="A32" s="841"/>
      <c r="B32" s="872"/>
    </row>
    <row r="33" spans="1:11" ht="12.75" customHeight="1" x14ac:dyDescent="0.2">
      <c r="A33" s="841"/>
      <c r="B33" s="885"/>
      <c r="C33" s="2496"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7"/>
      <c r="E33" s="2497"/>
      <c r="F33" s="2497"/>
      <c r="G33" s="2497"/>
      <c r="H33" s="2497"/>
      <c r="I33" s="2497"/>
      <c r="J33" s="1976"/>
    </row>
    <row r="34" spans="1:11" ht="10.35" customHeight="1" x14ac:dyDescent="0.2">
      <c r="C34" s="2497"/>
      <c r="D34" s="2497"/>
      <c r="E34" s="2497"/>
      <c r="F34" s="2497"/>
      <c r="G34" s="2497"/>
      <c r="H34" s="2497"/>
      <c r="I34" s="2497"/>
      <c r="J34" s="1976"/>
    </row>
    <row r="35" spans="1:11" ht="7.5" customHeight="1" x14ac:dyDescent="0.2">
      <c r="C35" s="886"/>
    </row>
    <row r="36" spans="1:11" ht="13.5" customHeight="1" x14ac:dyDescent="0.2">
      <c r="B36" s="885"/>
      <c r="C36" s="2498"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7"/>
      <c r="E36" s="2497"/>
      <c r="F36" s="2497"/>
      <c r="G36" s="2497"/>
      <c r="H36" s="2497"/>
      <c r="I36" s="2497"/>
      <c r="J36" s="1976"/>
      <c r="K36" s="887"/>
    </row>
    <row r="37" spans="1:11" ht="22.5" customHeight="1" x14ac:dyDescent="0.2">
      <c r="C37" s="2497"/>
      <c r="D37" s="2497"/>
      <c r="E37" s="2497"/>
      <c r="F37" s="2497"/>
      <c r="G37" s="2497"/>
      <c r="H37" s="2497"/>
      <c r="I37" s="2497"/>
      <c r="J37" s="1976"/>
      <c r="K37" s="887"/>
    </row>
    <row r="38" spans="1:11" ht="7.5" customHeight="1" x14ac:dyDescent="0.2">
      <c r="C38" s="886"/>
      <c r="D38" s="888"/>
      <c r="E38" s="889"/>
      <c r="F38" s="890"/>
      <c r="G38" s="889"/>
    </row>
    <row r="39" spans="1:11" ht="13.5" customHeight="1" x14ac:dyDescent="0.2">
      <c r="B39" s="885"/>
      <c r="C39" s="2494" t="str">
        <f>"The district will amend their budget to become in compliance with the limitation."</f>
        <v>The district will amend their budget to become in compliance with the limitation.</v>
      </c>
      <c r="D39" s="2495"/>
      <c r="E39" s="2495"/>
      <c r="F39" s="2495"/>
      <c r="G39" s="2495"/>
      <c r="H39" s="2495"/>
      <c r="I39" s="2495"/>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oddFooter>&amp;RThe notes to the financial statements are an integral part of this statement.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F42D4-C704-45BF-92DF-C9C3F2D81AF7}">
  <sheetPr>
    <tabColor rgb="FFFFFF00"/>
    <pageSetUpPr fitToPage="1"/>
  </sheetPr>
  <dimension ref="A1:N72"/>
  <sheetViews>
    <sheetView showGridLines="0" topLeftCell="A46" zoomScaleNormal="100" workbookViewId="0">
      <selection activeCell="E67" sqref="E67"/>
    </sheetView>
  </sheetViews>
  <sheetFormatPr defaultColWidth="9.140625" defaultRowHeight="15" x14ac:dyDescent="0.25"/>
  <cols>
    <col min="1" max="1" width="2.7109375" style="1997" customWidth="1"/>
    <col min="2" max="2" width="3" style="1997" customWidth="1"/>
    <col min="3" max="3" width="38" style="1997" customWidth="1"/>
    <col min="4" max="4" width="7.7109375" style="1997" customWidth="1"/>
    <col min="5" max="5" width="10.7109375" style="1997" customWidth="1"/>
    <col min="6" max="6" width="11" style="1997" customWidth="1"/>
    <col min="7" max="8" width="9.140625" style="1997"/>
    <col min="9" max="9" width="10.85546875" style="1997" customWidth="1"/>
    <col min="10" max="10" width="12.42578125" style="1997" customWidth="1"/>
    <col min="11" max="11" width="9.140625" style="1997"/>
    <col min="12" max="12" width="13.140625" style="1997" customWidth="1"/>
    <col min="13" max="13" width="9.140625" style="1997"/>
    <col min="14" max="14" width="17.85546875" style="1997" customWidth="1"/>
    <col min="15" max="16384" width="9.140625" style="1997"/>
  </cols>
  <sheetData>
    <row r="1" spans="1:14" x14ac:dyDescent="0.25">
      <c r="A1" s="1992"/>
      <c r="B1" s="1993"/>
      <c r="C1" s="1993"/>
      <c r="D1" s="1993"/>
      <c r="E1" s="1993"/>
      <c r="F1" s="1993"/>
      <c r="G1" s="1994" t="s">
        <v>402</v>
      </c>
      <c r="H1" s="1995"/>
      <c r="I1" s="1993"/>
      <c r="J1" s="1993"/>
      <c r="K1" s="1993"/>
      <c r="L1" s="1993"/>
      <c r="M1" s="1993"/>
      <c r="N1" s="1996"/>
    </row>
    <row r="2" spans="1:14" x14ac:dyDescent="0.25">
      <c r="A2" s="1998"/>
      <c r="B2" s="899"/>
      <c r="C2" s="899"/>
      <c r="D2" s="899"/>
      <c r="E2" s="899"/>
      <c r="F2" s="899"/>
      <c r="G2" s="1989" t="s">
        <v>2005</v>
      </c>
      <c r="H2" s="1999"/>
      <c r="I2" s="899"/>
      <c r="J2" s="899"/>
      <c r="K2" s="899"/>
      <c r="L2" s="899"/>
      <c r="M2" s="899"/>
      <c r="N2" s="2000"/>
    </row>
    <row r="3" spans="1:14" x14ac:dyDescent="0.25">
      <c r="A3" s="1998"/>
      <c r="B3" s="899"/>
      <c r="C3" s="899"/>
      <c r="D3" s="899"/>
      <c r="E3" s="899"/>
      <c r="F3" s="899"/>
      <c r="G3" s="1989" t="s">
        <v>403</v>
      </c>
      <c r="H3" s="899"/>
      <c r="I3" s="899"/>
      <c r="J3" s="899"/>
      <c r="K3" s="899"/>
      <c r="L3" s="899"/>
      <c r="M3" s="899"/>
      <c r="N3" s="2000"/>
    </row>
    <row r="4" spans="1:14" x14ac:dyDescent="0.25">
      <c r="A4" s="1998"/>
      <c r="B4" s="899"/>
      <c r="C4" s="899"/>
      <c r="D4" s="899"/>
      <c r="E4" s="899"/>
      <c r="F4" s="899"/>
      <c r="G4" s="1989" t="s">
        <v>863</v>
      </c>
      <c r="H4" s="899"/>
      <c r="I4" s="899"/>
      <c r="J4" s="899"/>
      <c r="K4" s="899"/>
      <c r="L4" s="899"/>
      <c r="M4" s="899"/>
      <c r="N4" s="2000"/>
    </row>
    <row r="5" spans="1:14" x14ac:dyDescent="0.25">
      <c r="A5" s="1998"/>
      <c r="B5" s="899"/>
      <c r="C5" s="899"/>
      <c r="D5" s="899"/>
      <c r="E5" s="899"/>
      <c r="F5" s="1989"/>
      <c r="G5" s="1989"/>
      <c r="H5" s="899"/>
      <c r="I5" s="899"/>
      <c r="J5" s="899"/>
      <c r="K5" s="899"/>
      <c r="L5" s="899"/>
      <c r="M5" s="899"/>
      <c r="N5" s="2000"/>
    </row>
    <row r="6" spans="1:14" x14ac:dyDescent="0.25">
      <c r="A6" s="2001" t="s">
        <v>667</v>
      </c>
      <c r="B6" s="1422"/>
      <c r="C6" s="1422"/>
      <c r="D6" s="1422"/>
      <c r="E6" s="1423"/>
      <c r="F6" s="2002"/>
      <c r="G6" s="1989"/>
      <c r="H6" s="899"/>
      <c r="I6" s="2003" t="s">
        <v>1021</v>
      </c>
      <c r="J6" s="2521" t="str">
        <f>COVER!A17</f>
        <v xml:space="preserve">   Williamsfield CUSD 210</v>
      </c>
      <c r="K6" s="2521"/>
      <c r="L6" s="2522"/>
      <c r="M6" s="899"/>
      <c r="N6" s="2000"/>
    </row>
    <row r="7" spans="1:14" x14ac:dyDescent="0.25">
      <c r="A7" s="2523" t="s">
        <v>864</v>
      </c>
      <c r="B7" s="2524"/>
      <c r="C7" s="2524"/>
      <c r="D7" s="2524"/>
      <c r="E7" s="2525"/>
      <c r="F7" s="2004"/>
      <c r="G7" s="899"/>
      <c r="H7" s="899"/>
      <c r="I7" s="2003" t="s">
        <v>369</v>
      </c>
      <c r="J7" s="2526">
        <f>COVER!A13</f>
        <v>33048210026</v>
      </c>
      <c r="K7" s="2526"/>
      <c r="L7" s="2526"/>
      <c r="M7" s="899"/>
      <c r="N7" s="2000"/>
    </row>
    <row r="8" spans="1:14" x14ac:dyDescent="0.25">
      <c r="A8" s="2005"/>
      <c r="B8" s="2006"/>
      <c r="C8" s="2006"/>
      <c r="D8" s="2006"/>
      <c r="E8" s="2007"/>
      <c r="F8" s="2008"/>
      <c r="G8" s="2009"/>
      <c r="H8" s="2009"/>
      <c r="I8" s="2009"/>
      <c r="J8" s="2009"/>
      <c r="K8" s="2009"/>
      <c r="L8" s="2009"/>
      <c r="M8" s="899"/>
      <c r="N8" s="2000"/>
    </row>
    <row r="9" spans="1:14" x14ac:dyDescent="0.25">
      <c r="A9" s="2010"/>
      <c r="B9" s="2011"/>
      <c r="C9" s="2011"/>
      <c r="D9" s="2012"/>
      <c r="E9" s="2013" t="s">
        <v>2090</v>
      </c>
      <c r="F9" s="2014"/>
      <c r="G9" s="2014"/>
      <c r="H9" s="2014"/>
      <c r="I9" s="2015" t="s">
        <v>2091</v>
      </c>
      <c r="J9" s="2014"/>
      <c r="K9" s="2014"/>
      <c r="L9" s="2016"/>
      <c r="M9" s="899"/>
      <c r="N9" s="2000"/>
    </row>
    <row r="10" spans="1:14" x14ac:dyDescent="0.25">
      <c r="A10" s="1998"/>
      <c r="B10" s="899"/>
      <c r="C10" s="1989"/>
      <c r="D10" s="2017"/>
      <c r="E10" s="2018" t="s">
        <v>422</v>
      </c>
      <c r="F10" s="2019" t="s">
        <v>423</v>
      </c>
      <c r="G10" s="2020" t="s">
        <v>429</v>
      </c>
      <c r="H10" s="2021"/>
      <c r="I10" s="2019" t="s">
        <v>422</v>
      </c>
      <c r="J10" s="2019" t="s">
        <v>423</v>
      </c>
      <c r="K10" s="2020" t="s">
        <v>429</v>
      </c>
      <c r="L10" s="2019"/>
      <c r="M10" s="899"/>
      <c r="N10" s="2000"/>
    </row>
    <row r="11" spans="1:14" ht="51" x14ac:dyDescent="0.25">
      <c r="A11" s="2527" t="s">
        <v>478</v>
      </c>
      <c r="B11" s="2528"/>
      <c r="C11" s="2529"/>
      <c r="D11" s="2022" t="s">
        <v>866</v>
      </c>
      <c r="E11" s="2022" t="s">
        <v>64</v>
      </c>
      <c r="F11" s="2022" t="s">
        <v>6</v>
      </c>
      <c r="G11" s="2023" t="s">
        <v>2092</v>
      </c>
      <c r="H11" s="2024" t="s">
        <v>155</v>
      </c>
      <c r="I11" s="2022" t="s">
        <v>64</v>
      </c>
      <c r="J11" s="2022" t="s">
        <v>6</v>
      </c>
      <c r="K11" s="2023" t="s">
        <v>2004</v>
      </c>
      <c r="L11" s="2024" t="s">
        <v>155</v>
      </c>
      <c r="M11" s="899"/>
      <c r="N11" s="2000"/>
    </row>
    <row r="12" spans="1:14" x14ac:dyDescent="0.25">
      <c r="A12" s="2025">
        <v>1</v>
      </c>
      <c r="B12" s="2026" t="s">
        <v>813</v>
      </c>
      <c r="C12" s="2027"/>
      <c r="D12" s="2028">
        <v>2320</v>
      </c>
      <c r="E12" s="2029">
        <f>'Expenditures 15-22'!K50</f>
        <v>72171</v>
      </c>
      <c r="F12" s="2030"/>
      <c r="G12" s="2031">
        <f>G68</f>
        <v>0</v>
      </c>
      <c r="H12" s="2032">
        <f t="shared" ref="H12:H18" si="0">SUM(E12:G12)</f>
        <v>72171</v>
      </c>
      <c r="I12" s="2033">
        <v>73950</v>
      </c>
      <c r="J12" s="2030"/>
      <c r="K12" s="2033"/>
      <c r="L12" s="2032">
        <f t="shared" ref="L12:L18" si="1">SUM(I12:K12)</f>
        <v>73950</v>
      </c>
      <c r="M12" s="899"/>
      <c r="N12" s="2000"/>
    </row>
    <row r="13" spans="1:14" x14ac:dyDescent="0.25">
      <c r="A13" s="2025">
        <v>2</v>
      </c>
      <c r="B13" s="2026" t="s">
        <v>42</v>
      </c>
      <c r="C13" s="2027"/>
      <c r="D13" s="2028">
        <v>2330</v>
      </c>
      <c r="E13" s="2029">
        <f>'Expenditures 15-22'!K51</f>
        <v>0</v>
      </c>
      <c r="F13" s="2030"/>
      <c r="G13" s="2031">
        <f>H68</f>
        <v>3394</v>
      </c>
      <c r="H13" s="2032">
        <f t="shared" si="0"/>
        <v>3394</v>
      </c>
      <c r="I13" s="2033"/>
      <c r="J13" s="2030"/>
      <c r="K13" s="2033"/>
      <c r="L13" s="2032">
        <f t="shared" si="1"/>
        <v>0</v>
      </c>
      <c r="M13" s="899"/>
      <c r="N13" s="2000"/>
    </row>
    <row r="14" spans="1:14" x14ac:dyDescent="0.25">
      <c r="A14" s="2025">
        <v>3</v>
      </c>
      <c r="B14" s="2026" t="s">
        <v>43</v>
      </c>
      <c r="C14" s="2027"/>
      <c r="D14" s="2034">
        <v>2490</v>
      </c>
      <c r="E14" s="2029">
        <f>'Expenditures 15-22'!K56</f>
        <v>0</v>
      </c>
      <c r="F14" s="2030"/>
      <c r="G14" s="2031">
        <f>I68</f>
        <v>0</v>
      </c>
      <c r="H14" s="2032">
        <f t="shared" si="0"/>
        <v>0</v>
      </c>
      <c r="I14" s="2033"/>
      <c r="J14" s="2030"/>
      <c r="K14" s="2033"/>
      <c r="L14" s="2032">
        <f t="shared" si="1"/>
        <v>0</v>
      </c>
      <c r="M14" s="899"/>
      <c r="N14" s="2000"/>
    </row>
    <row r="15" spans="1:14" x14ac:dyDescent="0.25">
      <c r="A15" s="2025">
        <v>4</v>
      </c>
      <c r="B15" s="2026" t="s">
        <v>1061</v>
      </c>
      <c r="C15" s="2027"/>
      <c r="D15" s="2028">
        <v>2510</v>
      </c>
      <c r="E15" s="2029">
        <f>'Expenditures 15-22'!K59</f>
        <v>0</v>
      </c>
      <c r="F15" s="2029">
        <f>'Expenditures 15-22'!K122</f>
        <v>0</v>
      </c>
      <c r="G15" s="2031">
        <f>J68</f>
        <v>36431</v>
      </c>
      <c r="H15" s="2032">
        <f t="shared" si="0"/>
        <v>36431</v>
      </c>
      <c r="I15" s="2033"/>
      <c r="J15" s="2033"/>
      <c r="K15" s="2033"/>
      <c r="L15" s="2032">
        <f t="shared" si="1"/>
        <v>0</v>
      </c>
      <c r="M15" s="899"/>
      <c r="N15" s="2000"/>
    </row>
    <row r="16" spans="1:14" x14ac:dyDescent="0.25">
      <c r="A16" s="2025">
        <v>5</v>
      </c>
      <c r="B16" s="2026" t="s">
        <v>101</v>
      </c>
      <c r="C16" s="2027"/>
      <c r="D16" s="2028">
        <v>2570</v>
      </c>
      <c r="E16" s="2029">
        <f>'Expenditures 15-22'!K64</f>
        <v>0</v>
      </c>
      <c r="F16" s="2030"/>
      <c r="G16" s="2031">
        <f>K68</f>
        <v>0</v>
      </c>
      <c r="H16" s="2032">
        <f t="shared" si="0"/>
        <v>0</v>
      </c>
      <c r="I16" s="2033"/>
      <c r="J16" s="2030"/>
      <c r="K16" s="2033"/>
      <c r="L16" s="2032">
        <f t="shared" si="1"/>
        <v>0</v>
      </c>
      <c r="M16" s="899"/>
      <c r="N16" s="2000"/>
    </row>
    <row r="17" spans="1:14" x14ac:dyDescent="0.25">
      <c r="A17" s="2025">
        <v>6</v>
      </c>
      <c r="B17" s="2026" t="s">
        <v>1053</v>
      </c>
      <c r="C17" s="2027"/>
      <c r="D17" s="2028">
        <v>2610</v>
      </c>
      <c r="E17" s="2029">
        <f>'Expenditures 15-22'!K67</f>
        <v>0</v>
      </c>
      <c r="F17" s="2030"/>
      <c r="G17" s="2031">
        <f>L68</f>
        <v>33324</v>
      </c>
      <c r="H17" s="2032">
        <f t="shared" si="0"/>
        <v>33324</v>
      </c>
      <c r="I17" s="2033"/>
      <c r="J17" s="2030"/>
      <c r="K17" s="2033"/>
      <c r="L17" s="2032">
        <f t="shared" si="1"/>
        <v>0</v>
      </c>
      <c r="M17" s="899"/>
      <c r="N17" s="2000"/>
    </row>
    <row r="18" spans="1:14" ht="28.5" customHeight="1" x14ac:dyDescent="0.25">
      <c r="A18" s="2035">
        <v>7</v>
      </c>
      <c r="B18" s="2510" t="s">
        <v>7</v>
      </c>
      <c r="C18" s="2510"/>
      <c r="D18" s="2511"/>
      <c r="E18" s="2033"/>
      <c r="F18" s="2033"/>
      <c r="G18" s="2033"/>
      <c r="H18" s="2032">
        <f t="shared" si="0"/>
        <v>0</v>
      </c>
      <c r="I18" s="2033"/>
      <c r="J18" s="2033"/>
      <c r="K18" s="2033"/>
      <c r="L18" s="2032">
        <f t="shared" si="1"/>
        <v>0</v>
      </c>
      <c r="M18" s="899"/>
      <c r="N18" s="2000"/>
    </row>
    <row r="19" spans="1:14" ht="15.75" thickBot="1" x14ac:dyDescent="0.3">
      <c r="A19" s="2025">
        <v>8</v>
      </c>
      <c r="B19" s="2036" t="s">
        <v>1153</v>
      </c>
      <c r="C19" s="899"/>
      <c r="D19" s="2037"/>
      <c r="E19" s="2038">
        <f t="shared" ref="E19:L19" si="2">SUM(E12:E17)-E18</f>
        <v>72171</v>
      </c>
      <c r="F19" s="2038">
        <f t="shared" si="2"/>
        <v>0</v>
      </c>
      <c r="G19" s="2038">
        <f t="shared" ref="G19" si="3">SUM(G12:G17)-G18</f>
        <v>73149</v>
      </c>
      <c r="H19" s="2038">
        <f t="shared" si="2"/>
        <v>145320</v>
      </c>
      <c r="I19" s="2038">
        <f t="shared" si="2"/>
        <v>73950</v>
      </c>
      <c r="J19" s="2038">
        <f t="shared" si="2"/>
        <v>0</v>
      </c>
      <c r="K19" s="2038">
        <f t="shared" si="2"/>
        <v>0</v>
      </c>
      <c r="L19" s="2038">
        <f t="shared" si="2"/>
        <v>73950</v>
      </c>
      <c r="M19" s="899"/>
      <c r="N19" s="2000"/>
    </row>
    <row r="20" spans="1:14" ht="15.75" thickTop="1" x14ac:dyDescent="0.25">
      <c r="A20" s="2025">
        <v>9</v>
      </c>
      <c r="B20" s="2519" t="s">
        <v>2093</v>
      </c>
      <c r="C20" s="2519"/>
      <c r="D20" s="2520"/>
      <c r="E20" s="2039"/>
      <c r="F20" s="2039"/>
      <c r="G20" s="2039"/>
      <c r="H20" s="2039"/>
      <c r="I20" s="2039"/>
      <c r="J20" s="2039"/>
      <c r="K20" s="2039"/>
      <c r="L20" s="2040">
        <f>IF(AND(H19&gt;0,L19&gt;0),(((L19-H19)/H19)),"Enter Budget Data")</f>
        <v>-0.49112303881090008</v>
      </c>
      <c r="M20" s="899"/>
      <c r="N20" s="2000"/>
    </row>
    <row r="21" spans="1:14" x14ac:dyDescent="0.25">
      <c r="A21" s="2041" t="s">
        <v>194</v>
      </c>
      <c r="B21" s="294" t="s">
        <v>2094</v>
      </c>
      <c r="C21" s="899"/>
      <c r="D21" s="2042"/>
      <c r="E21" s="2043"/>
      <c r="F21" s="2044"/>
      <c r="G21" s="2044"/>
      <c r="H21" s="2044"/>
      <c r="I21" s="2044"/>
      <c r="J21" s="2044"/>
      <c r="K21" s="2044"/>
      <c r="L21" s="2045"/>
      <c r="M21" s="899"/>
      <c r="N21" s="2000"/>
    </row>
    <row r="22" spans="1:14" x14ac:dyDescent="0.25">
      <c r="A22" s="1998"/>
      <c r="B22" s="2046"/>
      <c r="C22" s="899"/>
      <c r="D22" s="899"/>
      <c r="E22" s="899"/>
      <c r="F22" s="899"/>
      <c r="G22" s="899"/>
      <c r="H22" s="899"/>
      <c r="I22" s="899"/>
      <c r="J22" s="899"/>
      <c r="K22" s="899"/>
      <c r="L22" s="899"/>
      <c r="M22" s="899"/>
      <c r="N22" s="2000"/>
    </row>
    <row r="23" spans="1:14" x14ac:dyDescent="0.25">
      <c r="A23" s="2047" t="s">
        <v>132</v>
      </c>
      <c r="B23" s="2046"/>
      <c r="C23" s="899"/>
      <c r="D23" s="899"/>
      <c r="E23" s="899"/>
      <c r="F23" s="899"/>
      <c r="G23" s="899"/>
      <c r="H23" s="899"/>
      <c r="I23" s="899"/>
      <c r="J23" s="899"/>
      <c r="K23" s="899"/>
      <c r="L23" s="899"/>
      <c r="M23" s="899"/>
      <c r="N23" s="2000"/>
    </row>
    <row r="24" spans="1:14" x14ac:dyDescent="0.25">
      <c r="A24" s="2048" t="s">
        <v>2095</v>
      </c>
      <c r="B24" s="2049"/>
      <c r="C24" s="2050"/>
      <c r="D24" s="2050"/>
      <c r="E24" s="2050"/>
      <c r="F24" s="2050"/>
      <c r="G24" s="2050"/>
      <c r="H24" s="2050"/>
      <c r="I24" s="2050"/>
      <c r="J24" s="2050"/>
      <c r="K24" s="2050"/>
      <c r="L24" s="899"/>
      <c r="M24" s="899"/>
      <c r="N24" s="2000"/>
    </row>
    <row r="25" spans="1:14" x14ac:dyDescent="0.25">
      <c r="A25" s="2048" t="s">
        <v>2096</v>
      </c>
      <c r="B25" s="2049"/>
      <c r="C25" s="2050"/>
      <c r="D25" s="2050"/>
      <c r="E25" s="2050"/>
      <c r="F25" s="2050"/>
      <c r="G25" s="2050"/>
      <c r="H25" s="2050"/>
      <c r="I25" s="2050"/>
      <c r="J25" s="2050"/>
      <c r="K25" s="2050"/>
      <c r="L25" s="899"/>
      <c r="M25" s="899"/>
      <c r="N25" s="2000"/>
    </row>
    <row r="26" spans="1:14" x14ac:dyDescent="0.25">
      <c r="A26" s="2051"/>
      <c r="B26" s="2046"/>
      <c r="C26" s="899"/>
      <c r="D26" s="899"/>
      <c r="E26" s="899"/>
      <c r="F26" s="899"/>
      <c r="G26" s="899"/>
      <c r="H26" s="899"/>
      <c r="I26" s="899"/>
      <c r="J26" s="899"/>
      <c r="K26" s="899"/>
      <c r="L26" s="899"/>
      <c r="M26" s="899"/>
      <c r="N26" s="2000"/>
    </row>
    <row r="27" spans="1:14" x14ac:dyDescent="0.25">
      <c r="A27" s="1998"/>
      <c r="B27" s="2046"/>
      <c r="C27" s="2532"/>
      <c r="D27" s="2532"/>
      <c r="E27" s="2052"/>
      <c r="F27" s="2517"/>
      <c r="G27" s="2517"/>
      <c r="H27" s="2517"/>
      <c r="I27" s="899"/>
      <c r="J27" s="899"/>
      <c r="K27" s="899"/>
      <c r="L27" s="899"/>
      <c r="M27" s="899"/>
      <c r="N27" s="2000"/>
    </row>
    <row r="28" spans="1:14" x14ac:dyDescent="0.25">
      <c r="A28" s="1998"/>
      <c r="B28" s="2046"/>
      <c r="C28" s="2053" t="s">
        <v>1026</v>
      </c>
      <c r="D28" s="2054"/>
      <c r="E28" s="2055"/>
      <c r="F28" s="2533" t="s">
        <v>1495</v>
      </c>
      <c r="G28" s="2533"/>
      <c r="H28" s="2533"/>
      <c r="I28" s="899"/>
      <c r="J28" s="899"/>
      <c r="K28" s="899"/>
      <c r="L28" s="899"/>
      <c r="M28" s="899"/>
      <c r="N28" s="2000"/>
    </row>
    <row r="29" spans="1:14" x14ac:dyDescent="0.25">
      <c r="A29" s="1998"/>
      <c r="B29" s="2046"/>
      <c r="C29" s="2534"/>
      <c r="D29" s="2534"/>
      <c r="E29" s="898"/>
      <c r="F29" s="2534"/>
      <c r="G29" s="2534"/>
      <c r="H29" s="2534"/>
      <c r="I29" s="899"/>
      <c r="J29" s="899"/>
      <c r="K29" s="899"/>
      <c r="L29" s="899"/>
      <c r="M29" s="899"/>
      <c r="N29" s="2000"/>
    </row>
    <row r="30" spans="1:14" x14ac:dyDescent="0.25">
      <c r="A30" s="1998"/>
      <c r="B30" s="2046"/>
      <c r="C30" s="2056" t="s">
        <v>1547</v>
      </c>
      <c r="D30" s="899"/>
      <c r="E30" s="2057"/>
      <c r="F30" s="2535" t="s">
        <v>1496</v>
      </c>
      <c r="G30" s="2535"/>
      <c r="H30" s="2535"/>
      <c r="I30" s="899"/>
      <c r="J30" s="899"/>
      <c r="K30" s="899"/>
      <c r="L30" s="899"/>
      <c r="M30" s="899"/>
      <c r="N30" s="2000"/>
    </row>
    <row r="31" spans="1:14" x14ac:dyDescent="0.25">
      <c r="A31" s="1998"/>
      <c r="B31" s="2046"/>
      <c r="C31" s="2058"/>
      <c r="D31" s="899"/>
      <c r="E31" s="2042"/>
      <c r="F31" s="2043"/>
      <c r="G31" s="2043"/>
      <c r="H31" s="2043"/>
      <c r="I31" s="899"/>
      <c r="J31" s="899"/>
      <c r="K31" s="899"/>
      <c r="L31" s="899"/>
      <c r="M31" s="899"/>
      <c r="N31" s="2000"/>
    </row>
    <row r="32" spans="1:14" x14ac:dyDescent="0.25">
      <c r="A32" s="1998"/>
      <c r="B32" s="2059" t="s">
        <v>1027</v>
      </c>
      <c r="C32" s="899"/>
      <c r="D32" s="899"/>
      <c r="E32" s="899"/>
      <c r="F32" s="899"/>
      <c r="G32" s="899"/>
      <c r="H32" s="899"/>
      <c r="I32" s="899"/>
      <c r="J32" s="899"/>
      <c r="K32" s="899"/>
      <c r="L32" s="899"/>
      <c r="M32" s="899"/>
      <c r="N32" s="2000"/>
    </row>
    <row r="33" spans="1:14" x14ac:dyDescent="0.25">
      <c r="A33" s="1998"/>
      <c r="B33" s="2060"/>
      <c r="C33" s="899"/>
      <c r="D33" s="899"/>
      <c r="E33" s="899"/>
      <c r="F33" s="899"/>
      <c r="G33" s="899"/>
      <c r="H33" s="899"/>
      <c r="I33" s="899"/>
      <c r="J33" s="899"/>
      <c r="K33" s="899"/>
      <c r="L33" s="899"/>
      <c r="M33" s="899"/>
      <c r="N33" s="2000"/>
    </row>
    <row r="34" spans="1:14" x14ac:dyDescent="0.25">
      <c r="A34" s="1998"/>
      <c r="B34" s="2061"/>
      <c r="C34" s="2536" t="s">
        <v>2097</v>
      </c>
      <c r="D34" s="2536"/>
      <c r="E34" s="2536"/>
      <c r="F34" s="2536"/>
      <c r="G34" s="2536"/>
      <c r="H34" s="2536"/>
      <c r="I34" s="2536"/>
      <c r="J34" s="2536"/>
      <c r="K34" s="2062"/>
      <c r="L34" s="899"/>
      <c r="M34" s="899"/>
      <c r="N34" s="2000"/>
    </row>
    <row r="35" spans="1:14" x14ac:dyDescent="0.25">
      <c r="A35" s="1998"/>
      <c r="B35" s="899"/>
      <c r="C35" s="2536"/>
      <c r="D35" s="2536"/>
      <c r="E35" s="2536"/>
      <c r="F35" s="2536"/>
      <c r="G35" s="2536"/>
      <c r="H35" s="2536"/>
      <c r="I35" s="2536"/>
      <c r="J35" s="2536"/>
      <c r="K35" s="2062"/>
      <c r="L35" s="899"/>
      <c r="M35" s="899"/>
      <c r="N35" s="2000"/>
    </row>
    <row r="36" spans="1:14" x14ac:dyDescent="0.25">
      <c r="A36" s="1998"/>
      <c r="B36" s="899"/>
      <c r="C36" s="2063"/>
      <c r="D36" s="899"/>
      <c r="E36" s="899"/>
      <c r="F36" s="899"/>
      <c r="G36" s="899"/>
      <c r="H36" s="899"/>
      <c r="I36" s="899"/>
      <c r="J36" s="899"/>
      <c r="K36" s="899"/>
      <c r="L36" s="899"/>
      <c r="M36" s="899"/>
      <c r="N36" s="2000"/>
    </row>
    <row r="37" spans="1:14" x14ac:dyDescent="0.25">
      <c r="A37" s="1998"/>
      <c r="B37" s="2061"/>
      <c r="C37" s="2536" t="s">
        <v>2098</v>
      </c>
      <c r="D37" s="2536"/>
      <c r="E37" s="2536"/>
      <c r="F37" s="2536"/>
      <c r="G37" s="2536"/>
      <c r="H37" s="2536"/>
      <c r="I37" s="2536"/>
      <c r="J37" s="2536"/>
      <c r="K37" s="2062"/>
      <c r="L37" s="887"/>
      <c r="M37" s="899"/>
      <c r="N37" s="2000"/>
    </row>
    <row r="38" spans="1:14" x14ac:dyDescent="0.25">
      <c r="A38" s="1998"/>
      <c r="B38" s="899"/>
      <c r="C38" s="2536"/>
      <c r="D38" s="2536"/>
      <c r="E38" s="2536"/>
      <c r="F38" s="2536"/>
      <c r="G38" s="2536"/>
      <c r="H38" s="2536"/>
      <c r="I38" s="2536"/>
      <c r="J38" s="2536"/>
      <c r="K38" s="2062"/>
      <c r="L38" s="887"/>
      <c r="M38" s="899"/>
      <c r="N38" s="2000"/>
    </row>
    <row r="39" spans="1:14" x14ac:dyDescent="0.25">
      <c r="A39" s="1998"/>
      <c r="B39" s="899"/>
      <c r="C39" s="2063"/>
      <c r="D39" s="899"/>
      <c r="E39" s="2064"/>
      <c r="F39" s="2065"/>
      <c r="G39" s="2065"/>
      <c r="H39" s="2064"/>
      <c r="I39" s="899"/>
      <c r="J39" s="899"/>
      <c r="K39" s="899"/>
      <c r="L39" s="899"/>
      <c r="M39" s="899"/>
      <c r="N39" s="2000"/>
    </row>
    <row r="40" spans="1:14" x14ac:dyDescent="0.25">
      <c r="A40" s="1998"/>
      <c r="B40" s="2061"/>
      <c r="C40" s="2537" t="s">
        <v>2099</v>
      </c>
      <c r="D40" s="2538"/>
      <c r="E40" s="2538"/>
      <c r="F40" s="2538"/>
      <c r="G40" s="2538"/>
      <c r="H40" s="2538"/>
      <c r="I40" s="2538"/>
      <c r="J40" s="2538"/>
      <c r="K40" s="2066"/>
      <c r="L40" s="899"/>
      <c r="M40" s="899"/>
      <c r="N40" s="2000"/>
    </row>
    <row r="41" spans="1:14" x14ac:dyDescent="0.25">
      <c r="A41" s="1998"/>
      <c r="B41" s="899"/>
      <c r="C41" s="891"/>
      <c r="D41" s="891"/>
      <c r="E41" s="891"/>
      <c r="F41" s="891"/>
      <c r="G41" s="891"/>
      <c r="H41" s="891"/>
      <c r="I41" s="891"/>
      <c r="J41" s="891"/>
      <c r="K41" s="891"/>
      <c r="L41" s="899"/>
      <c r="M41" s="899"/>
      <c r="N41" s="2000"/>
    </row>
    <row r="42" spans="1:14" ht="15.75" thickBot="1" x14ac:dyDescent="0.3">
      <c r="A42" s="2067"/>
      <c r="B42" s="2068"/>
      <c r="C42" s="2068"/>
      <c r="D42" s="2068"/>
      <c r="E42" s="2068"/>
      <c r="F42" s="2068"/>
      <c r="G42" s="2068"/>
      <c r="H42" s="2068"/>
      <c r="I42" s="2068"/>
      <c r="J42" s="2068"/>
      <c r="K42" s="2068"/>
      <c r="L42" s="2068"/>
      <c r="M42" s="2068"/>
      <c r="N42" s="2069"/>
    </row>
    <row r="43" spans="1:14" ht="27" thickBot="1" x14ac:dyDescent="0.45">
      <c r="A43" s="2539" t="s">
        <v>2100</v>
      </c>
      <c r="B43" s="2540"/>
      <c r="C43" s="2540"/>
      <c r="D43" s="2540"/>
      <c r="E43" s="2540"/>
      <c r="F43" s="2540"/>
      <c r="G43" s="2540"/>
      <c r="H43" s="2540"/>
      <c r="I43" s="2540"/>
      <c r="J43" s="2540"/>
      <c r="K43" s="2540"/>
      <c r="L43" s="2540"/>
      <c r="M43" s="2540"/>
      <c r="N43" s="2541"/>
    </row>
    <row r="44" spans="1:14" x14ac:dyDescent="0.25">
      <c r="A44" s="2070"/>
      <c r="B44" s="2071"/>
      <c r="C44" s="2071"/>
      <c r="D44" s="2071"/>
      <c r="E44" s="2071"/>
      <c r="F44" s="2071"/>
      <c r="G44" s="2071"/>
      <c r="H44" s="2071"/>
      <c r="I44" s="2071"/>
      <c r="J44" s="2071"/>
      <c r="K44" s="2071"/>
      <c r="L44" s="2071"/>
      <c r="M44" s="2071"/>
      <c r="N44" s="2072"/>
    </row>
    <row r="45" spans="1:14" x14ac:dyDescent="0.25">
      <c r="A45" s="2070" t="s">
        <v>2101</v>
      </c>
      <c r="B45" s="2071"/>
      <c r="C45" s="2071"/>
      <c r="D45" s="2071"/>
      <c r="E45" s="2071"/>
      <c r="F45" s="2071"/>
      <c r="G45" s="2071"/>
      <c r="H45" s="2071"/>
      <c r="I45" s="2071"/>
      <c r="J45" s="2071"/>
      <c r="K45" s="2071"/>
      <c r="L45" s="2071"/>
      <c r="M45" s="2071"/>
      <c r="N45" s="2072"/>
    </row>
    <row r="46" spans="1:14" x14ac:dyDescent="0.25">
      <c r="A46" s="2542" t="s">
        <v>2102</v>
      </c>
      <c r="B46" s="2543"/>
      <c r="C46" s="2543"/>
      <c r="D46" s="2543"/>
      <c r="E46" s="2543"/>
      <c r="F46" s="2543"/>
      <c r="G46" s="2543"/>
      <c r="H46" s="2543"/>
      <c r="I46" s="2543"/>
      <c r="J46" s="2543"/>
      <c r="K46" s="2543"/>
      <c r="L46" s="2543"/>
      <c r="M46" s="2543"/>
      <c r="N46" s="2544"/>
    </row>
    <row r="47" spans="1:14" x14ac:dyDescent="0.25">
      <c r="A47" s="2542"/>
      <c r="B47" s="2543"/>
      <c r="C47" s="2543"/>
      <c r="D47" s="2543"/>
      <c r="E47" s="2543"/>
      <c r="F47" s="2543"/>
      <c r="G47" s="2543"/>
      <c r="H47" s="2543"/>
      <c r="I47" s="2543"/>
      <c r="J47" s="2543"/>
      <c r="K47" s="2543"/>
      <c r="L47" s="2543"/>
      <c r="M47" s="2543"/>
      <c r="N47" s="2544"/>
    </row>
    <row r="48" spans="1:14" x14ac:dyDescent="0.25">
      <c r="A48" s="2073"/>
      <c r="B48" s="2071"/>
      <c r="C48" s="2071"/>
      <c r="D48" s="2074"/>
      <c r="E48" s="2074"/>
      <c r="F48" s="2074"/>
      <c r="G48" s="2074"/>
      <c r="H48" s="2074"/>
      <c r="I48" s="2074"/>
      <c r="J48" s="2074"/>
      <c r="K48" s="2074"/>
      <c r="L48" s="2074"/>
      <c r="M48" s="2074"/>
      <c r="N48" s="2075"/>
    </row>
    <row r="49" spans="1:14" ht="15.75" x14ac:dyDescent="0.25">
      <c r="A49" s="2076" t="s">
        <v>2103</v>
      </c>
      <c r="B49" s="2077"/>
      <c r="C49" s="2077"/>
      <c r="D49" s="2078"/>
      <c r="E49" s="2078"/>
      <c r="F49" s="2078"/>
      <c r="G49" s="2078"/>
      <c r="H49" s="2078"/>
      <c r="I49" s="2078"/>
      <c r="J49" s="2078"/>
      <c r="K49" s="2078"/>
      <c r="L49" s="2078"/>
      <c r="M49" s="2078"/>
      <c r="N49" s="2079"/>
    </row>
    <row r="50" spans="1:14" x14ac:dyDescent="0.25">
      <c r="A50" s="2076" t="s">
        <v>2104</v>
      </c>
      <c r="B50" s="2071"/>
      <c r="C50" s="2071"/>
      <c r="D50" s="2071"/>
      <c r="E50" s="2071"/>
      <c r="F50" s="2071"/>
      <c r="G50" s="2071"/>
      <c r="H50" s="2071"/>
      <c r="I50" s="2071"/>
      <c r="J50" s="2071"/>
      <c r="K50" s="2071"/>
      <c r="L50" s="2071"/>
      <c r="M50" s="2071"/>
      <c r="N50" s="2072"/>
    </row>
    <row r="51" spans="1:14" x14ac:dyDescent="0.25">
      <c r="A51" s="2070"/>
      <c r="B51" s="2071"/>
      <c r="C51" s="2071"/>
      <c r="D51" s="2071"/>
      <c r="E51" s="2071"/>
      <c r="F51" s="2071"/>
      <c r="G51" s="2071"/>
      <c r="H51" s="2071"/>
      <c r="I51" s="2071"/>
      <c r="J51" s="2071"/>
      <c r="K51" s="2071"/>
      <c r="L51" s="2071"/>
      <c r="M51" s="2071"/>
      <c r="N51" s="2072"/>
    </row>
    <row r="52" spans="1:14" x14ac:dyDescent="0.25">
      <c r="A52" s="2070"/>
      <c r="B52" s="2071"/>
      <c r="C52" s="2071"/>
      <c r="D52" s="2071"/>
      <c r="E52" s="2071"/>
      <c r="F52" s="2071"/>
      <c r="G52" s="2071"/>
      <c r="H52" s="2071"/>
      <c r="I52" s="2071"/>
      <c r="J52" s="2071"/>
      <c r="K52" s="2003" t="s">
        <v>1021</v>
      </c>
      <c r="L52" s="2530" t="str">
        <f>J6</f>
        <v xml:space="preserve">   Williamsfield CUSD 210</v>
      </c>
      <c r="M52" s="2530"/>
      <c r="N52" s="2531"/>
    </row>
    <row r="53" spans="1:14" x14ac:dyDescent="0.25">
      <c r="A53" s="2070"/>
      <c r="B53" s="2071"/>
      <c r="C53" s="2071"/>
      <c r="D53" s="2071"/>
      <c r="E53" s="2071"/>
      <c r="F53" s="2071"/>
      <c r="G53" s="2071"/>
      <c r="H53" s="2071"/>
      <c r="I53" s="2071"/>
      <c r="J53" s="2071"/>
      <c r="K53" s="2003" t="s">
        <v>369</v>
      </c>
      <c r="L53" s="2547">
        <f>J7</f>
        <v>33048210026</v>
      </c>
      <c r="M53" s="2547"/>
      <c r="N53" s="2548"/>
    </row>
    <row r="54" spans="1:14" ht="15.75" thickBot="1" x14ac:dyDescent="0.3">
      <c r="A54" s="2070"/>
      <c r="B54" s="2071"/>
      <c r="C54" s="2071"/>
      <c r="D54" s="2071"/>
      <c r="E54" s="2071"/>
      <c r="F54" s="2071"/>
      <c r="G54" s="2071"/>
      <c r="H54" s="2071"/>
      <c r="I54" s="2071"/>
      <c r="J54" s="2071"/>
      <c r="K54" s="2071"/>
      <c r="L54" s="2071"/>
      <c r="M54" s="2071"/>
      <c r="N54" s="2072"/>
    </row>
    <row r="55" spans="1:14" x14ac:dyDescent="0.25">
      <c r="A55" s="2549"/>
      <c r="B55" s="2550"/>
      <c r="C55" s="2550"/>
      <c r="D55" s="2080"/>
      <c r="E55" s="2080"/>
      <c r="F55" s="2080"/>
      <c r="G55" s="2551" t="s">
        <v>2105</v>
      </c>
      <c r="H55" s="2551"/>
      <c r="I55" s="2551"/>
      <c r="J55" s="2551"/>
      <c r="K55" s="2551"/>
      <c r="L55" s="2551"/>
      <c r="M55" s="2551"/>
      <c r="N55" s="2552"/>
    </row>
    <row r="56" spans="1:14" ht="64.5" x14ac:dyDescent="0.25">
      <c r="A56" s="2553" t="s">
        <v>2106</v>
      </c>
      <c r="B56" s="2554"/>
      <c r="C56" s="2555"/>
      <c r="D56" s="2081" t="s">
        <v>2107</v>
      </c>
      <c r="E56" s="2081" t="s">
        <v>2108</v>
      </c>
      <c r="F56" s="2082"/>
      <c r="G56" s="2081" t="s">
        <v>2109</v>
      </c>
      <c r="H56" s="2081" t="s">
        <v>2110</v>
      </c>
      <c r="I56" s="2081" t="s">
        <v>2111</v>
      </c>
      <c r="J56" s="2081" t="s">
        <v>2112</v>
      </c>
      <c r="K56" s="2081" t="s">
        <v>2113</v>
      </c>
      <c r="L56" s="2081" t="s">
        <v>2114</v>
      </c>
      <c r="M56" s="2081" t="s">
        <v>2115</v>
      </c>
      <c r="N56" s="2083" t="s">
        <v>2116</v>
      </c>
    </row>
    <row r="57" spans="1:14" ht="24" customHeight="1" x14ac:dyDescent="0.25">
      <c r="A57" s="2556" t="s">
        <v>296</v>
      </c>
      <c r="B57" s="2557"/>
      <c r="C57" s="2557"/>
      <c r="D57" s="2084">
        <v>2361</v>
      </c>
      <c r="E57" s="2085">
        <f>'Expenditures 15-22'!K319</f>
        <v>0</v>
      </c>
      <c r="F57" s="2086"/>
      <c r="G57" s="2087"/>
      <c r="H57" s="2088"/>
      <c r="I57" s="2088"/>
      <c r="J57" s="2088"/>
      <c r="K57" s="2088"/>
      <c r="L57" s="2088"/>
      <c r="M57" s="2088"/>
      <c r="N57" s="2089">
        <f>IF((SUM(G57:M57))=E57,SUM(G57:M57),"Column N does not agree with Column E")</f>
        <v>0</v>
      </c>
    </row>
    <row r="58" spans="1:14" ht="24.75" customHeight="1" x14ac:dyDescent="0.25">
      <c r="A58" s="2558" t="s">
        <v>2117</v>
      </c>
      <c r="B58" s="2559"/>
      <c r="C58" s="2559"/>
      <c r="D58" s="2090">
        <v>2362</v>
      </c>
      <c r="E58" s="2091">
        <f>'Expenditures 15-22'!K320</f>
        <v>36431</v>
      </c>
      <c r="F58" s="2086"/>
      <c r="G58" s="2092"/>
      <c r="H58" s="2093"/>
      <c r="I58" s="2093"/>
      <c r="J58" s="2093">
        <v>36431</v>
      </c>
      <c r="K58" s="2093"/>
      <c r="L58" s="2093"/>
      <c r="M58" s="2093"/>
      <c r="N58" s="2089">
        <f>IF((SUM(G58:M58))=E58,SUM(G58:M58),"Column N does not agree with Column E")</f>
        <v>36431</v>
      </c>
    </row>
    <row r="59" spans="1:14" ht="24.75" customHeight="1" x14ac:dyDescent="0.25">
      <c r="A59" s="2545" t="s">
        <v>297</v>
      </c>
      <c r="B59" s="2546"/>
      <c r="C59" s="2546"/>
      <c r="D59" s="2090">
        <v>2363</v>
      </c>
      <c r="E59" s="2091">
        <f>'Expenditures 15-22'!K321</f>
        <v>0</v>
      </c>
      <c r="F59" s="2086"/>
      <c r="G59" s="2092"/>
      <c r="H59" s="2093"/>
      <c r="I59" s="2093"/>
      <c r="J59" s="2093"/>
      <c r="K59" s="2093"/>
      <c r="L59" s="2093"/>
      <c r="M59" s="2093"/>
      <c r="N59" s="2089">
        <f t="shared" ref="N59:N67" si="4">IF((SUM(G59:M59))=E59,SUM(G59:M59),"Column N does not agree with Column E")</f>
        <v>0</v>
      </c>
    </row>
    <row r="60" spans="1:14" ht="24.75" customHeight="1" x14ac:dyDescent="0.25">
      <c r="A60" s="2545" t="s">
        <v>236</v>
      </c>
      <c r="B60" s="2546"/>
      <c r="C60" s="2546"/>
      <c r="D60" s="2090">
        <v>2364</v>
      </c>
      <c r="E60" s="2091">
        <f>'Expenditures 15-22'!K322</f>
        <v>28399</v>
      </c>
      <c r="F60" s="2086"/>
      <c r="G60" s="2092"/>
      <c r="H60" s="2093"/>
      <c r="I60" s="2093"/>
      <c r="J60" s="2093"/>
      <c r="K60" s="2093"/>
      <c r="L60" s="2093">
        <v>28399</v>
      </c>
      <c r="M60" s="2093"/>
      <c r="N60" s="2089">
        <f t="shared" si="4"/>
        <v>28399</v>
      </c>
    </row>
    <row r="61" spans="1:14" ht="24.75" customHeight="1" x14ac:dyDescent="0.25">
      <c r="A61" s="2545" t="s">
        <v>697</v>
      </c>
      <c r="B61" s="2546"/>
      <c r="C61" s="2546"/>
      <c r="D61" s="2090">
        <v>2365</v>
      </c>
      <c r="E61" s="2091">
        <f>'Expenditures 15-22'!K323</f>
        <v>0</v>
      </c>
      <c r="F61" s="2086"/>
      <c r="G61" s="2092"/>
      <c r="H61" s="2093"/>
      <c r="I61" s="2093"/>
      <c r="J61" s="2093"/>
      <c r="K61" s="2093"/>
      <c r="L61" s="2093"/>
      <c r="M61" s="2093"/>
      <c r="N61" s="2089">
        <f t="shared" si="4"/>
        <v>0</v>
      </c>
    </row>
    <row r="62" spans="1:14" ht="24.75" customHeight="1" x14ac:dyDescent="0.25">
      <c r="A62" s="2545" t="s">
        <v>237</v>
      </c>
      <c r="B62" s="2546"/>
      <c r="C62" s="2546"/>
      <c r="D62" s="2090">
        <v>2366</v>
      </c>
      <c r="E62" s="2091">
        <f>'Expenditures 15-22'!K324</f>
        <v>0</v>
      </c>
      <c r="F62" s="2086"/>
      <c r="G62" s="2092"/>
      <c r="H62" s="2093"/>
      <c r="I62" s="2093"/>
      <c r="J62" s="2093"/>
      <c r="K62" s="2093"/>
      <c r="L62" s="2093"/>
      <c r="M62" s="2093"/>
      <c r="N62" s="2089">
        <f t="shared" si="4"/>
        <v>0</v>
      </c>
    </row>
    <row r="63" spans="1:14" ht="24.75" customHeight="1" x14ac:dyDescent="0.25">
      <c r="A63" s="2558" t="s">
        <v>1022</v>
      </c>
      <c r="B63" s="2559"/>
      <c r="C63" s="2559"/>
      <c r="D63" s="2090">
        <v>2367</v>
      </c>
      <c r="E63" s="2091">
        <f>'Expenditures 15-22'!K325</f>
        <v>4925</v>
      </c>
      <c r="F63" s="2086"/>
      <c r="G63" s="2092"/>
      <c r="H63" s="2093"/>
      <c r="I63" s="2093"/>
      <c r="J63" s="2093"/>
      <c r="K63" s="2093"/>
      <c r="L63" s="2093">
        <v>4925</v>
      </c>
      <c r="M63" s="2093"/>
      <c r="N63" s="2089">
        <f t="shared" si="4"/>
        <v>4925</v>
      </c>
    </row>
    <row r="64" spans="1:14" ht="24.75" customHeight="1" x14ac:dyDescent="0.25">
      <c r="A64" s="2545" t="s">
        <v>1023</v>
      </c>
      <c r="B64" s="2546"/>
      <c r="C64" s="2546"/>
      <c r="D64" s="2090">
        <v>2368</v>
      </c>
      <c r="E64" s="2091">
        <f>'Expenditures 15-22'!K326</f>
        <v>0</v>
      </c>
      <c r="F64" s="2086"/>
      <c r="G64" s="2092"/>
      <c r="H64" s="2093"/>
      <c r="I64" s="2093"/>
      <c r="J64" s="2093"/>
      <c r="K64" s="2093"/>
      <c r="L64" s="2093"/>
      <c r="M64" s="2093"/>
      <c r="N64" s="2089">
        <f t="shared" si="4"/>
        <v>0</v>
      </c>
    </row>
    <row r="65" spans="1:14" ht="24" customHeight="1" x14ac:dyDescent="0.25">
      <c r="A65" s="2545" t="s">
        <v>965</v>
      </c>
      <c r="B65" s="2546"/>
      <c r="C65" s="2546"/>
      <c r="D65" s="2090">
        <v>2369</v>
      </c>
      <c r="E65" s="2091">
        <f>'Expenditures 15-22'!K327</f>
        <v>3394</v>
      </c>
      <c r="F65" s="2086"/>
      <c r="G65" s="2092"/>
      <c r="H65" s="2093">
        <v>3394</v>
      </c>
      <c r="I65" s="2093"/>
      <c r="J65" s="2093"/>
      <c r="K65" s="2093"/>
      <c r="L65" s="2093"/>
      <c r="M65" s="2093"/>
      <c r="N65" s="2089">
        <f t="shared" si="4"/>
        <v>3394</v>
      </c>
    </row>
    <row r="66" spans="1:14" ht="24.75" customHeight="1" x14ac:dyDescent="0.25">
      <c r="A66" s="2545" t="s">
        <v>469</v>
      </c>
      <c r="B66" s="2546"/>
      <c r="C66" s="2546"/>
      <c r="D66" s="2090">
        <v>2371</v>
      </c>
      <c r="E66" s="2091">
        <f>'Expenditures 15-22'!K328</f>
        <v>0</v>
      </c>
      <c r="F66" s="2086"/>
      <c r="G66" s="2092"/>
      <c r="H66" s="2093"/>
      <c r="I66" s="2093"/>
      <c r="J66" s="2093"/>
      <c r="K66" s="2093"/>
      <c r="L66" s="2093"/>
      <c r="M66" s="2093"/>
      <c r="N66" s="2089">
        <f t="shared" si="4"/>
        <v>0</v>
      </c>
    </row>
    <row r="67" spans="1:14" ht="24.75" customHeight="1" x14ac:dyDescent="0.25">
      <c r="A67" s="2564" t="s">
        <v>2118</v>
      </c>
      <c r="B67" s="2565"/>
      <c r="C67" s="2565"/>
      <c r="D67" s="2094">
        <v>2372</v>
      </c>
      <c r="E67" s="2095">
        <f>'Expenditures 15-22'!K329</f>
        <v>0</v>
      </c>
      <c r="F67" s="2086"/>
      <c r="G67" s="2096"/>
      <c r="H67" s="2097"/>
      <c r="I67" s="2097"/>
      <c r="J67" s="2097"/>
      <c r="K67" s="2097"/>
      <c r="L67" s="2097"/>
      <c r="M67" s="2097"/>
      <c r="N67" s="2089">
        <f t="shared" si="4"/>
        <v>0</v>
      </c>
    </row>
    <row r="68" spans="1:14" x14ac:dyDescent="0.25">
      <c r="A68" s="2566" t="s">
        <v>1153</v>
      </c>
      <c r="B68" s="2567"/>
      <c r="C68" s="2567"/>
      <c r="D68" s="2080"/>
      <c r="E68" s="2098">
        <f>SUM(E57:E67)</f>
        <v>73149</v>
      </c>
      <c r="F68" s="2099"/>
      <c r="G68" s="2098">
        <f t="shared" ref="G68:N68" si="5">SUM(G57:G67)</f>
        <v>0</v>
      </c>
      <c r="H68" s="2098">
        <f t="shared" si="5"/>
        <v>3394</v>
      </c>
      <c r="I68" s="2098">
        <f t="shared" si="5"/>
        <v>0</v>
      </c>
      <c r="J68" s="2098">
        <f t="shared" si="5"/>
        <v>36431</v>
      </c>
      <c r="K68" s="2098">
        <f t="shared" si="5"/>
        <v>0</v>
      </c>
      <c r="L68" s="2098">
        <f t="shared" si="5"/>
        <v>33324</v>
      </c>
      <c r="M68" s="2098">
        <f t="shared" si="5"/>
        <v>0</v>
      </c>
      <c r="N68" s="2100">
        <f t="shared" si="5"/>
        <v>73149</v>
      </c>
    </row>
    <row r="69" spans="1:14" x14ac:dyDescent="0.25">
      <c r="A69" s="2101"/>
      <c r="B69" s="2102"/>
      <c r="C69" s="2102"/>
      <c r="D69" s="2102"/>
      <c r="E69" s="2102"/>
      <c r="F69" s="2102"/>
      <c r="G69" s="2102"/>
      <c r="H69" s="2103" t="s">
        <v>2119</v>
      </c>
      <c r="I69" s="2102"/>
      <c r="J69" s="2102"/>
      <c r="K69" s="2102"/>
      <c r="L69" s="2103" t="s">
        <v>2120</v>
      </c>
      <c r="M69" s="2102"/>
      <c r="N69" s="2104"/>
    </row>
    <row r="70" spans="1:14" ht="46.5" customHeight="1" x14ac:dyDescent="0.25">
      <c r="A70" s="2105" t="s">
        <v>2121</v>
      </c>
      <c r="B70" s="2102"/>
      <c r="C70" s="2102"/>
      <c r="D70" s="2102"/>
      <c r="E70" s="2102"/>
      <c r="F70" s="2102"/>
      <c r="G70" s="2102"/>
      <c r="H70" s="2560" t="s">
        <v>2122</v>
      </c>
      <c r="I70" s="2560"/>
      <c r="J70" s="2560"/>
      <c r="K70" s="2102"/>
      <c r="L70" s="2560" t="s">
        <v>2123</v>
      </c>
      <c r="M70" s="2560"/>
      <c r="N70" s="2568"/>
    </row>
    <row r="71" spans="1:14" ht="42.75" customHeight="1" x14ac:dyDescent="0.25">
      <c r="A71" s="2101"/>
      <c r="B71" s="2102"/>
      <c r="C71" s="2102"/>
      <c r="D71" s="2102"/>
      <c r="E71" s="2102"/>
      <c r="F71" s="2102"/>
      <c r="G71" s="2102"/>
      <c r="H71" s="2560" t="s">
        <v>2124</v>
      </c>
      <c r="I71" s="2560"/>
      <c r="J71" s="2560"/>
      <c r="K71" s="2102"/>
      <c r="L71" s="2561" t="s">
        <v>2125</v>
      </c>
      <c r="M71" s="2561"/>
      <c r="N71" s="2562"/>
    </row>
    <row r="72" spans="1:14" ht="52.5" customHeight="1" thickBot="1" x14ac:dyDescent="0.3">
      <c r="A72" s="2106"/>
      <c r="B72" s="2107"/>
      <c r="C72" s="2107"/>
      <c r="D72" s="2107"/>
      <c r="E72" s="2107"/>
      <c r="F72" s="2107"/>
      <c r="G72" s="2107"/>
      <c r="H72" s="2563" t="s">
        <v>2126</v>
      </c>
      <c r="I72" s="2563"/>
      <c r="J72" s="2563"/>
      <c r="K72" s="2107"/>
      <c r="L72" s="2107"/>
      <c r="M72" s="2107"/>
      <c r="N72" s="2108"/>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DBC38311-4949-49E5-B39E-ED2ACCD011FB}"/>
    <dataValidation allowBlank="1" showInputMessage="1" showErrorMessage="1" prompt="Link cell K328 from &quot;Expenditures 15-22&quot; tab" sqref="E66" xr:uid="{FC395D70-1DF2-48F0-8763-A9B606DC4C56}"/>
    <dataValidation allowBlank="1" showInputMessage="1" showErrorMessage="1" prompt="Link cell K327 from &quot;Expenditures 15-22&quot; tab" sqref="E65" xr:uid="{0FB6B882-620A-4D31-AE58-A3C6F636D8BF}"/>
    <dataValidation allowBlank="1" showInputMessage="1" showErrorMessage="1" prompt="Link cell K326 from &quot;Expenditures 15-22&quot; tab" sqref="E64" xr:uid="{7B3583F0-A06E-4F07-8103-AC6F79A1854A}"/>
    <dataValidation allowBlank="1" showInputMessage="1" showErrorMessage="1" prompt="Link cell K325 from &quot;Expenditures 15-22&quot; tab" sqref="E63" xr:uid="{1E635F0E-5F71-46DF-A39F-531F8E99CBF9}"/>
    <dataValidation allowBlank="1" showInputMessage="1" showErrorMessage="1" prompt="Link cell K324 from &quot;Expenditures 15-22&quot; tab" sqref="E62" xr:uid="{5C253D3A-8C0D-4149-95F9-C35592D6A6DF}"/>
    <dataValidation allowBlank="1" showInputMessage="1" showErrorMessage="1" prompt="Link cell K323 from &quot;Expenditures 15-22&quot; tab" sqref="E61" xr:uid="{E842DD26-4226-471E-A567-661C0C93DF4D}"/>
    <dataValidation allowBlank="1" showInputMessage="1" showErrorMessage="1" prompt="Link cell K322 from &quot;Expenditures 15-22&quot; tab" sqref="E60" xr:uid="{CB68504C-4EBA-4F1D-89C1-1A558B19FF7D}"/>
    <dataValidation allowBlank="1" showInputMessage="1" showErrorMessage="1" prompt="Link cell K321 from &quot;Expenditures 15-22&quot; tab" sqref="E59" xr:uid="{591C198B-781B-478A-877C-F56711FAC7EA}"/>
    <dataValidation allowBlank="1" showInputMessage="1" showErrorMessage="1" prompt="Link cell K320 from &quot;Expenditures 15-22&quot; tab" sqref="E58" xr:uid="{CF1CE88F-7148-41E6-A528-1095AB13DCE1}"/>
    <dataValidation allowBlank="1" showInputMessage="1" showErrorMessage="1" prompt="Link cell K319 from &quot;Expenditures 15-22&quot; tab" sqref="E57" xr:uid="{73E474CA-1B31-4060-8AC9-C9B76A71AE86}"/>
    <dataValidation allowBlank="1" showInputMessage="1" showErrorMessage="1" prompt="Link cell K122 from &quot;Expenditures 15-22&quot; tab" sqref="F15" xr:uid="{C508AEBC-B2A7-4905-9BF7-ECA4F8353C42}"/>
    <dataValidation allowBlank="1" showInputMessage="1" showErrorMessage="1" prompt="Link cell K67 from &quot;Expenditures 15-22&quot; tab" sqref="E17" xr:uid="{76E8A4DE-D843-4F6E-832C-0950593A91B3}"/>
    <dataValidation allowBlank="1" showInputMessage="1" showErrorMessage="1" prompt="Link cell K64 from &quot;Expenditures 15-22&quot; tab" sqref="E16" xr:uid="{61C0FD4C-20BB-4120-9F4E-A49D00F91CCF}"/>
    <dataValidation allowBlank="1" showInputMessage="1" showErrorMessage="1" prompt="Link cell K59 from &quot;Expenditures 15-22&quot; tab" sqref="E15" xr:uid="{3C0DF2A5-CE06-4859-8CBE-9E8BAE8551F2}"/>
    <dataValidation allowBlank="1" showInputMessage="1" showErrorMessage="1" prompt="Link cell K56 from &quot;Expenditures 15-22&quot; tab" sqref="E14" xr:uid="{0ECAB145-6E1C-42A7-88D6-7BF9FCF53EFB}"/>
    <dataValidation allowBlank="1" showInputMessage="1" showErrorMessage="1" prompt="Link cell K51 from &quot;Expenditures 15-22&quot; tab" sqref="E13" xr:uid="{9B43B822-5907-479F-882C-8AB84434A364}"/>
    <dataValidation allowBlank="1" showInputMessage="1" showErrorMessage="1" prompt="Link cell K50 from &quot;Expenditures 15-22&quot; tab " sqref="E12" xr:uid="{E869BF90-0462-46D6-A962-4AEF2292B620}"/>
    <dataValidation allowBlank="1" showInputMessage="1" showErrorMessage="1" prompt="Link cell A13 from &quot;Cover&quot; tab" sqref="J7:L7" xr:uid="{A2AF74D1-2C19-4D63-890F-CE2D242809AE}"/>
    <dataValidation allowBlank="1" showInputMessage="1" showErrorMessage="1" prompt="Link cell A17 from &quot;Cover&quot; tab" sqref="J6:L6" xr:uid="{A7A3BCFC-89F8-4999-97FC-4DAE8E845339}"/>
  </dataValidations>
  <pageMargins left="0.5" right="0.5" top="0.5" bottom="0.5" header="0.3" footer="0.3"/>
  <pageSetup scale="79" firstPageNumber="32" fitToHeight="0" orientation="landscape" useFirstPageNumber="1" r:id="rId1"/>
  <headerFooter>
    <oddHeader>&amp;RPage &amp;P</oddHeader>
    <oddFooter>&amp;RThe notes to the financial statements are an integral part of this statement.</oddFoot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I84"/>
  <sheetViews>
    <sheetView showGridLines="0" topLeftCell="A79" zoomScale="110" zoomScaleNormal="110" workbookViewId="0">
      <selection activeCell="B50" sqref="B5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95" customHeight="1" thickBot="1" x14ac:dyDescent="0.25">
      <c r="A35" s="2228" t="s">
        <v>1058</v>
      </c>
      <c r="B35" s="2228"/>
      <c r="C35" s="2228"/>
      <c r="D35" s="2228"/>
      <c r="E35" s="2228"/>
    </row>
    <row r="36" spans="1:5" ht="12.75" thickTop="1" x14ac:dyDescent="0.2">
      <c r="B36" s="168"/>
      <c r="C36" s="169"/>
      <c r="D36" s="169"/>
      <c r="E36" s="170"/>
    </row>
    <row r="37" spans="1:5" ht="1.7"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5" t="s">
        <v>686</v>
      </c>
      <c r="B40" s="2225"/>
      <c r="C40" s="2225"/>
      <c r="D40" s="2225"/>
      <c r="E40" s="2225"/>
    </row>
    <row r="41" spans="1:5" x14ac:dyDescent="0.2">
      <c r="A41" s="2226" t="s">
        <v>1594</v>
      </c>
      <c r="B41" s="2226"/>
      <c r="C41" s="2226"/>
      <c r="D41" s="2226"/>
      <c r="E41" s="2226"/>
    </row>
    <row r="42" spans="1:5" ht="12.75" customHeight="1" x14ac:dyDescent="0.2">
      <c r="A42" s="2227" t="s">
        <v>1015</v>
      </c>
      <c r="B42" s="2227"/>
      <c r="C42" s="2227"/>
      <c r="D42" s="2227"/>
      <c r="E42" s="2227"/>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1999999999999993"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headerFooter>
    <oddFooter>&amp;RThe notes to the financial statements are an integral part of this statement.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2:B66"/>
  <sheetViews>
    <sheetView showGridLines="0" zoomScale="110" zoomScaleNormal="110" workbookViewId="0">
      <selection activeCell="B22" sqref="B22"/>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4" spans="1:2" x14ac:dyDescent="0.2">
      <c r="B4" s="2110" t="s">
        <v>2136</v>
      </c>
    </row>
    <row r="5" spans="1:2" x14ac:dyDescent="0.2">
      <c r="A5" s="892">
        <v>1</v>
      </c>
      <c r="B5" s="307" t="s">
        <v>2137</v>
      </c>
    </row>
    <row r="6" spans="1:2" x14ac:dyDescent="0.2">
      <c r="A6" s="892">
        <v>2</v>
      </c>
      <c r="B6" s="307" t="s">
        <v>2138</v>
      </c>
    </row>
    <row r="7" spans="1:2" x14ac:dyDescent="0.2">
      <c r="A7" s="892">
        <v>3</v>
      </c>
      <c r="B7" s="307" t="s">
        <v>2143</v>
      </c>
    </row>
    <row r="8" spans="1:2" x14ac:dyDescent="0.2">
      <c r="A8" s="892">
        <v>4</v>
      </c>
      <c r="B8" s="307" t="s">
        <v>2144</v>
      </c>
    </row>
    <row r="9" spans="1:2" x14ac:dyDescent="0.2">
      <c r="A9" s="893"/>
    </row>
    <row r="10" spans="1:2" x14ac:dyDescent="0.2">
      <c r="A10" s="893"/>
      <c r="B10" s="2110" t="s">
        <v>2139</v>
      </c>
    </row>
    <row r="11" spans="1:2" x14ac:dyDescent="0.2">
      <c r="A11" s="893"/>
      <c r="B11" s="307" t="s">
        <v>2140</v>
      </c>
    </row>
    <row r="12" spans="1:2" x14ac:dyDescent="0.2">
      <c r="A12" s="893"/>
    </row>
    <row r="13" spans="1:2" x14ac:dyDescent="0.2">
      <c r="A13" s="893"/>
      <c r="B13" s="2110" t="s">
        <v>2145</v>
      </c>
    </row>
    <row r="14" spans="1:2" x14ac:dyDescent="0.2">
      <c r="A14" s="893"/>
      <c r="B14" s="175" t="s">
        <v>2146</v>
      </c>
    </row>
    <row r="15" spans="1:2" x14ac:dyDescent="0.2">
      <c r="A15" s="893"/>
    </row>
    <row r="16" spans="1:2" x14ac:dyDescent="0.2">
      <c r="A16" s="893"/>
      <c r="B16" s="2110" t="s">
        <v>2141</v>
      </c>
    </row>
    <row r="17" spans="1:2" x14ac:dyDescent="0.2">
      <c r="A17" s="893"/>
      <c r="B17" s="307" t="s">
        <v>2142</v>
      </c>
    </row>
    <row r="18" spans="1:2" x14ac:dyDescent="0.2">
      <c r="A18" s="893"/>
    </row>
    <row r="19" spans="1:2" x14ac:dyDescent="0.2">
      <c r="A19" s="893"/>
      <c r="B19" s="2110" t="s">
        <v>2147</v>
      </c>
    </row>
    <row r="20" spans="1:2" x14ac:dyDescent="0.2">
      <c r="A20" s="893"/>
      <c r="B20" s="307" t="s">
        <v>2148</v>
      </c>
    </row>
    <row r="21" spans="1:2" x14ac:dyDescent="0.2">
      <c r="A21" s="893"/>
    </row>
    <row r="22" spans="1:2" x14ac:dyDescent="0.2">
      <c r="A22" s="893"/>
    </row>
    <row r="23" spans="1:2" x14ac:dyDescent="0.2">
      <c r="A23" s="893"/>
    </row>
    <row r="24" spans="1:2" x14ac:dyDescent="0.2">
      <c r="A24" s="893"/>
    </row>
    <row r="25" spans="1:2" x14ac:dyDescent="0.2">
      <c r="A25" s="893"/>
    </row>
    <row r="26" spans="1:2" x14ac:dyDescent="0.2">
      <c r="A26" s="893"/>
    </row>
    <row r="27" spans="1:2" x14ac:dyDescent="0.2">
      <c r="A27" s="893"/>
    </row>
    <row r="28" spans="1:2" x14ac:dyDescent="0.2">
      <c r="A28" s="893"/>
    </row>
    <row r="29" spans="1:2" x14ac:dyDescent="0.2">
      <c r="A29" s="893"/>
    </row>
    <row r="30" spans="1:2" x14ac:dyDescent="0.2">
      <c r="A30" s="893"/>
    </row>
    <row r="31" spans="1:2" x14ac:dyDescent="0.2">
      <c r="A31" s="893"/>
    </row>
    <row r="32" spans="1:2"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1" x14ac:dyDescent="0.2">
      <c r="A49" s="893"/>
    </row>
    <row r="50" spans="1:1" x14ac:dyDescent="0.2">
      <c r="A50" s="893"/>
    </row>
    <row r="51" spans="1:1" x14ac:dyDescent="0.2">
      <c r="A51" s="893"/>
    </row>
    <row r="52" spans="1:1" x14ac:dyDescent="0.2">
      <c r="A52" s="893"/>
    </row>
    <row r="53" spans="1:1" x14ac:dyDescent="0.2">
      <c r="A53" s="893"/>
    </row>
    <row r="54" spans="1:1" x14ac:dyDescent="0.2">
      <c r="A54" s="893"/>
    </row>
    <row r="55" spans="1:1" x14ac:dyDescent="0.2">
      <c r="A55" s="893"/>
    </row>
    <row r="56" spans="1:1" x14ac:dyDescent="0.2">
      <c r="A56" s="893"/>
    </row>
    <row r="57" spans="1:1" x14ac:dyDescent="0.2">
      <c r="A57" s="893"/>
    </row>
    <row r="58" spans="1:1" x14ac:dyDescent="0.2">
      <c r="A58" s="893"/>
    </row>
    <row r="59" spans="1:1" x14ac:dyDescent="0.2">
      <c r="A59" s="893"/>
    </row>
    <row r="60" spans="1:1" x14ac:dyDescent="0.2">
      <c r="A60" s="893"/>
    </row>
    <row r="61" spans="1:1" x14ac:dyDescent="0.2">
      <c r="A61" s="893"/>
    </row>
    <row r="62" spans="1:1" x14ac:dyDescent="0.2">
      <c r="A62" s="893"/>
    </row>
    <row r="63" spans="1:1" x14ac:dyDescent="0.2">
      <c r="A63" s="893"/>
    </row>
    <row r="64" spans="1:1" x14ac:dyDescent="0.2">
      <c r="A64" s="893"/>
    </row>
    <row r="65" spans="1:2" x14ac:dyDescent="0.2">
      <c r="A65" s="893"/>
      <c r="B65" s="253" t="str">
        <f>COVER!A17</f>
        <v xml:space="preserve">   Williamsfield CUSD 210</v>
      </c>
    </row>
    <row r="66" spans="1:2" x14ac:dyDescent="0.2">
      <c r="B66" s="894">
        <f>COVER!A13</f>
        <v>33048210026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oddFooter>&amp;RThe notes to the financial statements are an integral part of this statement.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FFFF00"/>
  </sheetPr>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oddFooter>&amp;RThe notes to the financial statements are an integral part of this statement.</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2" sqref="B1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2" customHeight="1" x14ac:dyDescent="0.2">
      <c r="A16" s="897"/>
      <c r="B16" s="897" t="s">
        <v>1976</v>
      </c>
    </row>
    <row r="17" spans="1:2" ht="6" customHeight="1" x14ac:dyDescent="0.2"/>
    <row r="18" spans="1:2" ht="24.75" customHeight="1" x14ac:dyDescent="0.2">
      <c r="A18" s="2569" t="s">
        <v>1668</v>
      </c>
      <c r="B18" s="256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oddFooter>&amp;RThe notes to the financial statements are an integral part of this statement.</oddFooter>
  </headerFooter>
  <drawing r:id="rId2"/>
  <legacyDrawing r:id="rId3"/>
  <oleObjects>
    <mc:AlternateContent xmlns:mc="http://schemas.openxmlformats.org/markup-compatibility/2006">
      <mc:Choice Requires="x14">
        <oleObject progId="Acrobat Document" dvAspect="DVASPECT_ICON" shapeId="47106" r:id="rId4">
          <objectPr defaultSize="0" r:id="rId5">
            <anchor moveWithCells="1">
              <from>
                <xdr:col>2</xdr:col>
                <xdr:colOff>0</xdr:colOff>
                <xdr:row>4</xdr:row>
                <xdr:rowOff>0</xdr:rowOff>
              </from>
              <to>
                <xdr:col>3</xdr:col>
                <xdr:colOff>304800</xdr:colOff>
                <xdr:row>8</xdr:row>
                <xdr:rowOff>123825</xdr:rowOff>
              </to>
            </anchor>
          </objectPr>
        </oleObject>
      </mc:Choice>
      <mc:Fallback>
        <oleObject progId="Acrobat Document" dvAspect="DVASPECT_ICON" shapeId="47106" r:id="rId4"/>
      </mc:Fallback>
    </mc:AlternateContent>
    <mc:AlternateContent xmlns:mc="http://schemas.openxmlformats.org/markup-compatibility/2006">
      <mc:Choice Requires="x14">
        <oleObject progId="Acrobat Document" dvAspect="DVASPECT_ICON" shapeId="47107" r:id="rId6">
          <objectPr defaultSize="0" r:id="rId7">
            <anchor moveWithCells="1">
              <from>
                <xdr:col>1</xdr:col>
                <xdr:colOff>0</xdr:colOff>
                <xdr:row>4</xdr:row>
                <xdr:rowOff>0</xdr:rowOff>
              </from>
              <to>
                <xdr:col>1</xdr:col>
                <xdr:colOff>914400</xdr:colOff>
                <xdr:row>8</xdr:row>
                <xdr:rowOff>123825</xdr:rowOff>
              </to>
            </anchor>
          </objectPr>
        </oleObject>
      </mc:Choice>
      <mc:Fallback>
        <oleObject progId="Acrobat Document" dvAspect="DVASPECT_ICON" shapeId="47107"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FFFF00"/>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70" t="s">
        <v>1672</v>
      </c>
      <c r="B1" s="2571"/>
      <c r="C1" s="2571"/>
      <c r="D1" s="2571"/>
      <c r="E1" s="2571"/>
      <c r="F1" s="2572"/>
    </row>
    <row r="2" spans="1:8" ht="45.2" customHeight="1" x14ac:dyDescent="0.2">
      <c r="A2" s="25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81"/>
      <c r="C2" s="2581"/>
      <c r="D2" s="2581"/>
      <c r="E2" s="2581"/>
      <c r="F2" s="2582"/>
      <c r="G2" s="898"/>
      <c r="H2" s="898"/>
    </row>
    <row r="3" spans="1:8" ht="57" customHeight="1" x14ac:dyDescent="0.2">
      <c r="A3" s="2583" t="s">
        <v>1975</v>
      </c>
      <c r="B3" s="2584"/>
      <c r="C3" s="2584"/>
      <c r="D3" s="2584"/>
      <c r="E3" s="2584"/>
      <c r="F3" s="2585"/>
      <c r="G3" s="898"/>
      <c r="H3" s="898"/>
    </row>
    <row r="4" spans="1:8" ht="14.25" customHeight="1" x14ac:dyDescent="0.2">
      <c r="A4" s="25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90"/>
      <c r="C4" s="2590"/>
      <c r="D4" s="2590"/>
      <c r="E4" s="2590"/>
      <c r="F4" s="2591"/>
      <c r="G4" s="898"/>
      <c r="H4" s="898"/>
    </row>
    <row r="5" spans="1:8" ht="14.25" customHeight="1" x14ac:dyDescent="0.2">
      <c r="A5" s="25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3"/>
      <c r="C5" s="2593"/>
      <c r="D5" s="2593"/>
      <c r="E5" s="2593"/>
      <c r="F5" s="2594"/>
      <c r="G5" s="898"/>
      <c r="H5" s="898"/>
    </row>
    <row r="6" spans="1:8" s="899" customFormat="1" ht="41.45" customHeight="1" x14ac:dyDescent="0.2">
      <c r="A6" s="2586" t="s">
        <v>1673</v>
      </c>
      <c r="B6" s="2587"/>
      <c r="C6" s="2587"/>
      <c r="D6" s="2587"/>
      <c r="E6" s="2587"/>
      <c r="F6" s="2588"/>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3722947</v>
      </c>
      <c r="C8" s="1871">
        <f>'Acct Summary 7-8'!D8</f>
        <v>568528</v>
      </c>
      <c r="D8" s="1871">
        <f>'Acct Summary 7-8'!F8</f>
        <v>385025</v>
      </c>
      <c r="E8" s="1871">
        <f>'Acct Summary 7-8'!I8</f>
        <v>0</v>
      </c>
      <c r="F8" s="1871">
        <f>SUM(B8:E8)</f>
        <v>4676500</v>
      </c>
    </row>
    <row r="9" spans="1:8" s="903" customFormat="1" ht="14.25" customHeight="1" thickBot="1" x14ac:dyDescent="0.25">
      <c r="A9" s="902" t="s">
        <v>1355</v>
      </c>
      <c r="B9" s="1872">
        <f>'Acct Summary 7-8'!C17</f>
        <v>3668089</v>
      </c>
      <c r="C9" s="1872">
        <f>'Acct Summary 7-8'!D17</f>
        <v>519438</v>
      </c>
      <c r="D9" s="1872">
        <f>'Acct Summary 7-8'!F17</f>
        <v>348127</v>
      </c>
      <c r="E9" s="1871"/>
      <c r="F9" s="1871">
        <f>SUM(B9:E9)</f>
        <v>4535654</v>
      </c>
    </row>
    <row r="10" spans="1:8" s="903" customFormat="1" ht="14.25" thickTop="1" thickBot="1" x14ac:dyDescent="0.25">
      <c r="A10" s="904" t="s">
        <v>1356</v>
      </c>
      <c r="B10" s="1873">
        <f>(B8-B9)</f>
        <v>54858</v>
      </c>
      <c r="C10" s="1873">
        <f>(C8-C9)</f>
        <v>49090</v>
      </c>
      <c r="D10" s="1873">
        <f>(D8-D9)</f>
        <v>36898</v>
      </c>
      <c r="E10" s="1872">
        <f>(E8-E9)</f>
        <v>0</v>
      </c>
      <c r="F10" s="1874">
        <f>SUM(F8-F9)</f>
        <v>140846</v>
      </c>
    </row>
    <row r="11" spans="1:8" s="903" customFormat="1" ht="14.25" thickTop="1" thickBot="1" x14ac:dyDescent="0.25">
      <c r="A11" s="905" t="s">
        <v>1906</v>
      </c>
      <c r="B11" s="1875">
        <f>'Acct Summary 7-8'!C81</f>
        <v>1050796</v>
      </c>
      <c r="C11" s="1875">
        <f>'Acct Summary 7-8'!D81</f>
        <v>203325</v>
      </c>
      <c r="D11" s="1875">
        <f>'Acct Summary 7-8'!F81</f>
        <v>358343</v>
      </c>
      <c r="E11" s="1875">
        <f>'Acct Summary 7-8'!I81</f>
        <v>0</v>
      </c>
      <c r="F11" s="1876">
        <f>SUM(B11:E11)</f>
        <v>1612464</v>
      </c>
    </row>
    <row r="12" spans="1:8" ht="16.5" customHeight="1" thickTop="1" x14ac:dyDescent="0.2">
      <c r="A12" s="906"/>
      <c r="B12" s="907"/>
      <c r="C12" s="2574" t="str">
        <f>IF(AND(F10&lt;0,F11&gt;=0,ABS(F10*3)&gt;ABS(F11)),A16,IF(AND(F10&lt;0,F11&gt;0,ABS(F10*3)&lt;=ABS(F11)),A17,IF(AND(F10&lt;0,F11&lt;0),A16,IF(F11=0,A19,A18))))</f>
        <v>Balanced - no deficit reduction plan is required.</v>
      </c>
      <c r="D12" s="2575"/>
      <c r="E12" s="2575"/>
      <c r="F12" s="2576"/>
    </row>
    <row r="13" spans="1:8" ht="19.7" customHeight="1" x14ac:dyDescent="0.2">
      <c r="A13" s="908"/>
      <c r="B13" s="909"/>
      <c r="C13" s="2574"/>
      <c r="D13" s="2575"/>
      <c r="E13" s="2575"/>
      <c r="F13" s="2576"/>
      <c r="H13" s="898"/>
    </row>
    <row r="14" spans="1:8" ht="19.7" customHeight="1" x14ac:dyDescent="0.2">
      <c r="A14" s="908"/>
      <c r="B14" s="909"/>
      <c r="C14" s="2574"/>
      <c r="D14" s="2575"/>
      <c r="E14" s="2575"/>
      <c r="F14" s="2576"/>
      <c r="H14" s="898"/>
    </row>
    <row r="15" spans="1:8" ht="17.25" customHeight="1" x14ac:dyDescent="0.2">
      <c r="A15" s="908"/>
      <c r="B15" s="909"/>
      <c r="C15" s="2577"/>
      <c r="D15" s="2578"/>
      <c r="E15" s="2578"/>
      <c r="F15" s="2579"/>
      <c r="H15" s="898"/>
    </row>
    <row r="16" spans="1:8" s="288" customFormat="1" ht="51.95" hidden="1" customHeight="1" x14ac:dyDescent="0.2">
      <c r="A16" s="2573" t="s">
        <v>1669</v>
      </c>
      <c r="B16" s="2573"/>
      <c r="C16" s="2573"/>
      <c r="D16" s="2573"/>
      <c r="E16" s="2573"/>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 xml:space="preserve">&amp;L&amp;8Page 36&amp;R&amp;8Page 36
</oddHeader>
    <oddFooter>&amp;RThe notes to the financial statements are an integral part of this statement.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7" colorId="8" zoomScale="110" zoomScaleNormal="110" workbookViewId="0">
      <selection activeCell="C77" sqref="C77"/>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95" t="s">
        <v>660</v>
      </c>
      <c r="B3" s="2596"/>
      <c r="C3" s="2596"/>
      <c r="D3" s="2597"/>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06" t="s">
        <v>1490</v>
      </c>
      <c r="D7" s="2607"/>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98" t="s">
        <v>1001</v>
      </c>
      <c r="B15" s="2599"/>
      <c r="C15" s="2599"/>
      <c r="D15" s="2600"/>
    </row>
    <row r="16" spans="1:4" s="542" customFormat="1" ht="24" customHeight="1" x14ac:dyDescent="0.2">
      <c r="A16" s="2601" t="s">
        <v>658</v>
      </c>
      <c r="B16" s="2602"/>
      <c r="C16" s="2602"/>
      <c r="D16" s="2603"/>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10" t="s">
        <v>311</v>
      </c>
      <c r="D21" s="2611"/>
    </row>
    <row r="22" spans="1:10" ht="12.75" x14ac:dyDescent="0.2">
      <c r="A22" s="963"/>
      <c r="B22" s="964">
        <v>2</v>
      </c>
      <c r="C22" s="2608" t="s">
        <v>1510</v>
      </c>
      <c r="D22" s="2609"/>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PLEASE CHECK YES or NO.</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75"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12" t="s">
        <v>533</v>
      </c>
      <c r="D43" s="2613"/>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604" t="s">
        <v>779</v>
      </c>
      <c r="D56" s="2605"/>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604" t="s">
        <v>1677</v>
      </c>
      <c r="D70" s="2605"/>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ht="22.5" x14ac:dyDescent="0.2">
      <c r="A82" s="922"/>
      <c r="B82" s="944">
        <v>15</v>
      </c>
      <c r="C82" s="954" t="s">
        <v>1887</v>
      </c>
      <c r="D82" s="1964" t="str">
        <f>IF('Contracts Paid in CY 29'!$D$142&gt;0,"OK","PLEASE ENTER CONTRACTS PAID IN CURRENT YEAR.  IF NONE, STATE NO CONTRACTS ON PAGE 29.")</f>
        <v>PLEASE ENTER CONTRACTS PAID IN CURRENT YEAR.  IF NONE, STATE NO CONTRACTS ON PAGE 29.</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&amp;F&amp;RThe notes to the financial statements are an integral part of this statement.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f>COVER!A13</f>
        <v>33048210026</v>
      </c>
      <c r="E2" s="1592">
        <v>2020</v>
      </c>
      <c r="F2" s="1592">
        <v>1</v>
      </c>
      <c r="G2" s="1962">
        <v>101000300</v>
      </c>
    </row>
    <row r="3" spans="1:7" ht="15" x14ac:dyDescent="0.25">
      <c r="A3" t="s">
        <v>950</v>
      </c>
      <c r="B3" s="135" t="str">
        <f>COVER!A15</f>
        <v>KNOX, PEORIA, AND STARK</v>
      </c>
      <c r="E3" s="1888" t="s">
        <v>1974</v>
      </c>
      <c r="F3" s="1888" t="s">
        <v>1973</v>
      </c>
      <c r="G3" s="1962">
        <v>101000400</v>
      </c>
    </row>
    <row r="4" spans="1:7" ht="15" x14ac:dyDescent="0.25">
      <c r="A4" t="s">
        <v>1000</v>
      </c>
      <c r="B4" s="135" t="str">
        <f>COVER!A17</f>
        <v xml:space="preserve">   Williamsfield CUSD 210</v>
      </c>
      <c r="E4" s="1886">
        <v>44119</v>
      </c>
      <c r="F4" s="1887">
        <v>44151</v>
      </c>
      <c r="G4" s="1962">
        <v>101000600</v>
      </c>
    </row>
    <row r="5" spans="1:7" ht="15" x14ac:dyDescent="0.25">
      <c r="A5" t="s">
        <v>699</v>
      </c>
      <c r="B5" s="135" t="str">
        <f>COVER!A38</f>
        <v>TIM FARQUER</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t="str">
        <f>COVER!T38</f>
        <v>JODI SCOTT</v>
      </c>
      <c r="G8" s="1962">
        <v>102100600</v>
      </c>
    </row>
    <row r="9" spans="1:7" ht="15" x14ac:dyDescent="0.25">
      <c r="A9" s="3" t="s">
        <v>951</v>
      </c>
      <c r="B9" s="153" t="str">
        <f>AUDITCHECK!D23</f>
        <v>CASH</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No</v>
      </c>
      <c r="G12" s="1962">
        <v>202100600</v>
      </c>
    </row>
    <row r="13" spans="1:7" ht="15" x14ac:dyDescent="0.25">
      <c r="A13" s="1" t="s">
        <v>1530</v>
      </c>
      <c r="B13" s="135" t="str">
        <f>IF(COVER!J30="x","Yes",IF(COVER!L30="x","No",0))</f>
        <v>No</v>
      </c>
      <c r="G13" s="1962">
        <v>202100800</v>
      </c>
    </row>
    <row r="14" spans="1:7" ht="15" x14ac:dyDescent="0.25">
      <c r="A14" t="s">
        <v>473</v>
      </c>
      <c r="B14" s="135" t="str">
        <f>IF(COVER!J31="x","Yes",IF(COVER!L31="x","No",0))</f>
        <v>Yes</v>
      </c>
      <c r="G14" s="1962">
        <v>402100300</v>
      </c>
    </row>
    <row r="15" spans="1:7" ht="15" x14ac:dyDescent="0.25">
      <c r="A15" t="s">
        <v>573</v>
      </c>
      <c r="B15" s="135" t="str">
        <f>COVER!T23</f>
        <v>065-024137</v>
      </c>
      <c r="G15" s="1962">
        <v>402100400</v>
      </c>
    </row>
    <row r="16" spans="1:7" ht="15" x14ac:dyDescent="0.25">
      <c r="A16" t="s">
        <v>419</v>
      </c>
      <c r="B16" s="135" t="str">
        <f>COVER!T13</f>
        <v>BLUCKER, KNEER &amp; ASSOCIATES, LTD.</v>
      </c>
      <c r="G16" s="1962">
        <v>402100600</v>
      </c>
    </row>
    <row r="17" spans="1:7" ht="15" x14ac:dyDescent="0.25">
      <c r="A17" t="s">
        <v>878</v>
      </c>
      <c r="B17" s="135" t="str">
        <f>COVER!T15</f>
        <v>TERESA A. WELCH</v>
      </c>
      <c r="G17" s="1962">
        <v>402100800</v>
      </c>
    </row>
    <row r="18" spans="1:7" ht="15" x14ac:dyDescent="0.25">
      <c r="A18" t="s">
        <v>1142</v>
      </c>
      <c r="B18" s="135" t="str">
        <f>COVER!T17</f>
        <v>P.O. BOX 1464</v>
      </c>
      <c r="G18" s="1962">
        <v>102200300</v>
      </c>
    </row>
    <row r="19" spans="1:7" ht="15" x14ac:dyDescent="0.25">
      <c r="A19" t="s">
        <v>880</v>
      </c>
      <c r="B19" s="135" t="str">
        <f>COVER!T25</f>
        <v>teresabka@gmail.com</v>
      </c>
      <c r="G19" s="1962">
        <v>102200400</v>
      </c>
    </row>
    <row r="20" spans="1:7" ht="15" x14ac:dyDescent="0.25">
      <c r="A20" t="s">
        <v>881</v>
      </c>
      <c r="B20" s="135" t="str">
        <f>COVER!T19</f>
        <v>GALESBURG</v>
      </c>
      <c r="G20" s="1962">
        <v>102200600</v>
      </c>
    </row>
    <row r="21" spans="1:7" ht="15" x14ac:dyDescent="0.25">
      <c r="A21" t="s">
        <v>476</v>
      </c>
      <c r="B21" s="135" t="str">
        <f>COVER!X19</f>
        <v>IL</v>
      </c>
      <c r="G21" s="1962">
        <v>102200800</v>
      </c>
    </row>
    <row r="22" spans="1:7" ht="15" x14ac:dyDescent="0.25">
      <c r="A22" t="s">
        <v>882</v>
      </c>
      <c r="B22" s="135">
        <f>COVER!Z19</f>
        <v>61401</v>
      </c>
      <c r="G22" s="1962">
        <v>102300300</v>
      </c>
    </row>
    <row r="23" spans="1:7" ht="15" x14ac:dyDescent="0.25">
      <c r="A23" t="s">
        <v>1144</v>
      </c>
      <c r="B23" s="135" t="str">
        <f>COVER!T21</f>
        <v>309-343-4156</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Yes</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Yes</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0</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0</v>
      </c>
      <c r="G49" s="1962">
        <v>102540800</v>
      </c>
    </row>
    <row r="50" spans="1:7" ht="15" x14ac:dyDescent="0.25">
      <c r="A50" s="1" t="s">
        <v>1466</v>
      </c>
      <c r="B50" s="146">
        <f>'Aud Quest 2'!H53</f>
        <v>0</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219994</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1054380</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3584</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3584</v>
      </c>
      <c r="C91" s="2" t="s">
        <v>569</v>
      </c>
      <c r="D91" s="2" t="str">
        <f t="shared" si="0"/>
        <v>Error?</v>
      </c>
      <c r="G91" s="1962">
        <v>102640400</v>
      </c>
    </row>
    <row r="92" spans="1:7" ht="15" x14ac:dyDescent="0.25">
      <c r="A92" s="5">
        <v>31</v>
      </c>
      <c r="B92" s="1890">
        <f>'Assets-Liab 5-6'!C39</f>
        <v>1013889</v>
      </c>
      <c r="D92" s="2" t="str">
        <f t="shared" si="0"/>
        <v>Error?</v>
      </c>
      <c r="G92" s="1962">
        <v>102640600</v>
      </c>
    </row>
    <row r="93" spans="1:7" ht="15" x14ac:dyDescent="0.25">
      <c r="A93" s="5">
        <v>32</v>
      </c>
      <c r="B93" s="1890">
        <f>'Assets-Liab 5-6'!C41</f>
        <v>1054380</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284877</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284877</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81552</v>
      </c>
      <c r="C122" s="2" t="s">
        <v>569</v>
      </c>
      <c r="D122" s="2" t="str">
        <f t="shared" si="0"/>
        <v>Error?</v>
      </c>
      <c r="G122" s="1962">
        <v>203000300</v>
      </c>
    </row>
    <row r="123" spans="1:7" ht="15" x14ac:dyDescent="0.25">
      <c r="A123" s="5">
        <v>62</v>
      </c>
      <c r="B123" s="1890">
        <f>'Assets-Liab 5-6'!D39</f>
        <v>203325</v>
      </c>
      <c r="D123" s="2" t="str">
        <f t="shared" si="0"/>
        <v>Error?</v>
      </c>
      <c r="G123" s="1962">
        <v>203000400</v>
      </c>
    </row>
    <row r="124" spans="1:7" ht="15" x14ac:dyDescent="0.25">
      <c r="A124" s="5">
        <v>63</v>
      </c>
      <c r="B124" s="1890">
        <f>'Assets-Liab 5-6'!D41</f>
        <v>284877</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1</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167937</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167937</v>
      </c>
      <c r="D140" s="2" t="str">
        <f t="shared" si="1"/>
        <v>Error?</v>
      </c>
    </row>
    <row r="141" spans="1:7" x14ac:dyDescent="0.2">
      <c r="A141" s="5">
        <v>80</v>
      </c>
      <c r="B141" s="1890">
        <f>'Assets-Liab 5-6'!E41</f>
        <v>167937</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15422</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358343</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358343</v>
      </c>
      <c r="D170" s="2" t="str">
        <f t="shared" si="1"/>
        <v>Error?</v>
      </c>
    </row>
    <row r="171" spans="1:4" x14ac:dyDescent="0.2">
      <c r="A171" s="5">
        <v>110</v>
      </c>
      <c r="B171" s="1890">
        <f>'Assets-Liab 5-6'!F41</f>
        <v>358343</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0</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64819</v>
      </c>
      <c r="C188" s="2" t="s">
        <v>569</v>
      </c>
      <c r="D188" s="2" t="str">
        <f t="shared" si="1"/>
        <v>Error?</v>
      </c>
    </row>
    <row r="189" spans="1:4" x14ac:dyDescent="0.2">
      <c r="A189" s="5">
        <v>128</v>
      </c>
      <c r="B189" s="1890">
        <f>'Assets-Liab 5-6'!G39</f>
        <v>0</v>
      </c>
      <c r="D189" s="2" t="str">
        <f t="shared" si="1"/>
        <v>Error?</v>
      </c>
    </row>
    <row r="190" spans="1:4" x14ac:dyDescent="0.2">
      <c r="A190" s="5">
        <v>129</v>
      </c>
      <c r="B190" s="1890">
        <f>'Assets-Liab 5-6'!G41</f>
        <v>0</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61818</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61818</v>
      </c>
      <c r="D212" s="2" t="str">
        <f t="shared" si="2"/>
        <v>Error?</v>
      </c>
    </row>
    <row r="213" spans="1:4" x14ac:dyDescent="0.2">
      <c r="A213" s="12">
        <v>152</v>
      </c>
      <c r="B213" s="1890">
        <f>'Assets-Liab 5-6'!H41</f>
        <v>61818</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22782</v>
      </c>
      <c r="D273" s="2" t="str">
        <f t="shared" si="3"/>
        <v>Error?</v>
      </c>
    </row>
    <row r="274" spans="1:4" x14ac:dyDescent="0.2">
      <c r="A274" s="5">
        <v>213</v>
      </c>
      <c r="B274" s="1890">
        <f>'Assets-Liab 5-6'!M17</f>
        <v>4851692</v>
      </c>
      <c r="D274" s="2" t="str">
        <f t="shared" si="3"/>
        <v>Error?</v>
      </c>
    </row>
    <row r="275" spans="1:4" x14ac:dyDescent="0.2">
      <c r="A275" s="5">
        <v>214</v>
      </c>
      <c r="B275" s="1890">
        <f>'Assets-Liab 5-6'!M18</f>
        <v>0</v>
      </c>
      <c r="D275" s="2" t="str">
        <f t="shared" si="3"/>
        <v>Error?</v>
      </c>
    </row>
    <row r="276" spans="1:4" x14ac:dyDescent="0.2">
      <c r="A276" s="5">
        <v>215</v>
      </c>
      <c r="B276" s="1890">
        <f>'Assets-Liab 5-6'!M19</f>
        <v>1168906</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6067585</v>
      </c>
      <c r="C279" s="2" t="s">
        <v>569</v>
      </c>
      <c r="D279" s="2" t="str">
        <f t="shared" si="3"/>
        <v>Error?</v>
      </c>
    </row>
    <row r="280" spans="1:4" x14ac:dyDescent="0.2">
      <c r="A280" s="5">
        <v>219</v>
      </c>
      <c r="B280" s="1890">
        <f>'Assets-Liab 5-6'!M40</f>
        <v>6067585</v>
      </c>
      <c r="D280" s="2" t="str">
        <f t="shared" si="3"/>
        <v>Error?</v>
      </c>
    </row>
    <row r="281" spans="1:4" x14ac:dyDescent="0.2">
      <c r="A281" s="5">
        <v>220</v>
      </c>
      <c r="B281" s="1890">
        <f>'Assets-Liab 5-6'!M41</f>
        <v>6067585</v>
      </c>
      <c r="C281" s="2" t="s">
        <v>569</v>
      </c>
      <c r="D281" s="2" t="str">
        <f t="shared" si="3"/>
        <v>Error?</v>
      </c>
    </row>
    <row r="282" spans="1:4" x14ac:dyDescent="0.2">
      <c r="A282" s="5">
        <v>221</v>
      </c>
      <c r="B282" s="1890">
        <f>'Assets-Liab 5-6'!N21</f>
        <v>167937</v>
      </c>
      <c r="D282" s="2" t="str">
        <f t="shared" si="3"/>
        <v>Error?</v>
      </c>
    </row>
    <row r="283" spans="1:4" x14ac:dyDescent="0.2">
      <c r="A283" s="5">
        <v>222</v>
      </c>
      <c r="B283" s="1890">
        <f>'Assets-Liab 5-6'!N22</f>
        <v>3131571</v>
      </c>
      <c r="D283" s="2" t="str">
        <f t="shared" si="3"/>
        <v>Error?</v>
      </c>
    </row>
    <row r="284" spans="1:4" x14ac:dyDescent="0.2">
      <c r="A284" s="5">
        <v>223</v>
      </c>
      <c r="B284" s="1890">
        <f>'Assets-Liab 5-6'!N23</f>
        <v>3299508</v>
      </c>
      <c r="C284" s="2" t="s">
        <v>569</v>
      </c>
      <c r="D284" s="2" t="str">
        <f t="shared" si="3"/>
        <v>Error?</v>
      </c>
    </row>
    <row r="285" spans="1:4" x14ac:dyDescent="0.2">
      <c r="A285" s="5">
        <v>224</v>
      </c>
      <c r="B285" s="1890">
        <f>'Assets-Liab 5-6'!N36</f>
        <v>3299508</v>
      </c>
      <c r="D285" s="2" t="str">
        <f t="shared" si="3"/>
        <v>Error?</v>
      </c>
    </row>
    <row r="286" spans="1:4" x14ac:dyDescent="0.2">
      <c r="A286" s="10">
        <v>225</v>
      </c>
      <c r="B286" s="1890"/>
      <c r="D286" s="2" t="str">
        <f t="shared" si="3"/>
        <v>OK</v>
      </c>
    </row>
    <row r="287" spans="1:4" x14ac:dyDescent="0.2">
      <c r="A287" s="5">
        <v>226</v>
      </c>
      <c r="B287" s="1890">
        <f>'Assets-Liab 5-6'!N37</f>
        <v>3299508</v>
      </c>
      <c r="C287" s="2" t="s">
        <v>569</v>
      </c>
      <c r="D287" s="2" t="str">
        <f t="shared" si="3"/>
        <v>Error?</v>
      </c>
    </row>
    <row r="288" spans="1:4" x14ac:dyDescent="0.2">
      <c r="A288" s="5">
        <v>227</v>
      </c>
      <c r="B288" s="1890">
        <f>'Assets-Liab 5-6'!N41</f>
        <v>3299508</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300000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1315169</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149402</v>
      </c>
      <c r="D717" s="2" t="str">
        <f t="shared" si="10"/>
        <v>Error?</v>
      </c>
    </row>
    <row r="718" spans="1:4" x14ac:dyDescent="0.2">
      <c r="A718" s="5">
        <v>657</v>
      </c>
      <c r="B718" s="1890">
        <f>'Expenditures 15-22'!C14</f>
        <v>106685</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1922579</v>
      </c>
      <c r="C720" s="2" t="s">
        <v>569</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69724</v>
      </c>
      <c r="D722" s="2" t="str">
        <f t="shared" si="10"/>
        <v>Error?</v>
      </c>
    </row>
    <row r="723" spans="1:4" x14ac:dyDescent="0.2">
      <c r="A723" s="5">
        <v>662</v>
      </c>
      <c r="B723" s="1890">
        <f>'Expenditures 15-22'!C38</f>
        <v>40588</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61951</v>
      </c>
      <c r="D726" s="2" t="str">
        <f t="shared" si="10"/>
        <v>Error?</v>
      </c>
    </row>
    <row r="727" spans="1:4" x14ac:dyDescent="0.2">
      <c r="A727" s="5">
        <v>666</v>
      </c>
      <c r="B727" s="1890">
        <f>'Expenditures 15-22'!C42</f>
        <v>172263</v>
      </c>
      <c r="C727" s="2" t="s">
        <v>569</v>
      </c>
      <c r="D727" s="2" t="str">
        <f t="shared" si="10"/>
        <v>Error?</v>
      </c>
    </row>
    <row r="728" spans="1:4" x14ac:dyDescent="0.2">
      <c r="A728" s="5">
        <v>667</v>
      </c>
      <c r="B728" s="1890">
        <f>'Expenditures 15-22'!C44</f>
        <v>94418</v>
      </c>
      <c r="D728" s="2" t="str">
        <f t="shared" si="10"/>
        <v>Error?</v>
      </c>
    </row>
    <row r="729" spans="1:4" x14ac:dyDescent="0.2">
      <c r="A729" s="5">
        <v>668</v>
      </c>
      <c r="B729" s="1890">
        <f>'Expenditures 15-22'!C45</f>
        <v>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94418</v>
      </c>
      <c r="C731" s="2" t="s">
        <v>569</v>
      </c>
      <c r="D731" s="2" t="str">
        <f t="shared" si="10"/>
        <v>Error?</v>
      </c>
    </row>
    <row r="732" spans="1:4" x14ac:dyDescent="0.2">
      <c r="A732" s="5">
        <v>671</v>
      </c>
      <c r="B732" s="1890">
        <f>'Expenditures 15-22'!C49</f>
        <v>10277</v>
      </c>
      <c r="D732" s="2" t="str">
        <f t="shared" si="10"/>
        <v>Error?</v>
      </c>
    </row>
    <row r="733" spans="1:4" x14ac:dyDescent="0.2">
      <c r="A733" s="5">
        <v>672</v>
      </c>
      <c r="B733" s="1890">
        <f>'Expenditures 15-22'!C50</f>
        <v>55224</v>
      </c>
      <c r="D733" s="2" t="str">
        <f t="shared" si="10"/>
        <v>Error?</v>
      </c>
    </row>
    <row r="734" spans="1:4" x14ac:dyDescent="0.2">
      <c r="A734" s="5">
        <v>673</v>
      </c>
      <c r="B734" s="1890">
        <f>'Expenditures 15-22'!C53</f>
        <v>65501</v>
      </c>
      <c r="C734" s="2" t="s">
        <v>569</v>
      </c>
      <c r="D734" s="2" t="str">
        <f t="shared" si="10"/>
        <v>Error?</v>
      </c>
    </row>
    <row r="735" spans="1:4" x14ac:dyDescent="0.2">
      <c r="A735" s="5">
        <v>674</v>
      </c>
      <c r="B735" s="1890">
        <f>'Expenditures 15-22'!C55</f>
        <v>91398</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91398</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51302</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152521</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203823</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627403</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2549982</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228183</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16853</v>
      </c>
      <c r="D775" s="2" t="str">
        <f t="shared" si="11"/>
        <v>Error?</v>
      </c>
    </row>
    <row r="776" spans="1:4" x14ac:dyDescent="0.2">
      <c r="A776" s="5">
        <v>715</v>
      </c>
      <c r="B776" s="1890">
        <f>'Expenditures 15-22'!D14</f>
        <v>922</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312526</v>
      </c>
      <c r="C778" s="2" t="s">
        <v>569</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6329</v>
      </c>
      <c r="D780" s="2" t="str">
        <f t="shared" si="11"/>
        <v>Error?</v>
      </c>
    </row>
    <row r="781" spans="1:4" x14ac:dyDescent="0.2">
      <c r="A781" s="5">
        <v>720</v>
      </c>
      <c r="B781" s="1890">
        <f>'Expenditures 15-22'!D38</f>
        <v>5987</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6346</v>
      </c>
      <c r="D784" s="2" t="str">
        <f t="shared" si="11"/>
        <v>Error?</v>
      </c>
    </row>
    <row r="785" spans="1:4" x14ac:dyDescent="0.2">
      <c r="A785" s="5">
        <v>724</v>
      </c>
      <c r="B785" s="1890">
        <f>'Expenditures 15-22'!D42</f>
        <v>18662</v>
      </c>
      <c r="C785" s="2" t="s">
        <v>569</v>
      </c>
      <c r="D785" s="2" t="str">
        <f t="shared" si="11"/>
        <v>Error?</v>
      </c>
    </row>
    <row r="786" spans="1:4" x14ac:dyDescent="0.2">
      <c r="A786" s="5">
        <v>725</v>
      </c>
      <c r="B786" s="1890">
        <f>'Expenditures 15-22'!D44</f>
        <v>33929</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33929</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7124</v>
      </c>
      <c r="D791" s="2" t="str">
        <f t="shared" si="11"/>
        <v>Error?</v>
      </c>
    </row>
    <row r="792" spans="1:4" x14ac:dyDescent="0.2">
      <c r="A792" s="5">
        <v>731</v>
      </c>
      <c r="B792" s="1890">
        <f>'Expenditures 15-22'!D53</f>
        <v>7124</v>
      </c>
      <c r="C792" s="2" t="s">
        <v>569</v>
      </c>
      <c r="D792" s="2" t="str">
        <f t="shared" si="11"/>
        <v>Error?</v>
      </c>
    </row>
    <row r="793" spans="1:4" x14ac:dyDescent="0.2">
      <c r="A793" s="5">
        <v>732</v>
      </c>
      <c r="B793" s="1890">
        <f>'Expenditures 15-22'!D55</f>
        <v>24857</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24857</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6090</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24422</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30512</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115084</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427610</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30821</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24787</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87804</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1582</v>
      </c>
      <c r="D842" s="2" t="str">
        <f t="shared" si="12"/>
        <v>Error?</v>
      </c>
    </row>
    <row r="843" spans="1:4" x14ac:dyDescent="0.2">
      <c r="A843" s="5">
        <v>782</v>
      </c>
      <c r="B843" s="1890">
        <f>'Expenditures 15-22'!E42</f>
        <v>1582</v>
      </c>
      <c r="C843" s="2" t="s">
        <v>569</v>
      </c>
      <c r="D843" s="2" t="str">
        <f t="shared" si="12"/>
        <v>Error?</v>
      </c>
    </row>
    <row r="844" spans="1:4" x14ac:dyDescent="0.2">
      <c r="A844" s="5">
        <v>783</v>
      </c>
      <c r="B844" s="1890">
        <f>'Expenditures 15-22'!E44</f>
        <v>35990</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35990</v>
      </c>
      <c r="C847" s="2" t="s">
        <v>569</v>
      </c>
      <c r="D847" s="2" t="str">
        <f t="shared" si="12"/>
        <v>Error?</v>
      </c>
    </row>
    <row r="848" spans="1:4" x14ac:dyDescent="0.2">
      <c r="A848" s="5">
        <v>787</v>
      </c>
      <c r="B848" s="1890">
        <f>'Expenditures 15-22'!E49</f>
        <v>31658</v>
      </c>
      <c r="D848" s="2" t="str">
        <f t="shared" si="12"/>
        <v>Error?</v>
      </c>
    </row>
    <row r="849" spans="1:4" x14ac:dyDescent="0.2">
      <c r="A849" s="5">
        <v>788</v>
      </c>
      <c r="B849" s="1890">
        <f>'Expenditures 15-22'!E50</f>
        <v>8020</v>
      </c>
      <c r="D849" s="2" t="str">
        <f t="shared" si="12"/>
        <v>Error?</v>
      </c>
    </row>
    <row r="850" spans="1:4" x14ac:dyDescent="0.2">
      <c r="A850" s="5">
        <v>789</v>
      </c>
      <c r="B850" s="1890">
        <f>'Expenditures 15-22'!E53</f>
        <v>39678</v>
      </c>
      <c r="C850" s="2" t="s">
        <v>569</v>
      </c>
      <c r="D850" s="2" t="str">
        <f t="shared" si="12"/>
        <v>Error?</v>
      </c>
    </row>
    <row r="851" spans="1:4" x14ac:dyDescent="0.2">
      <c r="A851" s="5">
        <v>790</v>
      </c>
      <c r="B851" s="1890">
        <f>'Expenditures 15-22'!E55</f>
        <v>9428</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9428</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13125</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9752</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22877</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109555</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197359</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112292</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10413</v>
      </c>
      <c r="D891" s="2" t="str">
        <f t="shared" si="12"/>
        <v>Error?</v>
      </c>
    </row>
    <row r="892" spans="1:4" x14ac:dyDescent="0.2">
      <c r="A892" s="5">
        <v>831</v>
      </c>
      <c r="B892" s="1890">
        <f>'Expenditures 15-22'!F14</f>
        <v>20326</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147714</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2038</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20267</v>
      </c>
      <c r="D900" s="2" t="str">
        <f t="shared" si="13"/>
        <v>Error?</v>
      </c>
    </row>
    <row r="901" spans="1:4" x14ac:dyDescent="0.2">
      <c r="A901" s="5">
        <v>840</v>
      </c>
      <c r="B901" s="1890">
        <f>'Expenditures 15-22'!F42</f>
        <v>22305</v>
      </c>
      <c r="C901" s="2" t="s">
        <v>569</v>
      </c>
      <c r="D901" s="2" t="str">
        <f t="shared" si="13"/>
        <v>Error?</v>
      </c>
    </row>
    <row r="902" spans="1:4" x14ac:dyDescent="0.2">
      <c r="A902" s="5">
        <v>841</v>
      </c>
      <c r="B902" s="1890">
        <f>'Expenditures 15-22'!F44</f>
        <v>684</v>
      </c>
      <c r="D902" s="2" t="str">
        <f t="shared" si="13"/>
        <v>Error?</v>
      </c>
    </row>
    <row r="903" spans="1:4" x14ac:dyDescent="0.2">
      <c r="A903" s="5">
        <v>842</v>
      </c>
      <c r="B903" s="1890">
        <f>'Expenditures 15-22'!F45</f>
        <v>28917</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29601</v>
      </c>
      <c r="C905" s="2" t="s">
        <v>569</v>
      </c>
      <c r="D905" s="2" t="str">
        <f t="shared" si="13"/>
        <v>Error?</v>
      </c>
    </row>
    <row r="906" spans="1:4" x14ac:dyDescent="0.2">
      <c r="A906" s="5">
        <v>845</v>
      </c>
      <c r="B906" s="1890">
        <f>'Expenditures 15-22'!F49</f>
        <v>3773</v>
      </c>
      <c r="D906" s="2" t="str">
        <f t="shared" si="13"/>
        <v>Error?</v>
      </c>
    </row>
    <row r="907" spans="1:4" x14ac:dyDescent="0.2">
      <c r="A907" s="5">
        <v>846</v>
      </c>
      <c r="B907" s="1890">
        <f>'Expenditures 15-22'!F50</f>
        <v>1803</v>
      </c>
      <c r="D907" s="2" t="str">
        <f t="shared" si="13"/>
        <v>Error?</v>
      </c>
    </row>
    <row r="908" spans="1:4" x14ac:dyDescent="0.2">
      <c r="A908" s="5">
        <v>847</v>
      </c>
      <c r="B908" s="1890">
        <f>'Expenditures 15-22'!F53</f>
        <v>5576</v>
      </c>
      <c r="C908" s="2" t="s">
        <v>569</v>
      </c>
      <c r="D908" s="2" t="str">
        <f t="shared" si="13"/>
        <v>Error?</v>
      </c>
    </row>
    <row r="909" spans="1:4" x14ac:dyDescent="0.2">
      <c r="A909" s="5">
        <v>848</v>
      </c>
      <c r="B909" s="1890">
        <f>'Expenditures 15-22'!F55</f>
        <v>6811</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6811</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785</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99767</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100552</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164845</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312559</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19906</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3647</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23553</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8378</v>
      </c>
      <c r="D958" s="2" t="str">
        <f t="shared" si="13"/>
        <v>Error?</v>
      </c>
    </row>
    <row r="959" spans="1:4" x14ac:dyDescent="0.2">
      <c r="A959" s="5">
        <v>898</v>
      </c>
      <c r="B959" s="1890">
        <f>'Expenditures 15-22'!G42</f>
        <v>8378</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72</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72</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8450</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32003</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9503</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3898</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13401</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0</v>
      </c>
      <c r="D1022" s="2" t="str">
        <f t="shared" si="14"/>
        <v>Error?</v>
      </c>
    </row>
    <row r="1023" spans="1:4" x14ac:dyDescent="0.2">
      <c r="A1023" s="5">
        <v>962</v>
      </c>
      <c r="B1023" s="1890">
        <f>'Expenditures 15-22'!H50</f>
        <v>0</v>
      </c>
      <c r="D1023" s="2" t="str">
        <f t="shared" ref="D1023:D1086" si="15">IF(ISBLANK(B1023),"OK",IF(A1023-B1023=0,"OK","Error?"))</f>
        <v>Error?</v>
      </c>
    </row>
    <row r="1024" spans="1:4" x14ac:dyDescent="0.2">
      <c r="A1024" s="5">
        <v>963</v>
      </c>
      <c r="B1024" s="1890">
        <f>'Expenditures 15-22'!H53</f>
        <v>0</v>
      </c>
      <c r="C1024" s="2" t="s">
        <v>569</v>
      </c>
      <c r="D1024" s="2" t="str">
        <f t="shared" si="15"/>
        <v>Error?</v>
      </c>
    </row>
    <row r="1025" spans="1:4" x14ac:dyDescent="0.2">
      <c r="A1025" s="5">
        <v>964</v>
      </c>
      <c r="B1025" s="1890">
        <f>'Expenditures 15-22'!H55</f>
        <v>1647</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1647</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1647</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133528</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148576</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1715874</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176668</v>
      </c>
      <c r="C1105" s="2" t="s">
        <v>569</v>
      </c>
      <c r="D1105" s="2" t="str">
        <f t="shared" si="16"/>
        <v>Error?</v>
      </c>
    </row>
    <row r="1106" spans="1:4" x14ac:dyDescent="0.2">
      <c r="A1106" s="5">
        <v>1045</v>
      </c>
      <c r="B1106" s="1890">
        <f>'Expenditures 15-22'!K14</f>
        <v>160265</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2507577</v>
      </c>
      <c r="C1108" s="2" t="s">
        <v>569</v>
      </c>
      <c r="D1108" s="2" t="str">
        <f t="shared" si="16"/>
        <v>Error?</v>
      </c>
    </row>
    <row r="1109" spans="1:4" x14ac:dyDescent="0.2">
      <c r="A1109" s="5">
        <v>1048</v>
      </c>
      <c r="B1109" s="1890">
        <f>'Expenditures 15-22'!K36</f>
        <v>0</v>
      </c>
      <c r="C1109" s="2" t="s">
        <v>569</v>
      </c>
      <c r="D1109" s="2" t="str">
        <f t="shared" si="16"/>
        <v>Error?</v>
      </c>
    </row>
    <row r="1110" spans="1:4" x14ac:dyDescent="0.2">
      <c r="A1110" s="5">
        <v>1049</v>
      </c>
      <c r="B1110" s="1890">
        <f>'Expenditures 15-22'!K37</f>
        <v>76053</v>
      </c>
      <c r="C1110" s="2" t="s">
        <v>569</v>
      </c>
      <c r="D1110" s="2" t="str">
        <f t="shared" si="16"/>
        <v>Error?</v>
      </c>
    </row>
    <row r="1111" spans="1:4" x14ac:dyDescent="0.2">
      <c r="A1111" s="5">
        <v>1050</v>
      </c>
      <c r="B1111" s="1890">
        <f>'Expenditures 15-22'!K38</f>
        <v>48613</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0</v>
      </c>
      <c r="C1113" s="2" t="s">
        <v>569</v>
      </c>
      <c r="D1113" s="2" t="str">
        <f t="shared" si="16"/>
        <v>Error?</v>
      </c>
    </row>
    <row r="1114" spans="1:4" x14ac:dyDescent="0.2">
      <c r="A1114" s="5">
        <v>1053</v>
      </c>
      <c r="B1114" s="1890">
        <f>'Expenditures 15-22'!K41</f>
        <v>98524</v>
      </c>
      <c r="C1114" s="2" t="s">
        <v>569</v>
      </c>
      <c r="D1114" s="2" t="str">
        <f t="shared" si="16"/>
        <v>Error?</v>
      </c>
    </row>
    <row r="1115" spans="1:4" x14ac:dyDescent="0.2">
      <c r="A1115" s="5">
        <v>1054</v>
      </c>
      <c r="B1115" s="1890">
        <f>'Expenditures 15-22'!K42</f>
        <v>223190</v>
      </c>
      <c r="C1115" s="2" t="s">
        <v>569</v>
      </c>
      <c r="D1115" s="2" t="str">
        <f t="shared" si="16"/>
        <v>Error?</v>
      </c>
    </row>
    <row r="1116" spans="1:4" x14ac:dyDescent="0.2">
      <c r="A1116" s="5">
        <v>1055</v>
      </c>
      <c r="B1116" s="1890">
        <f>'Expenditures 15-22'!K44</f>
        <v>165021</v>
      </c>
      <c r="C1116" s="2" t="s">
        <v>569</v>
      </c>
      <c r="D1116" s="2" t="str">
        <f t="shared" si="16"/>
        <v>Error?</v>
      </c>
    </row>
    <row r="1117" spans="1:4" x14ac:dyDescent="0.2">
      <c r="A1117" s="5">
        <v>1056</v>
      </c>
      <c r="B1117" s="1890">
        <f>'Expenditures 15-22'!K45</f>
        <v>28917</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193938</v>
      </c>
      <c r="C1119" s="2" t="s">
        <v>569</v>
      </c>
      <c r="D1119" s="2" t="str">
        <f t="shared" si="16"/>
        <v>Error?</v>
      </c>
    </row>
    <row r="1120" spans="1:4" x14ac:dyDescent="0.2">
      <c r="A1120" s="5">
        <v>1059</v>
      </c>
      <c r="B1120" s="1890">
        <f>'Expenditures 15-22'!K49</f>
        <v>45708</v>
      </c>
      <c r="C1120" s="2" t="s">
        <v>569</v>
      </c>
      <c r="D1120" s="2" t="str">
        <f t="shared" si="16"/>
        <v>Error?</v>
      </c>
    </row>
    <row r="1121" spans="1:4" x14ac:dyDescent="0.2">
      <c r="A1121" s="5">
        <v>1060</v>
      </c>
      <c r="B1121" s="1890">
        <f>'Expenditures 15-22'!K50</f>
        <v>72171</v>
      </c>
      <c r="C1121" s="2" t="s">
        <v>569</v>
      </c>
      <c r="D1121" s="2" t="str">
        <f t="shared" si="16"/>
        <v>Error?</v>
      </c>
    </row>
    <row r="1122" spans="1:4" x14ac:dyDescent="0.2">
      <c r="A1122" s="5">
        <v>1061</v>
      </c>
      <c r="B1122" s="1890">
        <f>'Expenditures 15-22'!K53</f>
        <v>117879</v>
      </c>
      <c r="C1122" s="2" t="s">
        <v>569</v>
      </c>
      <c r="D1122" s="2" t="str">
        <f t="shared" si="16"/>
        <v>Error?</v>
      </c>
    </row>
    <row r="1123" spans="1:4" x14ac:dyDescent="0.2">
      <c r="A1123" s="5">
        <v>1062</v>
      </c>
      <c r="B1123" s="1890">
        <f>'Expenditures 15-22'!K55</f>
        <v>134141</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134141</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71302</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286534</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357836</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1026984</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133528</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3668089</v>
      </c>
      <c r="C1152" s="2" t="s">
        <v>569</v>
      </c>
      <c r="D1152" s="2" t="str">
        <f t="shared" si="17"/>
        <v>Error?</v>
      </c>
    </row>
    <row r="1153" spans="1:4" x14ac:dyDescent="0.2">
      <c r="A1153" s="5">
        <v>1092</v>
      </c>
      <c r="B1153" s="1890">
        <f>'Expenditures 15-22'!K115</f>
        <v>54858</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164816</v>
      </c>
      <c r="D1221" s="2" t="str">
        <f t="shared" si="18"/>
        <v>Error?</v>
      </c>
    </row>
    <row r="1222" spans="1:4" x14ac:dyDescent="0.2">
      <c r="A1222" s="10">
        <v>1161</v>
      </c>
      <c r="B1222" s="1890"/>
      <c r="D1222" s="2" t="str">
        <f t="shared" si="18"/>
        <v>OK</v>
      </c>
    </row>
    <row r="1223" spans="1:4" x14ac:dyDescent="0.2">
      <c r="A1223" s="5">
        <v>1162</v>
      </c>
      <c r="B1223" s="1890">
        <f>'Expenditures 15-22'!C127</f>
        <v>164816</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164816</v>
      </c>
      <c r="C1225" s="2" t="s">
        <v>569</v>
      </c>
      <c r="D1225" s="2" t="str">
        <f t="shared" si="18"/>
        <v>Error?</v>
      </c>
    </row>
    <row r="1226" spans="1:4" x14ac:dyDescent="0.2">
      <c r="A1226" s="5">
        <v>1165</v>
      </c>
      <c r="B1226" s="1890">
        <f>'Expenditures 15-22'!C151</f>
        <v>164816</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22737</v>
      </c>
      <c r="D1229" s="2" t="str">
        <f t="shared" si="18"/>
        <v>Error?</v>
      </c>
    </row>
    <row r="1230" spans="1:4" x14ac:dyDescent="0.2">
      <c r="A1230" s="10">
        <v>1169</v>
      </c>
      <c r="B1230" s="1890"/>
      <c r="D1230" s="2" t="str">
        <f t="shared" si="18"/>
        <v>OK</v>
      </c>
    </row>
    <row r="1231" spans="1:4" x14ac:dyDescent="0.2">
      <c r="A1231" s="5">
        <v>1170</v>
      </c>
      <c r="B1231" s="1890">
        <f>'Expenditures 15-22'!D127</f>
        <v>22737</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22737</v>
      </c>
      <c r="C1233" s="2" t="s">
        <v>569</v>
      </c>
      <c r="D1233" s="2" t="str">
        <f t="shared" si="18"/>
        <v>Error?</v>
      </c>
    </row>
    <row r="1234" spans="1:4" x14ac:dyDescent="0.2">
      <c r="A1234" s="5">
        <v>1173</v>
      </c>
      <c r="B1234" s="1890">
        <f>'Expenditures 15-22'!D151</f>
        <v>22737</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129131</v>
      </c>
      <c r="D1237" s="2" t="str">
        <f t="shared" si="18"/>
        <v>Error?</v>
      </c>
    </row>
    <row r="1238" spans="1:4" x14ac:dyDescent="0.2">
      <c r="A1238" s="10">
        <v>1177</v>
      </c>
      <c r="B1238" s="1890"/>
      <c r="D1238" s="2" t="str">
        <f t="shared" si="18"/>
        <v>OK</v>
      </c>
    </row>
    <row r="1239" spans="1:4" x14ac:dyDescent="0.2">
      <c r="A1239" s="5">
        <v>1178</v>
      </c>
      <c r="B1239" s="1890">
        <f>'Expenditures 15-22'!E127</f>
        <v>129131</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129131</v>
      </c>
      <c r="C1241" s="2" t="s">
        <v>569</v>
      </c>
      <c r="D1241" s="2" t="str">
        <f t="shared" si="18"/>
        <v>Error?</v>
      </c>
    </row>
    <row r="1242" spans="1:4" x14ac:dyDescent="0.2">
      <c r="A1242" s="5">
        <v>1181</v>
      </c>
      <c r="B1242" s="1890">
        <f>'Expenditures 15-22'!E151</f>
        <v>129131</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104761</v>
      </c>
      <c r="D1245" s="2" t="str">
        <f t="shared" si="18"/>
        <v>Error?</v>
      </c>
    </row>
    <row r="1246" spans="1:4" x14ac:dyDescent="0.2">
      <c r="A1246" s="10">
        <v>1185</v>
      </c>
      <c r="B1246" s="1890"/>
      <c r="D1246" s="2" t="str">
        <f t="shared" si="18"/>
        <v>OK</v>
      </c>
    </row>
    <row r="1247" spans="1:4" x14ac:dyDescent="0.2">
      <c r="A1247" s="5">
        <v>1186</v>
      </c>
      <c r="B1247" s="1890">
        <f>'Expenditures 15-22'!F127</f>
        <v>104761</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104761</v>
      </c>
      <c r="C1249" s="2" t="s">
        <v>569</v>
      </c>
      <c r="D1249" s="2" t="str">
        <f t="shared" si="18"/>
        <v>Error?</v>
      </c>
    </row>
    <row r="1250" spans="1:4" x14ac:dyDescent="0.2">
      <c r="A1250" s="5">
        <v>1189</v>
      </c>
      <c r="B1250" s="1890">
        <f>'Expenditures 15-22'!F151</f>
        <v>104761</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97993</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97993</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97993</v>
      </c>
      <c r="C1258" s="2" t="s">
        <v>569</v>
      </c>
      <c r="D1258" s="2" t="str">
        <f t="shared" si="18"/>
        <v>Error?</v>
      </c>
    </row>
    <row r="1259" spans="1:4" x14ac:dyDescent="0.2">
      <c r="A1259" s="5">
        <v>1198</v>
      </c>
      <c r="B1259" s="1890">
        <f>'Expenditures 15-22'!G151</f>
        <v>97993</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519438</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519438</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519438</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519438</v>
      </c>
      <c r="C1288" s="2" t="s">
        <v>569</v>
      </c>
      <c r="D1288" s="2" t="str">
        <f t="shared" si="19"/>
        <v>Error?</v>
      </c>
    </row>
    <row r="1289" spans="1:4" x14ac:dyDescent="0.2">
      <c r="A1289" s="5">
        <v>1228</v>
      </c>
      <c r="B1289" s="1890">
        <f>'Expenditures 15-22'!K152</f>
        <v>49090</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32128</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100000</v>
      </c>
      <c r="D1315" s="2" t="str">
        <f t="shared" si="19"/>
        <v>Error?</v>
      </c>
    </row>
    <row r="1316" spans="1:4" x14ac:dyDescent="0.2">
      <c r="A1316" s="5">
        <v>1255</v>
      </c>
      <c r="B1316" s="1890">
        <f>'Expenditures 15-22'!H171</f>
        <v>1000</v>
      </c>
      <c r="D1316" s="2" t="str">
        <f t="shared" si="19"/>
        <v>Error?</v>
      </c>
    </row>
    <row r="1317" spans="1:4" x14ac:dyDescent="0.2">
      <c r="A1317" s="5">
        <v>1256</v>
      </c>
      <c r="B1317" s="1890">
        <f>'Expenditures 15-22'!H172</f>
        <v>133128</v>
      </c>
      <c r="C1317" s="2" t="s">
        <v>569</v>
      </c>
      <c r="D1317" s="2" t="str">
        <f t="shared" si="19"/>
        <v>Error?</v>
      </c>
    </row>
    <row r="1318" spans="1:4" x14ac:dyDescent="0.2">
      <c r="A1318" s="5">
        <v>1257</v>
      </c>
      <c r="B1318" s="1890">
        <f>'Expenditures 15-22'!H174</f>
        <v>133128</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32128</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100000</v>
      </c>
      <c r="C1329" s="2" t="s">
        <v>569</v>
      </c>
      <c r="D1329" s="2" t="str">
        <f t="shared" si="19"/>
        <v>Error?</v>
      </c>
    </row>
    <row r="1330" spans="1:4" x14ac:dyDescent="0.2">
      <c r="A1330" s="5">
        <v>1269</v>
      </c>
      <c r="B1330" s="1890">
        <f>'Expenditures 15-22'!K171</f>
        <v>1000</v>
      </c>
      <c r="C1330" s="2" t="s">
        <v>569</v>
      </c>
      <c r="D1330" s="2" t="str">
        <f t="shared" si="19"/>
        <v>Error?</v>
      </c>
    </row>
    <row r="1331" spans="1:4" x14ac:dyDescent="0.2">
      <c r="A1331" s="5">
        <v>1270</v>
      </c>
      <c r="B1331" s="1890">
        <f>'Expenditures 15-22'!K172</f>
        <v>133128</v>
      </c>
      <c r="C1331" s="2" t="s">
        <v>569</v>
      </c>
      <c r="D1331" s="2" t="str">
        <f t="shared" si="19"/>
        <v>Error?</v>
      </c>
    </row>
    <row r="1332" spans="1:4" x14ac:dyDescent="0.2">
      <c r="A1332" s="5">
        <v>1271</v>
      </c>
      <c r="B1332" s="1890">
        <f>'Expenditures 15-22'!K174</f>
        <v>133128</v>
      </c>
      <c r="C1332" s="2" t="s">
        <v>569</v>
      </c>
      <c r="D1332" s="2" t="str">
        <f t="shared" si="19"/>
        <v>Error?</v>
      </c>
    </row>
    <row r="1333" spans="1:4" x14ac:dyDescent="0.2">
      <c r="A1333" s="5">
        <v>1272</v>
      </c>
      <c r="B1333" s="1890">
        <f>'Expenditures 15-22'!K175</f>
        <v>161348</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197726</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197726</v>
      </c>
      <c r="C1339" s="2" t="s">
        <v>569</v>
      </c>
      <c r="D1339" s="2" t="str">
        <f t="shared" si="19"/>
        <v>Error?</v>
      </c>
    </row>
    <row r="1340" spans="1:4" x14ac:dyDescent="0.2">
      <c r="A1340" s="5">
        <v>1279</v>
      </c>
      <c r="B1340" s="1890">
        <f>'Expenditures 15-22'!C210</f>
        <v>197726</v>
      </c>
      <c r="C1340" s="2" t="s">
        <v>569</v>
      </c>
      <c r="D1340" s="2" t="str">
        <f t="shared" si="19"/>
        <v>Error?</v>
      </c>
    </row>
    <row r="1341" spans="1:4" x14ac:dyDescent="0.2">
      <c r="A1341" s="5">
        <v>1280</v>
      </c>
      <c r="B1341" s="1890">
        <f>'Expenditures 15-22'!D182</f>
        <v>9041</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9041</v>
      </c>
      <c r="C1345" s="2" t="s">
        <v>569</v>
      </c>
      <c r="D1345" s="2" t="str">
        <f t="shared" si="20"/>
        <v>Error?</v>
      </c>
    </row>
    <row r="1346" spans="1:4" x14ac:dyDescent="0.2">
      <c r="A1346" s="5">
        <v>1285</v>
      </c>
      <c r="B1346" s="1890">
        <f>'Expenditures 15-22'!D210</f>
        <v>9041</v>
      </c>
      <c r="C1346" s="2" t="s">
        <v>569</v>
      </c>
      <c r="D1346" s="2" t="str">
        <f t="shared" si="20"/>
        <v>Error?</v>
      </c>
    </row>
    <row r="1347" spans="1:4" x14ac:dyDescent="0.2">
      <c r="A1347" s="5">
        <v>1286</v>
      </c>
      <c r="B1347" s="1890">
        <f>'Expenditures 15-22'!E182</f>
        <v>18476</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18476</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18476</v>
      </c>
      <c r="C1353" s="2" t="s">
        <v>569</v>
      </c>
      <c r="D1353" s="2" t="str">
        <f t="shared" si="20"/>
        <v>Error?</v>
      </c>
    </row>
    <row r="1354" spans="1:4" x14ac:dyDescent="0.2">
      <c r="A1354" s="5">
        <v>1293</v>
      </c>
      <c r="B1354" s="1890">
        <f>'Expenditures 15-22'!F182</f>
        <v>46886</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46886</v>
      </c>
      <c r="C1358" s="2" t="s">
        <v>569</v>
      </c>
      <c r="D1358" s="2" t="str">
        <f t="shared" si="20"/>
        <v>Error?</v>
      </c>
    </row>
    <row r="1359" spans="1:4" x14ac:dyDescent="0.2">
      <c r="A1359" s="5">
        <v>1298</v>
      </c>
      <c r="B1359" s="1890">
        <f>'Expenditures 15-22'!F210</f>
        <v>46886</v>
      </c>
      <c r="C1359" s="2" t="s">
        <v>569</v>
      </c>
      <c r="D1359" s="2" t="str">
        <f t="shared" si="20"/>
        <v>Error?</v>
      </c>
    </row>
    <row r="1360" spans="1:4" x14ac:dyDescent="0.2">
      <c r="A1360" s="5">
        <v>1299</v>
      </c>
      <c r="B1360" s="1890">
        <f>'Expenditures 15-22'!G182</f>
        <v>75998</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75998</v>
      </c>
      <c r="C1364" s="2" t="s">
        <v>569</v>
      </c>
      <c r="D1364" s="2" t="str">
        <f t="shared" si="20"/>
        <v>Error?</v>
      </c>
    </row>
    <row r="1365" spans="1:4" x14ac:dyDescent="0.2">
      <c r="A1365" s="5">
        <v>1304</v>
      </c>
      <c r="B1365" s="1890">
        <f>'Expenditures 15-22'!G210</f>
        <v>75998</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348127</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348127</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348127</v>
      </c>
      <c r="C1388" s="2" t="s">
        <v>569</v>
      </c>
      <c r="D1388" s="2" t="str">
        <f t="shared" si="20"/>
        <v>Error?</v>
      </c>
    </row>
    <row r="1389" spans="1:4" x14ac:dyDescent="0.2">
      <c r="A1389" s="5">
        <v>1328</v>
      </c>
      <c r="B1389" s="1890">
        <f>'Expenditures 15-22'!K211</f>
        <v>36898</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2107</v>
      </c>
      <c r="D1407" s="2" t="str">
        <f t="shared" ref="D1407:D1470" si="21">IF(ISBLANK(B1407),"OK",IF(A1407-B1407=0,"OK","Error?"))</f>
        <v>Error?</v>
      </c>
    </row>
    <row r="1408" spans="1:4" x14ac:dyDescent="0.2">
      <c r="A1408" s="5">
        <v>1347</v>
      </c>
      <c r="B1408" s="1890">
        <f>'Expenditures 15-22'!D223</f>
        <v>4377</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64660</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1011</v>
      </c>
      <c r="D1412" s="2" t="str">
        <f t="shared" si="21"/>
        <v>Error?</v>
      </c>
    </row>
    <row r="1413" spans="1:4" x14ac:dyDescent="0.2">
      <c r="A1413" s="5">
        <v>1352</v>
      </c>
      <c r="B1413" s="1890">
        <f>'Expenditures 15-22'!D234</f>
        <v>7582</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11670</v>
      </c>
      <c r="D1416" s="2" t="str">
        <f t="shared" si="21"/>
        <v>Error?</v>
      </c>
    </row>
    <row r="1417" spans="1:4" x14ac:dyDescent="0.2">
      <c r="A1417" s="5">
        <v>1356</v>
      </c>
      <c r="B1417" s="1890">
        <f>'Expenditures 15-22'!D238</f>
        <v>20263</v>
      </c>
      <c r="C1417" s="2" t="s">
        <v>569</v>
      </c>
      <c r="D1417" s="2" t="str">
        <f t="shared" si="21"/>
        <v>Error?</v>
      </c>
    </row>
    <row r="1418" spans="1:4" x14ac:dyDescent="0.2">
      <c r="A1418" s="5">
        <v>1357</v>
      </c>
      <c r="B1418" s="1890">
        <f>'Expenditures 15-22'!D240</f>
        <v>5609</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5609</v>
      </c>
      <c r="C1421" s="2" t="s">
        <v>569</v>
      </c>
      <c r="D1421" s="2" t="str">
        <f t="shared" si="21"/>
        <v>Error?</v>
      </c>
    </row>
    <row r="1422" spans="1:4" x14ac:dyDescent="0.2">
      <c r="A1422" s="5">
        <v>1361</v>
      </c>
      <c r="B1422" s="1890">
        <f>'Expenditures 15-22'!D245</f>
        <v>786</v>
      </c>
      <c r="D1422" s="2" t="str">
        <f t="shared" si="21"/>
        <v>Error?</v>
      </c>
    </row>
    <row r="1423" spans="1:4" x14ac:dyDescent="0.2">
      <c r="A1423" s="5">
        <v>1362</v>
      </c>
      <c r="B1423" s="1890">
        <f>'Expenditures 15-22'!D246</f>
        <v>801</v>
      </c>
      <c r="D1423" s="2" t="str">
        <f t="shared" si="21"/>
        <v>Error?</v>
      </c>
    </row>
    <row r="1424" spans="1:4" x14ac:dyDescent="0.2">
      <c r="A1424" s="5">
        <v>1363</v>
      </c>
      <c r="B1424" s="1890">
        <f>'Expenditures 15-22'!D257</f>
        <v>1587</v>
      </c>
      <c r="C1424" s="2" t="s">
        <v>569</v>
      </c>
      <c r="D1424" s="2" t="str">
        <f t="shared" si="21"/>
        <v>Error?</v>
      </c>
    </row>
    <row r="1425" spans="1:4" x14ac:dyDescent="0.2">
      <c r="A1425" s="5">
        <v>1364</v>
      </c>
      <c r="B1425" s="1890">
        <f>'Expenditures 15-22'!D259</f>
        <v>9106</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9106</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9645</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30134</v>
      </c>
      <c r="D1431" s="2" t="str">
        <f t="shared" si="21"/>
        <v>Error?</v>
      </c>
    </row>
    <row r="1432" spans="1:4" x14ac:dyDescent="0.2">
      <c r="A1432" s="5">
        <v>1371</v>
      </c>
      <c r="B1432" s="1890">
        <f>'Expenditures 15-22'!D267</f>
        <v>28247</v>
      </c>
      <c r="D1432" s="2" t="str">
        <f t="shared" si="21"/>
        <v>Error?</v>
      </c>
    </row>
    <row r="1433" spans="1:4" x14ac:dyDescent="0.2">
      <c r="A1433" s="5">
        <v>1372</v>
      </c>
      <c r="B1433" s="1890">
        <f>'Expenditures 15-22'!D268</f>
        <v>27722</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95748</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132313</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196973</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2107</v>
      </c>
      <c r="C1471" s="2" t="s">
        <v>569</v>
      </c>
      <c r="D1471" s="2" t="str">
        <f t="shared" ref="D1471:D1534" si="22">IF(ISBLANK(B1471),"OK",IF(A1471-B1471=0,"OK","Error?"))</f>
        <v>Error?</v>
      </c>
    </row>
    <row r="1472" spans="1:4" x14ac:dyDescent="0.2">
      <c r="A1472" s="5">
        <v>1411</v>
      </c>
      <c r="B1472" s="1890">
        <f>'Expenditures 15-22'!K223</f>
        <v>4377</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64660</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1011</v>
      </c>
      <c r="C1476" s="2" t="s">
        <v>569</v>
      </c>
      <c r="D1476" s="2" t="str">
        <f t="shared" si="22"/>
        <v>Error?</v>
      </c>
    </row>
    <row r="1477" spans="1:4" x14ac:dyDescent="0.2">
      <c r="A1477" s="5">
        <v>1416</v>
      </c>
      <c r="B1477" s="1890">
        <f>'Expenditures 15-22'!K234</f>
        <v>7582</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11670</v>
      </c>
      <c r="C1480" s="2" t="s">
        <v>569</v>
      </c>
      <c r="D1480" s="2" t="str">
        <f t="shared" si="22"/>
        <v>Error?</v>
      </c>
    </row>
    <row r="1481" spans="1:4" x14ac:dyDescent="0.2">
      <c r="A1481" s="5">
        <v>1420</v>
      </c>
      <c r="B1481" s="1890">
        <f>'Expenditures 15-22'!K238</f>
        <v>20263</v>
      </c>
      <c r="C1481" s="2" t="s">
        <v>569</v>
      </c>
      <c r="D1481" s="2" t="str">
        <f t="shared" si="22"/>
        <v>Error?</v>
      </c>
    </row>
    <row r="1482" spans="1:4" x14ac:dyDescent="0.2">
      <c r="A1482" s="5">
        <v>1421</v>
      </c>
      <c r="B1482" s="1890">
        <f>'Expenditures 15-22'!K240</f>
        <v>5609</v>
      </c>
      <c r="C1482" s="2" t="s">
        <v>569</v>
      </c>
      <c r="D1482" s="2" t="str">
        <f t="shared" si="22"/>
        <v>Error?</v>
      </c>
    </row>
    <row r="1483" spans="1:4" x14ac:dyDescent="0.2">
      <c r="A1483" s="5">
        <v>1422</v>
      </c>
      <c r="B1483" s="1890">
        <f>'Expenditures 15-22'!K241</f>
        <v>0</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5609</v>
      </c>
      <c r="C1485" s="2" t="s">
        <v>569</v>
      </c>
      <c r="D1485" s="2" t="str">
        <f t="shared" si="22"/>
        <v>Error?</v>
      </c>
    </row>
    <row r="1486" spans="1:4" x14ac:dyDescent="0.2">
      <c r="A1486" s="5">
        <v>1425</v>
      </c>
      <c r="B1486" s="1890">
        <f>'Expenditures 15-22'!K245</f>
        <v>786</v>
      </c>
      <c r="C1486" s="2" t="s">
        <v>569</v>
      </c>
      <c r="D1486" s="2" t="str">
        <f t="shared" si="22"/>
        <v>Error?</v>
      </c>
    </row>
    <row r="1487" spans="1:4" x14ac:dyDescent="0.2">
      <c r="A1487" s="5">
        <v>1426</v>
      </c>
      <c r="B1487" s="1890">
        <f>'Expenditures 15-22'!K246</f>
        <v>801</v>
      </c>
      <c r="C1487" s="2" t="s">
        <v>569</v>
      </c>
      <c r="D1487" s="2" t="str">
        <f t="shared" si="22"/>
        <v>Error?</v>
      </c>
    </row>
    <row r="1488" spans="1:4" x14ac:dyDescent="0.2">
      <c r="A1488" s="5">
        <v>1427</v>
      </c>
      <c r="B1488" s="1890">
        <f>'Expenditures 15-22'!K257</f>
        <v>1587</v>
      </c>
      <c r="C1488" s="2" t="s">
        <v>569</v>
      </c>
      <c r="D1488" s="2" t="str">
        <f t="shared" si="22"/>
        <v>Error?</v>
      </c>
    </row>
    <row r="1489" spans="1:4" x14ac:dyDescent="0.2">
      <c r="A1489" s="5">
        <v>1428</v>
      </c>
      <c r="B1489" s="1890">
        <f>'Expenditures 15-22'!K259</f>
        <v>9106</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9106</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9645</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30134</v>
      </c>
      <c r="C1495" s="2" t="s">
        <v>569</v>
      </c>
      <c r="D1495" s="2" t="str">
        <f t="shared" si="22"/>
        <v>Error?</v>
      </c>
    </row>
    <row r="1496" spans="1:4" x14ac:dyDescent="0.2">
      <c r="A1496" s="5">
        <v>1435</v>
      </c>
      <c r="B1496" s="1890">
        <f>'Expenditures 15-22'!K267</f>
        <v>28247</v>
      </c>
      <c r="C1496" s="2" t="s">
        <v>569</v>
      </c>
      <c r="D1496" s="2" t="str">
        <f t="shared" si="22"/>
        <v>Error?</v>
      </c>
    </row>
    <row r="1497" spans="1:4" x14ac:dyDescent="0.2">
      <c r="A1497" s="5">
        <v>1436</v>
      </c>
      <c r="B1497" s="1890">
        <f>'Expenditures 15-22'!K268</f>
        <v>27722</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95748</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132313</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196973</v>
      </c>
      <c r="C1517" s="2" t="s">
        <v>569</v>
      </c>
      <c r="D1517" s="2" t="str">
        <f t="shared" si="22"/>
        <v>Error?</v>
      </c>
    </row>
    <row r="1518" spans="1:4" x14ac:dyDescent="0.2">
      <c r="A1518" s="5">
        <v>1457</v>
      </c>
      <c r="B1518" s="1890">
        <f>'Expenditures 15-22'!K296</f>
        <v>23293</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248455</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248455</v>
      </c>
      <c r="C1535" s="2" t="s">
        <v>569</v>
      </c>
      <c r="D1535" s="2" t="str">
        <f t="shared" ref="D1535:D1598" si="23">IF(ISBLANK(B1535),"OK",IF(A1535-B1535=0,"OK","Error?"))</f>
        <v>Error?</v>
      </c>
    </row>
    <row r="1536" spans="1:4" x14ac:dyDescent="0.2">
      <c r="A1536" s="5">
        <v>1475</v>
      </c>
      <c r="B1536" s="1890">
        <f>'Expenditures 15-22'!E312</f>
        <v>248455</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248455</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248455</v>
      </c>
      <c r="C1559" s="2" t="s">
        <v>569</v>
      </c>
      <c r="D1559" s="2" t="str">
        <f t="shared" si="23"/>
        <v>Error?</v>
      </c>
    </row>
    <row r="1560" spans="1:4" x14ac:dyDescent="0.2">
      <c r="A1560" s="5">
        <v>1499</v>
      </c>
      <c r="B1560" s="1890">
        <f>'Expenditures 15-22'!K312</f>
        <v>248455</v>
      </c>
      <c r="C1560" s="2" t="s">
        <v>569</v>
      </c>
      <c r="D1560" s="2" t="str">
        <f t="shared" si="23"/>
        <v>Error?</v>
      </c>
    </row>
    <row r="1561" spans="1:4" x14ac:dyDescent="0.2">
      <c r="A1561" s="5">
        <v>1500</v>
      </c>
      <c r="B1561" s="1890">
        <f>'Expenditures 15-22'!K313</f>
        <v>-248327</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996438</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1050796</v>
      </c>
      <c r="C1630" s="2" t="s">
        <v>569</v>
      </c>
      <c r="D1630" s="2" t="str">
        <f t="shared" si="24"/>
        <v>Error?</v>
      </c>
    </row>
    <row r="1631" spans="1:4" x14ac:dyDescent="0.2">
      <c r="A1631" s="5">
        <v>1570</v>
      </c>
      <c r="B1631" s="1890">
        <f>'Acct Summary 7-8'!D79</f>
        <v>154235</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203325</v>
      </c>
      <c r="C1644" s="2" t="s">
        <v>569</v>
      </c>
      <c r="D1644" s="2" t="str">
        <f t="shared" si="24"/>
        <v>Error?</v>
      </c>
    </row>
    <row r="1645" spans="1:4" x14ac:dyDescent="0.2">
      <c r="A1645" s="5">
        <v>1584</v>
      </c>
      <c r="B1645" s="1890">
        <f>'Acct Summary 7-8'!E79</f>
        <v>6589</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167937</v>
      </c>
      <c r="C1658" s="2" t="s">
        <v>569</v>
      </c>
      <c r="D1658" s="2" t="str">
        <f t="shared" si="24"/>
        <v>Error?</v>
      </c>
    </row>
    <row r="1659" spans="1:4" x14ac:dyDescent="0.2">
      <c r="A1659" s="5">
        <v>1598</v>
      </c>
      <c r="B1659" s="1890">
        <f>'Acct Summary 7-8'!F79</f>
        <v>321445</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358343</v>
      </c>
      <c r="C1672" s="2" t="s">
        <v>569</v>
      </c>
      <c r="D1672" s="2" t="str">
        <f t="shared" si="25"/>
        <v>Error?</v>
      </c>
    </row>
    <row r="1673" spans="1:4" x14ac:dyDescent="0.2">
      <c r="A1673" s="5">
        <v>1612</v>
      </c>
      <c r="B1673" s="1890">
        <f>'Acct Summary 7-8'!G79</f>
        <v>-88112</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-64819</v>
      </c>
      <c r="C1686" s="2" t="s">
        <v>569</v>
      </c>
      <c r="D1686" s="2" t="str">
        <f t="shared" si="25"/>
        <v>Error?</v>
      </c>
    </row>
    <row r="1687" spans="1:4" x14ac:dyDescent="0.2">
      <c r="A1687" s="5">
        <v>1626</v>
      </c>
      <c r="B1687" s="1890">
        <f>'Acct Summary 7-8'!H79</f>
        <v>10145</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61818</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3082447</v>
      </c>
      <c r="C1744" s="2" t="s">
        <v>569</v>
      </c>
      <c r="D1744" s="2" t="str">
        <f t="shared" si="26"/>
        <v>Error?</v>
      </c>
    </row>
    <row r="1745" spans="1:5" x14ac:dyDescent="0.2">
      <c r="A1745" s="5">
        <v>1684</v>
      </c>
      <c r="B1745" s="1890">
        <f>'Tax Sched 23'!B5</f>
        <v>429079</v>
      </c>
      <c r="C1745" s="2" t="s">
        <v>569</v>
      </c>
      <c r="D1745" s="2" t="str">
        <f t="shared" si="26"/>
        <v>Error?</v>
      </c>
    </row>
    <row r="1746" spans="1:5" x14ac:dyDescent="0.2">
      <c r="A1746" s="5">
        <v>1685</v>
      </c>
      <c r="B1746" s="1890">
        <f>'Tax Sched 23'!B6</f>
        <v>122304</v>
      </c>
      <c r="C1746" s="2" t="s">
        <v>569</v>
      </c>
      <c r="D1746" s="2" t="str">
        <f t="shared" si="26"/>
        <v>Error?</v>
      </c>
    </row>
    <row r="1747" spans="1:5" x14ac:dyDescent="0.2">
      <c r="A1747" s="5">
        <v>1686</v>
      </c>
      <c r="B1747" s="1890">
        <f>'Tax Sched 23'!B7</f>
        <v>163807</v>
      </c>
      <c r="C1747" s="2" t="s">
        <v>569</v>
      </c>
      <c r="D1747" s="2" t="str">
        <f t="shared" si="26"/>
        <v>Error?</v>
      </c>
    </row>
    <row r="1748" spans="1:5" x14ac:dyDescent="0.2">
      <c r="A1748" s="5">
        <v>1687</v>
      </c>
      <c r="B1748" s="1890">
        <f>'Tax Sched 23'!B8</f>
        <v>114412</v>
      </c>
      <c r="C1748" s="2" t="s">
        <v>569</v>
      </c>
      <c r="D1748" s="2" t="str">
        <f t="shared" si="26"/>
        <v>Error?</v>
      </c>
    </row>
    <row r="1749" spans="1:5" x14ac:dyDescent="0.2">
      <c r="A1749" s="5">
        <v>1688</v>
      </c>
      <c r="B1749" s="1890">
        <f>'Tax Sched 23'!B10</f>
        <v>0</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75205</v>
      </c>
      <c r="C1752" s="2" t="s">
        <v>569</v>
      </c>
      <c r="D1752" s="2" t="str">
        <f t="shared" si="26"/>
        <v>Error?</v>
      </c>
    </row>
    <row r="1753" spans="1:5" x14ac:dyDescent="0.2">
      <c r="A1753" s="5">
        <v>1692</v>
      </c>
      <c r="B1753" s="1890">
        <f>'Tax Sched 23'!B12</f>
        <v>49056</v>
      </c>
      <c r="C1753" s="2" t="s">
        <v>569</v>
      </c>
      <c r="D1753" s="2" t="str">
        <f t="shared" si="26"/>
        <v>Error?</v>
      </c>
    </row>
    <row r="1754" spans="1:5" x14ac:dyDescent="0.2">
      <c r="A1754" s="5">
        <v>1693</v>
      </c>
      <c r="B1754" s="1890">
        <f>'Tax Sched 23'!B14</f>
        <v>38385</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4180530</v>
      </c>
      <c r="C1759" s="2" t="s">
        <v>569</v>
      </c>
      <c r="D1759" s="2" t="str">
        <f t="shared" si="26"/>
        <v>Error?</v>
      </c>
    </row>
    <row r="1760" spans="1:5" x14ac:dyDescent="0.2">
      <c r="A1760" s="5">
        <v>1699</v>
      </c>
      <c r="B1760" s="1890">
        <f>'Tax Sched 23'!D4</f>
        <v>2415742</v>
      </c>
      <c r="C1760" s="2" t="s">
        <v>569</v>
      </c>
      <c r="D1760" s="2" t="str">
        <f t="shared" si="26"/>
        <v>Error?</v>
      </c>
    </row>
    <row r="1761" spans="1:7" x14ac:dyDescent="0.2">
      <c r="A1761" s="5">
        <v>1700</v>
      </c>
      <c r="B1761" s="1890">
        <f>'Tax Sched 23'!D5</f>
        <v>338113</v>
      </c>
      <c r="C1761" s="2" t="s">
        <v>569</v>
      </c>
      <c r="D1761" s="2" t="str">
        <f t="shared" si="26"/>
        <v>Error?</v>
      </c>
    </row>
    <row r="1762" spans="1:7" s="8" customFormat="1" x14ac:dyDescent="0.2">
      <c r="A1762" s="5">
        <v>1701</v>
      </c>
      <c r="B1762" s="1890">
        <f>'Tax Sched 23'!D6</f>
        <v>0</v>
      </c>
      <c r="C1762" s="2" t="s">
        <v>569</v>
      </c>
      <c r="D1762" s="2" t="str">
        <f t="shared" si="26"/>
        <v>Error?</v>
      </c>
      <c r="E1762" s="9"/>
      <c r="G1762"/>
    </row>
    <row r="1763" spans="1:7" x14ac:dyDescent="0.2">
      <c r="A1763" s="5">
        <v>1702</v>
      </c>
      <c r="B1763" s="1890">
        <f>'Tax Sched 23'!D7</f>
        <v>128659</v>
      </c>
      <c r="C1763" s="2" t="s">
        <v>569</v>
      </c>
      <c r="D1763" s="2" t="str">
        <f t="shared" si="26"/>
        <v>Error?</v>
      </c>
    </row>
    <row r="1764" spans="1:7" x14ac:dyDescent="0.2">
      <c r="A1764" s="5">
        <v>1703</v>
      </c>
      <c r="B1764" s="1890">
        <f>'Tax Sched 23'!D8</f>
        <v>102926</v>
      </c>
      <c r="C1764" s="2" t="s">
        <v>569</v>
      </c>
      <c r="D1764" s="2" t="str">
        <f t="shared" si="26"/>
        <v>Error?</v>
      </c>
    </row>
    <row r="1765" spans="1:7" x14ac:dyDescent="0.2">
      <c r="A1765" s="5">
        <v>1704</v>
      </c>
      <c r="B1765" s="1890">
        <f>'Tax Sched 23'!D10</f>
        <v>0</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72907</v>
      </c>
      <c r="C1768" s="2" t="s">
        <v>569</v>
      </c>
      <c r="D1768" s="2" t="str">
        <f t="shared" si="26"/>
        <v>Error?</v>
      </c>
    </row>
    <row r="1769" spans="1:7" x14ac:dyDescent="0.2">
      <c r="A1769" s="5">
        <v>1708</v>
      </c>
      <c r="B1769" s="1890">
        <f>'Tax Sched 23'!D12</f>
        <v>38600</v>
      </c>
      <c r="C1769" s="2" t="s">
        <v>569</v>
      </c>
      <c r="D1769" s="2" t="str">
        <f t="shared" si="26"/>
        <v>Error?</v>
      </c>
    </row>
    <row r="1770" spans="1:7" x14ac:dyDescent="0.2">
      <c r="A1770" s="5">
        <v>1709</v>
      </c>
      <c r="B1770" s="1890">
        <f>'Tax Sched 23'!D14</f>
        <v>30020</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3221316</v>
      </c>
      <c r="C1775" s="2" t="s">
        <v>569</v>
      </c>
      <c r="D1775" s="2" t="str">
        <f t="shared" si="26"/>
        <v>Error?</v>
      </c>
    </row>
    <row r="1776" spans="1:7" x14ac:dyDescent="0.2">
      <c r="A1776" s="5">
        <v>1715</v>
      </c>
      <c r="B1776" s="1890">
        <f>'Tax Sched 23'!C4</f>
        <v>666705</v>
      </c>
      <c r="D1776" s="2" t="str">
        <f t="shared" si="26"/>
        <v>Error?</v>
      </c>
    </row>
    <row r="1777" spans="1:4" x14ac:dyDescent="0.2">
      <c r="A1777" s="5">
        <v>1716</v>
      </c>
      <c r="B1777" s="1890">
        <f>'Tax Sched 23'!C5</f>
        <v>90966</v>
      </c>
      <c r="D1777" s="2" t="str">
        <f t="shared" si="26"/>
        <v>Error?</v>
      </c>
    </row>
    <row r="1778" spans="1:4" x14ac:dyDescent="0.2">
      <c r="A1778" s="5">
        <v>1717</v>
      </c>
      <c r="B1778" s="1890">
        <f>'Tax Sched 23'!C6</f>
        <v>122304</v>
      </c>
      <c r="D1778" s="2" t="str">
        <f t="shared" si="26"/>
        <v>Error?</v>
      </c>
    </row>
    <row r="1779" spans="1:4" x14ac:dyDescent="0.2">
      <c r="A1779" s="5">
        <v>1718</v>
      </c>
      <c r="B1779" s="1890">
        <f>'Tax Sched 23'!C7</f>
        <v>35148</v>
      </c>
      <c r="D1779" s="2" t="str">
        <f t="shared" si="26"/>
        <v>Error?</v>
      </c>
    </row>
    <row r="1780" spans="1:4" x14ac:dyDescent="0.2">
      <c r="A1780" s="5">
        <v>1719</v>
      </c>
      <c r="B1780" s="1890">
        <f>'Tax Sched 23'!C8</f>
        <v>11486</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2298</v>
      </c>
      <c r="D1784" s="2" t="str">
        <f t="shared" si="26"/>
        <v>Error?</v>
      </c>
    </row>
    <row r="1785" spans="1:4" x14ac:dyDescent="0.2">
      <c r="A1785" s="5">
        <v>1724</v>
      </c>
      <c r="B1785" s="1890">
        <f>'Tax Sched 23'!C12</f>
        <v>10456</v>
      </c>
      <c r="D1785" s="2" t="str">
        <f t="shared" si="26"/>
        <v>Error?</v>
      </c>
    </row>
    <row r="1786" spans="1:4" x14ac:dyDescent="0.2">
      <c r="A1786" s="5">
        <v>1725</v>
      </c>
      <c r="B1786" s="1890">
        <f>'Tax Sched 23'!C14</f>
        <v>8365</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959214</v>
      </c>
      <c r="C1791" s="2" t="s">
        <v>569</v>
      </c>
      <c r="D1791" s="2" t="str">
        <f t="shared" ref="D1791:D1854" si="27">IF(ISBLANK(B1791),"OK",IF(A1791-B1791=0,"OK","Error?"))</f>
        <v>Error?</v>
      </c>
    </row>
    <row r="1792" spans="1:4" x14ac:dyDescent="0.2">
      <c r="A1792" s="5">
        <v>1731</v>
      </c>
      <c r="B1792" s="1890">
        <f>'Tax Sched 23'!F4</f>
        <v>2234093</v>
      </c>
      <c r="C1792" s="2" t="s">
        <v>569</v>
      </c>
      <c r="D1792" s="2" t="str">
        <f t="shared" si="27"/>
        <v>Error?</v>
      </c>
    </row>
    <row r="1793" spans="1:4" x14ac:dyDescent="0.2">
      <c r="A1793" s="5">
        <v>1732</v>
      </c>
      <c r="B1793" s="1890">
        <f>'Tax Sched 23'!F5</f>
        <v>305083</v>
      </c>
      <c r="C1793" s="2" t="s">
        <v>569</v>
      </c>
      <c r="D1793" s="2" t="str">
        <f t="shared" si="27"/>
        <v>Error?</v>
      </c>
    </row>
    <row r="1794" spans="1:4" x14ac:dyDescent="0.2">
      <c r="A1794" s="5">
        <v>1733</v>
      </c>
      <c r="B1794" s="1890">
        <f>'Tax Sched 23'!F6</f>
        <v>410122</v>
      </c>
      <c r="C1794" s="2" t="s">
        <v>569</v>
      </c>
      <c r="D1794" s="2" t="str">
        <f t="shared" si="27"/>
        <v>Error?</v>
      </c>
    </row>
    <row r="1795" spans="1:4" x14ac:dyDescent="0.2">
      <c r="A1795" s="5">
        <v>1734</v>
      </c>
      <c r="B1795" s="1890">
        <f>'Tax Sched 23'!F7</f>
        <v>117864</v>
      </c>
      <c r="C1795" s="2" t="s">
        <v>569</v>
      </c>
      <c r="D1795" s="2" t="str">
        <f t="shared" si="27"/>
        <v>Error?</v>
      </c>
    </row>
    <row r="1796" spans="1:4" x14ac:dyDescent="0.2">
      <c r="A1796" s="5">
        <v>1735</v>
      </c>
      <c r="B1796" s="1890">
        <f>'Tax Sched 23'!F8</f>
        <v>38516</v>
      </c>
      <c r="C1796" s="2" t="s">
        <v>569</v>
      </c>
      <c r="D1796" s="2" t="str">
        <f t="shared" si="27"/>
        <v>Error?</v>
      </c>
    </row>
    <row r="1797" spans="1:4" x14ac:dyDescent="0.2">
      <c r="A1797" s="5">
        <v>1736</v>
      </c>
      <c r="B1797" s="1890">
        <f>'Tax Sched 23'!F10</f>
        <v>0</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7708</v>
      </c>
      <c r="C1800" s="2" t="s">
        <v>569</v>
      </c>
      <c r="D1800" s="2" t="str">
        <f t="shared" si="27"/>
        <v>Error?</v>
      </c>
    </row>
    <row r="1801" spans="1:4" x14ac:dyDescent="0.2">
      <c r="A1801" s="5">
        <v>1740</v>
      </c>
      <c r="B1801" s="1890">
        <f>'Tax Sched 23'!F12</f>
        <v>35067</v>
      </c>
      <c r="C1801" s="2" t="s">
        <v>569</v>
      </c>
      <c r="D1801" s="2" t="str">
        <f t="shared" si="27"/>
        <v>Error?</v>
      </c>
    </row>
    <row r="1802" spans="1:4" x14ac:dyDescent="0.2">
      <c r="A1802" s="5">
        <v>1741</v>
      </c>
      <c r="B1802" s="1890">
        <f>'Tax Sched 23'!F14</f>
        <v>28053</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3215022</v>
      </c>
      <c r="C1807" s="2" t="s">
        <v>569</v>
      </c>
      <c r="D1807" s="2" t="str">
        <f t="shared" si="27"/>
        <v>Error?</v>
      </c>
    </row>
    <row r="1808" spans="1:4" x14ac:dyDescent="0.2">
      <c r="A1808" s="5">
        <v>1747</v>
      </c>
      <c r="B1808" s="1890">
        <f>'Tax Sched 23'!E4</f>
        <v>2900798</v>
      </c>
      <c r="D1808" s="2" t="str">
        <f t="shared" si="27"/>
        <v>Error?</v>
      </c>
    </row>
    <row r="1809" spans="1:4" x14ac:dyDescent="0.2">
      <c r="A1809" s="5">
        <v>1748</v>
      </c>
      <c r="B1809" s="1890">
        <f>'Tax Sched 23'!E5</f>
        <v>396049</v>
      </c>
      <c r="D1809" s="2" t="str">
        <f t="shared" si="27"/>
        <v>Error?</v>
      </c>
    </row>
    <row r="1810" spans="1:4" x14ac:dyDescent="0.2">
      <c r="A1810" s="5">
        <v>1749</v>
      </c>
      <c r="B1810" s="1890">
        <f>'Tax Sched 23'!E6</f>
        <v>532426</v>
      </c>
      <c r="D1810" s="2" t="str">
        <f t="shared" si="27"/>
        <v>Error?</v>
      </c>
    </row>
    <row r="1811" spans="1:4" x14ac:dyDescent="0.2">
      <c r="A1811" s="5">
        <v>1750</v>
      </c>
      <c r="B1811" s="1890">
        <f>'Tax Sched 23'!E7</f>
        <v>153012</v>
      </c>
      <c r="D1811" s="2" t="str">
        <f t="shared" si="27"/>
        <v>Error?</v>
      </c>
    </row>
    <row r="1812" spans="1:4" x14ac:dyDescent="0.2">
      <c r="A1812" s="5">
        <v>1751</v>
      </c>
      <c r="B1812" s="1890">
        <f>'Tax Sched 23'!E8</f>
        <v>50002</v>
      </c>
      <c r="D1812" s="2" t="str">
        <f t="shared" si="27"/>
        <v>Error?</v>
      </c>
    </row>
    <row r="1813" spans="1:4" x14ac:dyDescent="0.2">
      <c r="A1813" s="5">
        <v>1752</v>
      </c>
      <c r="B1813" s="1890">
        <f>'Tax Sched 23'!E10</f>
        <v>0</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10006</v>
      </c>
      <c r="D1816" s="2" t="str">
        <f t="shared" si="27"/>
        <v>Error?</v>
      </c>
    </row>
    <row r="1817" spans="1:4" x14ac:dyDescent="0.2">
      <c r="A1817" s="5">
        <v>1756</v>
      </c>
      <c r="B1817" s="1890">
        <f>'Tax Sched 23'!E12</f>
        <v>45523</v>
      </c>
      <c r="D1817" s="2" t="str">
        <f t="shared" si="27"/>
        <v>Error?</v>
      </c>
    </row>
    <row r="1818" spans="1:4" x14ac:dyDescent="0.2">
      <c r="A1818" s="5">
        <v>1757</v>
      </c>
      <c r="B1818" s="1890">
        <f>'Tax Sched 23'!E14</f>
        <v>36418</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4174236</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608603</v>
      </c>
      <c r="C1939" s="2" t="s">
        <v>569</v>
      </c>
      <c r="D1939" s="2" t="str">
        <f t="shared" si="29"/>
        <v>Error?</v>
      </c>
    </row>
    <row r="1940" spans="1:5" x14ac:dyDescent="0.2">
      <c r="A1940" s="5">
        <v>1879</v>
      </c>
      <c r="B1940" s="1890">
        <f>'Short-Term Long-Term Debt 24'!F49</f>
        <v>2800000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38385</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38385</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224031</v>
      </c>
      <c r="C1982" s="2" t="s">
        <v>569</v>
      </c>
      <c r="D1982" s="2" t="str">
        <f t="shared" si="29"/>
        <v>Error?</v>
      </c>
    </row>
    <row r="1983" spans="1:5" x14ac:dyDescent="0.2">
      <c r="A1983" s="5">
        <v>1922</v>
      </c>
      <c r="B1983" s="1890">
        <f>'Rest Tax Levies-Tort Im 25'!H24</f>
        <v>-185646</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22782</v>
      </c>
      <c r="D2008" s="2" t="str">
        <f t="shared" si="30"/>
        <v>Error?</v>
      </c>
    </row>
    <row r="2009" spans="1:4" x14ac:dyDescent="0.2">
      <c r="A2009" s="5">
        <v>1948</v>
      </c>
      <c r="B2009" s="1890">
        <f>'Cap Outlay Deprec 26'!C8</f>
        <v>4149472</v>
      </c>
      <c r="D2009" s="2" t="str">
        <f t="shared" si="30"/>
        <v>Error?</v>
      </c>
    </row>
    <row r="2010" spans="1:4" x14ac:dyDescent="0.2">
      <c r="A2010" s="5">
        <v>1949</v>
      </c>
      <c r="B2010" s="1890">
        <f>'Cap Outlay Deprec 26'!C10</f>
        <v>0</v>
      </c>
      <c r="D2010" s="2" t="str">
        <f t="shared" si="30"/>
        <v>Error?</v>
      </c>
    </row>
    <row r="2011" spans="1:4" x14ac:dyDescent="0.2">
      <c r="A2011" s="5">
        <v>1950</v>
      </c>
      <c r="B2011" s="1890">
        <f>'Cap Outlay Deprec 26'!C12</f>
        <v>310855</v>
      </c>
      <c r="D2011" s="2" t="str">
        <f t="shared" si="30"/>
        <v>Error?</v>
      </c>
    </row>
    <row r="2012" spans="1:4" x14ac:dyDescent="0.2">
      <c r="A2012" s="5">
        <v>1951</v>
      </c>
      <c r="B2012" s="1890">
        <f>'Cap Outlay Deprec 26'!C13</f>
        <v>830397</v>
      </c>
      <c r="D2012" s="2" t="str">
        <f t="shared" si="30"/>
        <v>Error?</v>
      </c>
    </row>
    <row r="2013" spans="1:4" x14ac:dyDescent="0.2">
      <c r="A2013" s="5">
        <v>1952</v>
      </c>
      <c r="B2013" s="1890">
        <f>'Cap Outlay Deprec 26'!C16</f>
        <v>5757240</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702220</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0</v>
      </c>
      <c r="D2017" s="2" t="str">
        <f t="shared" si="30"/>
        <v>Error?</v>
      </c>
    </row>
    <row r="2018" spans="1:4" x14ac:dyDescent="0.2">
      <c r="A2018" s="5">
        <v>1957</v>
      </c>
      <c r="B2018" s="1890">
        <f>'Cap Outlay Deprec 26'!D13</f>
        <v>114122</v>
      </c>
      <c r="D2018" s="2" t="str">
        <f t="shared" si="30"/>
        <v>Error?</v>
      </c>
    </row>
    <row r="2019" spans="1:4" x14ac:dyDescent="0.2">
      <c r="A2019" s="5">
        <v>1958</v>
      </c>
      <c r="B2019" s="1890">
        <f>'Cap Outlay Deprec 26'!D16</f>
        <v>840547</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86468</v>
      </c>
      <c r="D2024" s="2" t="str">
        <f t="shared" si="30"/>
        <v>Error?</v>
      </c>
    </row>
    <row r="2025" spans="1:4" x14ac:dyDescent="0.2">
      <c r="A2025" s="5">
        <v>1964</v>
      </c>
      <c r="B2025" s="1890">
        <f>'Cap Outlay Deprec 26'!E16</f>
        <v>530202</v>
      </c>
      <c r="C2025" s="2" t="s">
        <v>569</v>
      </c>
      <c r="D2025" s="2" t="str">
        <f t="shared" si="30"/>
        <v>Error?</v>
      </c>
    </row>
    <row r="2026" spans="1:4" x14ac:dyDescent="0.2">
      <c r="A2026" s="5">
        <v>1965</v>
      </c>
      <c r="B2026" s="1890">
        <f>'Cap Outlay Deprec 26'!F5</f>
        <v>22782</v>
      </c>
      <c r="C2026" s="2" t="s">
        <v>569</v>
      </c>
      <c r="D2026" s="2" t="str">
        <f t="shared" si="30"/>
        <v>Error?</v>
      </c>
    </row>
    <row r="2027" spans="1:4" x14ac:dyDescent="0.2">
      <c r="A2027" s="5">
        <v>1966</v>
      </c>
      <c r="B2027" s="1890">
        <f>'Cap Outlay Deprec 26'!F8</f>
        <v>4851692</v>
      </c>
      <c r="C2027" s="2" t="s">
        <v>569</v>
      </c>
      <c r="D2027" s="2" t="str">
        <f t="shared" si="30"/>
        <v>Error?</v>
      </c>
    </row>
    <row r="2028" spans="1:4" x14ac:dyDescent="0.2">
      <c r="A2028" s="5">
        <v>1967</v>
      </c>
      <c r="B2028" s="1890">
        <f>'Cap Outlay Deprec 26'!F10</f>
        <v>0</v>
      </c>
      <c r="C2028" s="2" t="s">
        <v>569</v>
      </c>
      <c r="D2028" s="2" t="str">
        <f t="shared" si="30"/>
        <v>Error?</v>
      </c>
    </row>
    <row r="2029" spans="1:4" x14ac:dyDescent="0.2">
      <c r="A2029" s="5">
        <v>1968</v>
      </c>
      <c r="B2029" s="1890">
        <f>'Cap Outlay Deprec 26'!F12</f>
        <v>310855</v>
      </c>
      <c r="C2029" s="2" t="s">
        <v>569</v>
      </c>
      <c r="D2029" s="2" t="str">
        <f t="shared" si="30"/>
        <v>Error?</v>
      </c>
    </row>
    <row r="2030" spans="1:4" x14ac:dyDescent="0.2">
      <c r="A2030" s="5">
        <v>1969</v>
      </c>
      <c r="B2030" s="1890">
        <f>'Cap Outlay Deprec 26'!F13</f>
        <v>858051</v>
      </c>
      <c r="C2030" s="2" t="s">
        <v>569</v>
      </c>
      <c r="D2030" s="2" t="str">
        <f t="shared" si="30"/>
        <v>Error?</v>
      </c>
    </row>
    <row r="2031" spans="1:4" x14ac:dyDescent="0.2">
      <c r="A2031" s="5">
        <v>1970</v>
      </c>
      <c r="B2031" s="1890">
        <f>'Cap Outlay Deprec 26'!F16</f>
        <v>6067585</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2473009</v>
      </c>
      <c r="D2033" s="2" t="str">
        <f t="shared" si="30"/>
        <v>Error?</v>
      </c>
    </row>
    <row r="2034" spans="1:4" x14ac:dyDescent="0.2">
      <c r="A2034" s="5">
        <v>1973</v>
      </c>
      <c r="B2034" s="1890">
        <f>'Cap Outlay Deprec 26'!H10</f>
        <v>0</v>
      </c>
      <c r="D2034" s="2" t="str">
        <f t="shared" si="30"/>
        <v>Error?</v>
      </c>
    </row>
    <row r="2035" spans="1:4" x14ac:dyDescent="0.2">
      <c r="A2035" s="5">
        <v>1974</v>
      </c>
      <c r="B2035" s="1890">
        <f>'Cap Outlay Deprec 26'!H12</f>
        <v>277634</v>
      </c>
      <c r="D2035" s="2" t="str">
        <f t="shared" si="30"/>
        <v>Error?</v>
      </c>
    </row>
    <row r="2036" spans="1:4" x14ac:dyDescent="0.2">
      <c r="A2036" s="5">
        <v>1975</v>
      </c>
      <c r="B2036" s="1890">
        <f>'Cap Outlay Deprec 26'!H13</f>
        <v>621170</v>
      </c>
      <c r="D2036" s="2" t="str">
        <f t="shared" si="30"/>
        <v>Error?</v>
      </c>
    </row>
    <row r="2037" spans="1:4" x14ac:dyDescent="0.2">
      <c r="A2037" s="5">
        <v>1976</v>
      </c>
      <c r="B2037" s="1890">
        <f>'Cap Outlay Deprec 26'!H16</f>
        <v>3371813</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95275</v>
      </c>
      <c r="D2039" s="2" t="str">
        <f t="shared" si="30"/>
        <v>Error?</v>
      </c>
    </row>
    <row r="2040" spans="1:4" x14ac:dyDescent="0.2">
      <c r="A2040" s="5">
        <v>1979</v>
      </c>
      <c r="B2040" s="1890">
        <f>'Cap Outlay Deprec 26'!I10</f>
        <v>0</v>
      </c>
      <c r="D2040" s="2" t="str">
        <f t="shared" si="30"/>
        <v>Error?</v>
      </c>
    </row>
    <row r="2041" spans="1:4" x14ac:dyDescent="0.2">
      <c r="A2041" s="5">
        <v>1980</v>
      </c>
      <c r="B2041" s="1890">
        <f>'Cap Outlay Deprec 26'!I12</f>
        <v>6702</v>
      </c>
      <c r="D2041" s="2" t="str">
        <f t="shared" si="30"/>
        <v>Error?</v>
      </c>
    </row>
    <row r="2042" spans="1:4" x14ac:dyDescent="0.2">
      <c r="A2042" s="5">
        <v>1981</v>
      </c>
      <c r="B2042" s="1890">
        <f>'Cap Outlay Deprec 26'!I13</f>
        <v>79063</v>
      </c>
      <c r="D2042" s="2" t="str">
        <f t="shared" si="30"/>
        <v>Error?</v>
      </c>
    </row>
    <row r="2043" spans="1:4" x14ac:dyDescent="0.2">
      <c r="A2043" s="5">
        <v>1982</v>
      </c>
      <c r="B2043" s="1890">
        <f>'Cap Outlay Deprec 26'!I16</f>
        <v>181040</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86468</v>
      </c>
      <c r="D2048" s="2" t="str">
        <f t="shared" si="31"/>
        <v>Error?</v>
      </c>
    </row>
    <row r="2049" spans="1:4" x14ac:dyDescent="0.2">
      <c r="A2049" s="5">
        <v>1988</v>
      </c>
      <c r="B2049" s="1890">
        <f>'Cap Outlay Deprec 26'!J16</f>
        <v>86468</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2568284</v>
      </c>
      <c r="C2051" s="2" t="s">
        <v>569</v>
      </c>
      <c r="D2051" s="2" t="str">
        <f t="shared" si="31"/>
        <v>Error?</v>
      </c>
    </row>
    <row r="2052" spans="1:4" x14ac:dyDescent="0.2">
      <c r="A2052" s="5">
        <v>1991</v>
      </c>
      <c r="B2052" s="1890">
        <f>'Cap Outlay Deprec 26'!K10</f>
        <v>0</v>
      </c>
      <c r="C2052" s="2" t="s">
        <v>569</v>
      </c>
      <c r="D2052" s="2" t="str">
        <f t="shared" si="31"/>
        <v>Error?</v>
      </c>
    </row>
    <row r="2053" spans="1:4" x14ac:dyDescent="0.2">
      <c r="A2053" s="5">
        <v>1992</v>
      </c>
      <c r="B2053" s="1890">
        <f>'Cap Outlay Deprec 26'!K12</f>
        <v>284336</v>
      </c>
      <c r="C2053" s="2" t="s">
        <v>569</v>
      </c>
      <c r="D2053" s="2" t="str">
        <f t="shared" si="31"/>
        <v>Error?</v>
      </c>
    </row>
    <row r="2054" spans="1:4" x14ac:dyDescent="0.2">
      <c r="A2054" s="5">
        <v>1993</v>
      </c>
      <c r="B2054" s="1890">
        <f>'Cap Outlay Deprec 26'!K13</f>
        <v>613765</v>
      </c>
      <c r="C2054" s="2" t="s">
        <v>569</v>
      </c>
      <c r="D2054" s="2" t="str">
        <f t="shared" si="31"/>
        <v>Error?</v>
      </c>
    </row>
    <row r="2055" spans="1:4" x14ac:dyDescent="0.2">
      <c r="A2055" s="5">
        <v>1994</v>
      </c>
      <c r="B2055" s="1890">
        <f>'Cap Outlay Deprec 26'!K16</f>
        <v>3466385</v>
      </c>
      <c r="C2055" s="2" t="s">
        <v>569</v>
      </c>
      <c r="D2055" s="2" t="str">
        <f t="shared" si="31"/>
        <v>Error?</v>
      </c>
    </row>
    <row r="2056" spans="1:4" x14ac:dyDescent="0.2">
      <c r="A2056" s="5">
        <v>1995</v>
      </c>
      <c r="B2056" s="1890">
        <f>'Cap Outlay Deprec 26'!L5</f>
        <v>22782</v>
      </c>
      <c r="C2056" s="2" t="s">
        <v>569</v>
      </c>
      <c r="D2056" s="2" t="str">
        <f t="shared" si="31"/>
        <v>Error?</v>
      </c>
    </row>
    <row r="2057" spans="1:4" x14ac:dyDescent="0.2">
      <c r="A2057" s="5">
        <v>1996</v>
      </c>
      <c r="B2057" s="1890">
        <f>'Cap Outlay Deprec 26'!L8</f>
        <v>2283408</v>
      </c>
      <c r="C2057" s="2" t="s">
        <v>569</v>
      </c>
      <c r="D2057" s="2" t="str">
        <f t="shared" si="31"/>
        <v>Error?</v>
      </c>
    </row>
    <row r="2058" spans="1:4" x14ac:dyDescent="0.2">
      <c r="A2058" s="5">
        <v>1997</v>
      </c>
      <c r="B2058" s="1890">
        <f>'Cap Outlay Deprec 26'!L10</f>
        <v>0</v>
      </c>
      <c r="C2058" s="2" t="s">
        <v>569</v>
      </c>
      <c r="D2058" s="2" t="str">
        <f t="shared" si="31"/>
        <v>Error?</v>
      </c>
    </row>
    <row r="2059" spans="1:4" x14ac:dyDescent="0.2">
      <c r="A2059" s="5">
        <v>1998</v>
      </c>
      <c r="B2059" s="1890">
        <f>'Cap Outlay Deprec 26'!L12</f>
        <v>26519</v>
      </c>
      <c r="C2059" s="2" t="s">
        <v>569</v>
      </c>
      <c r="D2059" s="2" t="str">
        <f t="shared" si="31"/>
        <v>Error?</v>
      </c>
    </row>
    <row r="2060" spans="1:4" x14ac:dyDescent="0.2">
      <c r="A2060" s="5">
        <v>1999</v>
      </c>
      <c r="B2060" s="1890">
        <f>'Cap Outlay Deprec 26'!L13</f>
        <v>244286</v>
      </c>
      <c r="C2060" s="2" t="s">
        <v>569</v>
      </c>
      <c r="D2060" s="2" t="str">
        <f t="shared" si="31"/>
        <v>Error?</v>
      </c>
    </row>
    <row r="2061" spans="1:4" x14ac:dyDescent="0.2">
      <c r="A2061" s="5">
        <v>2000</v>
      </c>
      <c r="B2061" s="1890">
        <f>'Cap Outlay Deprec 26'!L16</f>
        <v>2601200</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127828</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127828</v>
      </c>
      <c r="C2088" s="2" t="s">
        <v>569</v>
      </c>
      <c r="D2088" s="2" t="str">
        <f t="shared" si="31"/>
        <v>Error?</v>
      </c>
    </row>
    <row r="2089" spans="1:4" x14ac:dyDescent="0.2">
      <c r="A2089" s="5">
        <v>2028</v>
      </c>
      <c r="B2089" s="1890">
        <f>'Expenditures 15-22'!K92</f>
        <v>5700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36907</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-64819</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3254464</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356040</v>
      </c>
      <c r="C2553" s="2" t="s">
        <v>569</v>
      </c>
      <c r="D2553" s="2" t="str">
        <f t="shared" si="38"/>
        <v>Error?</v>
      </c>
    </row>
    <row r="2554" spans="1:4" x14ac:dyDescent="0.2">
      <c r="A2554" s="5">
        <v>2493</v>
      </c>
      <c r="B2554" s="1890">
        <f>'Acct Summary 7-8'!C7</f>
        <v>112443</v>
      </c>
      <c r="C2554" s="2" t="s">
        <v>569</v>
      </c>
      <c r="D2554" s="2" t="str">
        <f t="shared" si="38"/>
        <v>Error?</v>
      </c>
    </row>
    <row r="2555" spans="1:4" x14ac:dyDescent="0.2">
      <c r="A2555" s="5">
        <v>2494</v>
      </c>
      <c r="B2555" s="1890">
        <f>'Acct Summary 7-8'!C8</f>
        <v>3722947</v>
      </c>
      <c r="C2555" s="2" t="s">
        <v>569</v>
      </c>
      <c r="D2555" s="2" t="str">
        <f t="shared" si="38"/>
        <v>Error?</v>
      </c>
    </row>
    <row r="2556" spans="1:4" x14ac:dyDescent="0.2">
      <c r="A2556" s="5">
        <v>2495</v>
      </c>
      <c r="B2556" s="1890">
        <f>'Acct Summary 7-8'!C12</f>
        <v>2507577</v>
      </c>
      <c r="C2556" s="2" t="s">
        <v>569</v>
      </c>
      <c r="D2556" s="2" t="str">
        <f t="shared" si="38"/>
        <v>Error?</v>
      </c>
    </row>
    <row r="2557" spans="1:4" x14ac:dyDescent="0.2">
      <c r="A2557" s="5">
        <v>2496</v>
      </c>
      <c r="B2557" s="1890">
        <f>'Acct Summary 7-8'!C13</f>
        <v>1026984</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133528</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3668089</v>
      </c>
      <c r="C2561" s="2" t="s">
        <v>569</v>
      </c>
      <c r="D2561" s="2" t="str">
        <f t="shared" si="39"/>
        <v>Error?</v>
      </c>
    </row>
    <row r="2562" spans="1:4" x14ac:dyDescent="0.2">
      <c r="A2562" s="5">
        <v>2501</v>
      </c>
      <c r="B2562" s="1890">
        <f>'Acct Summary 7-8'!C20</f>
        <v>54858</v>
      </c>
      <c r="C2562" s="2" t="s">
        <v>569</v>
      </c>
      <c r="D2562" s="2" t="str">
        <f t="shared" si="39"/>
        <v>Error?</v>
      </c>
    </row>
    <row r="2563" spans="1:4" x14ac:dyDescent="0.2">
      <c r="A2563" s="5">
        <v>2502</v>
      </c>
      <c r="B2563" s="1890">
        <f>'Acct Summary 7-8'!C80</f>
        <v>-500</v>
      </c>
      <c r="D2563" s="2" t="str">
        <f t="shared" si="39"/>
        <v>Error?</v>
      </c>
    </row>
    <row r="2564" spans="1:4" x14ac:dyDescent="0.2">
      <c r="A2564" s="5">
        <v>2503</v>
      </c>
      <c r="B2564" s="1890">
        <f>'Acct Summary 7-8'!D4</f>
        <v>518528</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50000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568528</v>
      </c>
      <c r="C2568" s="2" t="s">
        <v>569</v>
      </c>
      <c r="D2568" s="2" t="str">
        <f t="shared" si="39"/>
        <v>Error?</v>
      </c>
    </row>
    <row r="2569" spans="1:4" x14ac:dyDescent="0.2">
      <c r="A2569" s="5">
        <v>2508</v>
      </c>
      <c r="B2569" s="1890">
        <f>'Acct Summary 7-8'!D13</f>
        <v>519438</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519438</v>
      </c>
      <c r="C2573" s="2" t="s">
        <v>569</v>
      </c>
      <c r="D2573" s="2" t="str">
        <f t="shared" si="39"/>
        <v>Error?</v>
      </c>
    </row>
    <row r="2574" spans="1:4" x14ac:dyDescent="0.2">
      <c r="A2574" s="5">
        <v>2513</v>
      </c>
      <c r="B2574" s="1890">
        <f>'Acct Summary 7-8'!D20</f>
        <v>49090</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240811</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144214</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385025</v>
      </c>
      <c r="C2595" s="2" t="s">
        <v>569</v>
      </c>
      <c r="D2595" s="2" t="str">
        <f t="shared" si="39"/>
        <v>Error?</v>
      </c>
    </row>
    <row r="2596" spans="1:4" x14ac:dyDescent="0.2">
      <c r="A2596" s="5">
        <v>2535</v>
      </c>
      <c r="B2596" s="1890">
        <f>'Acct Summary 7-8'!F13</f>
        <v>348127</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348127</v>
      </c>
      <c r="C2600" s="2" t="s">
        <v>569</v>
      </c>
      <c r="D2600" s="2" t="str">
        <f t="shared" si="39"/>
        <v>Error?</v>
      </c>
    </row>
    <row r="2601" spans="1:4" x14ac:dyDescent="0.2">
      <c r="A2601" s="5">
        <v>2540</v>
      </c>
      <c r="B2601" s="1890">
        <f>'Acct Summary 7-8'!F20</f>
        <v>36898</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220266</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220266</v>
      </c>
      <c r="C2606" s="2" t="s">
        <v>569</v>
      </c>
      <c r="D2606" s="2" t="str">
        <f t="shared" si="39"/>
        <v>Error?</v>
      </c>
    </row>
    <row r="2607" spans="1:4" x14ac:dyDescent="0.2">
      <c r="A2607" s="5">
        <v>2546</v>
      </c>
      <c r="B2607" s="1890">
        <f>'Acct Summary 7-8'!G12</f>
        <v>64660</v>
      </c>
      <c r="C2607" s="2" t="s">
        <v>569</v>
      </c>
      <c r="D2607" s="2" t="str">
        <f t="shared" si="39"/>
        <v>Error?</v>
      </c>
    </row>
    <row r="2608" spans="1:4" x14ac:dyDescent="0.2">
      <c r="A2608" s="5">
        <v>2547</v>
      </c>
      <c r="B2608" s="1890">
        <f>'Acct Summary 7-8'!G13</f>
        <v>132313</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196973</v>
      </c>
      <c r="C2612" s="2" t="s">
        <v>569</v>
      </c>
      <c r="D2612" s="2" t="str">
        <f t="shared" si="39"/>
        <v>Error?</v>
      </c>
    </row>
    <row r="2613" spans="1:4" x14ac:dyDescent="0.2">
      <c r="A2613" s="5">
        <v>2552</v>
      </c>
      <c r="B2613" s="1890">
        <f>'Acct Summary 7-8'!G20</f>
        <v>23293</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294476</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294476</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133128</v>
      </c>
      <c r="C2634" s="2" t="s">
        <v>569</v>
      </c>
      <c r="D2634" s="2" t="str">
        <f t="shared" si="40"/>
        <v>Error?</v>
      </c>
    </row>
    <row r="2635" spans="1:4" x14ac:dyDescent="0.2">
      <c r="A2635" s="5">
        <v>2574</v>
      </c>
      <c r="B2635" s="1890">
        <f>'Acct Summary 7-8'!E17</f>
        <v>133128</v>
      </c>
      <c r="C2635" s="2" t="s">
        <v>569</v>
      </c>
      <c r="D2635" s="2" t="str">
        <f t="shared" si="40"/>
        <v>Error?</v>
      </c>
    </row>
    <row r="2636" spans="1:4" x14ac:dyDescent="0.2">
      <c r="A2636" s="5">
        <v>2575</v>
      </c>
      <c r="B2636" s="1890">
        <f>'Acct Summary 7-8'!E20</f>
        <v>161348</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128</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128</v>
      </c>
      <c r="C2658" s="2" t="s">
        <v>569</v>
      </c>
      <c r="D2658" s="2" t="str">
        <f t="shared" si="40"/>
        <v>Error?</v>
      </c>
    </row>
    <row r="2659" spans="1:4" x14ac:dyDescent="0.2">
      <c r="A2659" s="5">
        <v>2598</v>
      </c>
      <c r="B2659" s="1890">
        <f>'Acct Summary 7-8'!H13</f>
        <v>248455</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248455</v>
      </c>
      <c r="C2661" s="2" t="s">
        <v>569</v>
      </c>
      <c r="D2661" s="2" t="str">
        <f t="shared" si="40"/>
        <v>Error?</v>
      </c>
    </row>
    <row r="2662" spans="1:4" x14ac:dyDescent="0.2">
      <c r="A2662" s="5">
        <v>2601</v>
      </c>
      <c r="B2662" s="1890">
        <f>'Acct Summary 7-8'!H20</f>
        <v>-248327</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0</v>
      </c>
      <c r="C2789" s="2" t="s">
        <v>569</v>
      </c>
      <c r="D2789" s="2" t="str">
        <f t="shared" si="42"/>
        <v>Error?</v>
      </c>
    </row>
    <row r="2790" spans="1:4" x14ac:dyDescent="0.2">
      <c r="A2790" s="5">
        <v>2729</v>
      </c>
      <c r="B2790" s="1890">
        <f>'Expenditures 15-22'!E102</f>
        <v>0</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24205</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0</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74751</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0</v>
      </c>
      <c r="D2912" s="2" t="str">
        <f t="shared" si="44"/>
        <v>Error?</v>
      </c>
    </row>
    <row r="2913" spans="1:4" x14ac:dyDescent="0.2">
      <c r="A2913" s="5">
        <v>2852</v>
      </c>
      <c r="B2913" s="1890">
        <f>'Assets-Liab 5-6'!I41</f>
        <v>0</v>
      </c>
      <c r="C2913" s="2" t="s">
        <v>569</v>
      </c>
      <c r="D2913" s="2" t="str">
        <f t="shared" si="44"/>
        <v>Error?</v>
      </c>
    </row>
    <row r="2914" spans="1:4" x14ac:dyDescent="0.2">
      <c r="A2914" s="5">
        <v>2853</v>
      </c>
      <c r="B2914" s="1890">
        <f>'Assets-Liab 5-6'!L33</f>
        <v>74751</v>
      </c>
      <c r="D2914" s="2" t="str">
        <f t="shared" si="44"/>
        <v>Error?</v>
      </c>
    </row>
    <row r="2915" spans="1:4" x14ac:dyDescent="0.2">
      <c r="A2915" s="10">
        <v>2854</v>
      </c>
      <c r="B2915" s="1890"/>
      <c r="D2915" s="2" t="str">
        <f t="shared" si="44"/>
        <v>OK</v>
      </c>
    </row>
    <row r="2916" spans="1:4" x14ac:dyDescent="0.2">
      <c r="A2916" s="5">
        <v>2855</v>
      </c>
      <c r="B2916" s="1890">
        <f>'Assets-Liab 5-6'!L34</f>
        <v>74751</v>
      </c>
      <c r="C2916" s="2" t="s">
        <v>569</v>
      </c>
      <c r="D2916" s="2" t="str">
        <f t="shared" si="44"/>
        <v>Error?</v>
      </c>
    </row>
    <row r="2917" spans="1:4" x14ac:dyDescent="0.2">
      <c r="A2917" s="5">
        <v>2856</v>
      </c>
      <c r="B2917" s="1890">
        <f>'Assets-Liab 5-6'!L41</f>
        <v>74751</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113903</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13925</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113903</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13925</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56330</v>
      </c>
      <c r="D3055" s="2" t="str">
        <f t="shared" si="46"/>
        <v>Error?</v>
      </c>
    </row>
    <row r="3056" spans="1:4" x14ac:dyDescent="0.2">
      <c r="A3056" s="5">
        <v>2995</v>
      </c>
      <c r="B3056" s="1890">
        <f>'Expenditures 15-22'!D10</f>
        <v>16862</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73192</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10641</v>
      </c>
      <c r="D3064" s="2" t="str">
        <f t="shared" si="46"/>
        <v>Error?</v>
      </c>
    </row>
    <row r="3065" spans="1:4" x14ac:dyDescent="0.2">
      <c r="A3065" s="5">
        <v>3004</v>
      </c>
      <c r="B3065" s="1890">
        <f>'Expenditures 15-22'!K219</f>
        <v>10641</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0</v>
      </c>
      <c r="C3225" s="2" t="s">
        <v>569</v>
      </c>
      <c r="D3225" s="2" t="str">
        <f t="shared" si="49"/>
        <v>Error?</v>
      </c>
    </row>
    <row r="3226" spans="1:4" x14ac:dyDescent="0.2">
      <c r="A3226" s="5">
        <v>3165</v>
      </c>
      <c r="B3226" s="1890">
        <f>'Acct Summary 7-8'!I8</f>
        <v>0</v>
      </c>
      <c r="C3226" s="2" t="s">
        <v>569</v>
      </c>
      <c r="D3226" s="2" t="str">
        <f t="shared" si="49"/>
        <v>Error?</v>
      </c>
    </row>
    <row r="3227" spans="1:4" x14ac:dyDescent="0.2">
      <c r="A3227" s="5">
        <v>3166</v>
      </c>
      <c r="B3227" s="1890">
        <f>'Acct Summary 7-8'!I20</f>
        <v>0</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54858</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49090</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36898</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23293</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161348</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300000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300000</v>
      </c>
      <c r="C3299" s="2" t="s">
        <v>569</v>
      </c>
      <c r="D3299" s="2" t="str">
        <f t="shared" si="50"/>
        <v>Error?</v>
      </c>
    </row>
    <row r="3300" spans="1:4" x14ac:dyDescent="0.2">
      <c r="A3300" s="5">
        <v>3239</v>
      </c>
      <c r="B3300" s="1890">
        <f>'Acct Summary 7-8'!H78</f>
        <v>51673</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0</v>
      </c>
      <c r="C3320" s="2" t="s">
        <v>569</v>
      </c>
      <c r="D3320" s="2" t="str">
        <f t="shared" si="50"/>
        <v>Error?</v>
      </c>
    </row>
    <row r="3321" spans="1:4" x14ac:dyDescent="0.2">
      <c r="A3321" s="5">
        <v>3260</v>
      </c>
      <c r="B3321" s="1890">
        <f>'Acct Summary 7-8'!I79</f>
        <v>0</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0</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164175</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31053</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27466</v>
      </c>
      <c r="D3370" s="2" t="str">
        <f t="shared" si="51"/>
        <v>Error?</v>
      </c>
    </row>
    <row r="3371" spans="1:4" x14ac:dyDescent="0.2">
      <c r="A3371" s="5">
        <v>3310</v>
      </c>
      <c r="B3371" s="1890">
        <f>'Expenditures 15-22'!E19</f>
        <v>175</v>
      </c>
      <c r="D3371" s="2" t="str">
        <f t="shared" si="51"/>
        <v>Error?</v>
      </c>
    </row>
    <row r="3372" spans="1:4" x14ac:dyDescent="0.2">
      <c r="A3372" s="5">
        <v>3311</v>
      </c>
      <c r="B3372" s="1890">
        <f>'Expenditures 15-22'!F8</f>
        <v>1337</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224031</v>
      </c>
      <c r="C3380" s="2" t="s">
        <v>569</v>
      </c>
      <c r="D3380" s="2" t="str">
        <f t="shared" si="51"/>
        <v>Error?</v>
      </c>
    </row>
    <row r="3381" spans="1:4" x14ac:dyDescent="0.2">
      <c r="A3381" s="5">
        <v>3320</v>
      </c>
      <c r="B3381" s="1890">
        <f>'Expenditures 15-22'!K19</f>
        <v>175</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29153</v>
      </c>
      <c r="D3387" s="2" t="str">
        <f t="shared" si="51"/>
        <v>Error?</v>
      </c>
    </row>
    <row r="3388" spans="1:4" x14ac:dyDescent="0.2">
      <c r="A3388" s="5">
        <v>3327</v>
      </c>
      <c r="B3388" s="1890">
        <f>'Expenditures 15-22'!D217</f>
        <v>11630</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29153</v>
      </c>
      <c r="C3390" s="2" t="s">
        <v>569</v>
      </c>
      <c r="D3390" s="2" t="str">
        <f t="shared" si="51"/>
        <v>Error?</v>
      </c>
    </row>
    <row r="3391" spans="1:4" x14ac:dyDescent="0.2">
      <c r="A3391" s="5">
        <v>3330</v>
      </c>
      <c r="B3391" s="1890">
        <f>'Expenditures 15-22'!K217</f>
        <v>11630</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834386</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0</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167936</v>
      </c>
      <c r="D3417" s="2" t="str">
        <f t="shared" si="52"/>
        <v>Error?</v>
      </c>
    </row>
    <row r="3418" spans="1:4" x14ac:dyDescent="0.2">
      <c r="A3418" s="10">
        <v>3357</v>
      </c>
      <c r="B3418" s="1890"/>
      <c r="D3418" s="2" t="str">
        <f t="shared" si="52"/>
        <v>OK</v>
      </c>
    </row>
    <row r="3419" spans="1:4" x14ac:dyDescent="0.2">
      <c r="A3419" s="5">
        <v>3358</v>
      </c>
      <c r="B3419" s="1890">
        <f>'Assets-Liab 5-6'!F4</f>
        <v>342921</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0</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61818</v>
      </c>
      <c r="D3425" s="2" t="str">
        <f t="shared" si="52"/>
        <v>Error?</v>
      </c>
    </row>
    <row r="3426" spans="1:4" x14ac:dyDescent="0.2">
      <c r="A3426" s="10">
        <v>3365</v>
      </c>
      <c r="B3426" s="1890"/>
      <c r="D3426" s="2" t="str">
        <f t="shared" si="52"/>
        <v>OK</v>
      </c>
    </row>
    <row r="3427" spans="1:4" x14ac:dyDescent="0.2">
      <c r="A3427" s="5">
        <v>3366</v>
      </c>
      <c r="B3427" s="1890">
        <f>'Assets-Liab 5-6'!I4</f>
        <v>0</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74751</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105835</v>
      </c>
      <c r="C3446" s="2" t="s">
        <v>569</v>
      </c>
      <c r="D3446" s="2" t="str">
        <f t="shared" si="52"/>
        <v>Error?</v>
      </c>
    </row>
    <row r="3447" spans="1:4" x14ac:dyDescent="0.2">
      <c r="A3447" s="5">
        <v>3386</v>
      </c>
      <c r="B3447" s="1890">
        <f>'Tax Sched 23'!D16</f>
        <v>94349</v>
      </c>
      <c r="C3447" s="2" t="s">
        <v>569</v>
      </c>
      <c r="D3447" s="2" t="str">
        <f t="shared" si="52"/>
        <v>Error?</v>
      </c>
    </row>
    <row r="3448" spans="1:4" x14ac:dyDescent="0.2">
      <c r="A3448" s="5">
        <v>3387</v>
      </c>
      <c r="B3448" s="1890">
        <f>'Tax Sched 23'!C16</f>
        <v>11486</v>
      </c>
      <c r="D3448" s="2" t="str">
        <f t="shared" si="52"/>
        <v>Error?</v>
      </c>
    </row>
    <row r="3449" spans="1:4" x14ac:dyDescent="0.2">
      <c r="A3449" s="5">
        <v>3388</v>
      </c>
      <c r="B3449" s="1890">
        <f>'Tax Sched 23'!F16</f>
        <v>38516</v>
      </c>
      <c r="C3449" s="2" t="s">
        <v>569</v>
      </c>
      <c r="D3449" s="2" t="str">
        <f t="shared" si="52"/>
        <v>Error?</v>
      </c>
    </row>
    <row r="3450" spans="1:4" x14ac:dyDescent="0.2">
      <c r="A3450" s="5">
        <v>3389</v>
      </c>
      <c r="B3450" s="1890">
        <f>'Tax Sched 23'!E16</f>
        <v>50002</v>
      </c>
      <c r="D3450" s="2" t="str">
        <f t="shared" si="52"/>
        <v>Error?</v>
      </c>
    </row>
    <row r="3451" spans="1:4" x14ac:dyDescent="0.2">
      <c r="A3451" s="5">
        <v>3390</v>
      </c>
      <c r="B3451" s="1890">
        <f>'Cap Outlay Deprec 26'!C15</f>
        <v>443734</v>
      </c>
      <c r="D3451" s="2" t="str">
        <f t="shared" si="52"/>
        <v>Error?</v>
      </c>
    </row>
    <row r="3452" spans="1:4" x14ac:dyDescent="0.2">
      <c r="A3452" s="5">
        <v>3391</v>
      </c>
      <c r="B3452" s="1890">
        <f>'Cap Outlay Deprec 26'!D15</f>
        <v>24205</v>
      </c>
      <c r="D3452" s="2" t="str">
        <f t="shared" si="52"/>
        <v>Error?</v>
      </c>
    </row>
    <row r="3453" spans="1:4" x14ac:dyDescent="0.2">
      <c r="A3453" s="5">
        <v>3392</v>
      </c>
      <c r="B3453" s="1890">
        <f>'Cap Outlay Deprec 26'!E15</f>
        <v>443734</v>
      </c>
      <c r="D3453" s="2" t="str">
        <f t="shared" si="52"/>
        <v>Error?</v>
      </c>
    </row>
    <row r="3454" spans="1:4" x14ac:dyDescent="0.2">
      <c r="A3454" s="5">
        <v>3393</v>
      </c>
      <c r="B3454" s="1890">
        <f>'Cap Outlay Deprec 26'!F15</f>
        <v>24205</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24205</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9326</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1616757</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1626083</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1626083</v>
      </c>
      <c r="D3567" s="2" t="str">
        <f t="shared" si="54"/>
        <v>Error?</v>
      </c>
    </row>
    <row r="3568" spans="1:4" x14ac:dyDescent="0.2">
      <c r="A3568" s="5">
        <v>3507</v>
      </c>
      <c r="B3568" s="1890">
        <f>'Assets-Liab 5-6'!K41</f>
        <v>1626083</v>
      </c>
      <c r="C3568" s="2" t="s">
        <v>569</v>
      </c>
      <c r="D3568" s="2" t="str">
        <f t="shared" si="54"/>
        <v>Error?</v>
      </c>
    </row>
    <row r="3569" spans="1:4" x14ac:dyDescent="0.2">
      <c r="A3569" s="5">
        <v>3508</v>
      </c>
      <c r="B3569" s="1890">
        <f>'Acct Summary 7-8'!K4</f>
        <v>74810</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74810</v>
      </c>
      <c r="C3571" s="2" t="s">
        <v>569</v>
      </c>
      <c r="D3571" s="2" t="str">
        <f t="shared" si="54"/>
        <v>Error?</v>
      </c>
    </row>
    <row r="3572" spans="1:4" x14ac:dyDescent="0.2">
      <c r="A3572" s="5">
        <v>3511</v>
      </c>
      <c r="B3572" s="1890">
        <f>'Acct Summary 7-8'!K13</f>
        <v>995527</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995527</v>
      </c>
      <c r="C3575" s="2" t="s">
        <v>569</v>
      </c>
      <c r="D3575" s="2" t="str">
        <f t="shared" si="54"/>
        <v>Error?</v>
      </c>
    </row>
    <row r="3576" spans="1:4" x14ac:dyDescent="0.2">
      <c r="A3576" s="5">
        <v>3515</v>
      </c>
      <c r="B3576" s="1890">
        <f>'Acct Summary 7-8'!K20</f>
        <v>-920717</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2500000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2500000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2500000</v>
      </c>
      <c r="C3587" s="2" t="s">
        <v>569</v>
      </c>
      <c r="D3587" s="2" t="str">
        <f t="shared" si="55"/>
        <v>Error?</v>
      </c>
    </row>
    <row r="3588" spans="1:4" x14ac:dyDescent="0.2">
      <c r="A3588" s="5">
        <v>3527</v>
      </c>
      <c r="B3588" s="1890">
        <f>'Acct Summary 7-8'!K78</f>
        <v>1579283</v>
      </c>
      <c r="C3588" s="2" t="s">
        <v>569</v>
      </c>
      <c r="D3588" s="2" t="str">
        <f t="shared" si="55"/>
        <v>Error?</v>
      </c>
    </row>
    <row r="3589" spans="1:4" x14ac:dyDescent="0.2">
      <c r="A3589" s="5">
        <v>3528</v>
      </c>
      <c r="B3589" s="1890">
        <f>'Acct Summary 7-8'!K79</f>
        <v>46800</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1626083</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995527</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995527</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995527</v>
      </c>
      <c r="C3635" s="2" t="s">
        <v>569</v>
      </c>
      <c r="D3635" s="2" t="str">
        <f t="shared" si="55"/>
        <v>Error?</v>
      </c>
    </row>
    <row r="3636" spans="1:4" x14ac:dyDescent="0.2">
      <c r="A3636" s="5">
        <v>3575</v>
      </c>
      <c r="B3636" s="1890">
        <f>'Expenditures 15-22'!E367</f>
        <v>995527</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995527</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995527</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995527</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995527</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-920717</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0</v>
      </c>
      <c r="C3725" s="2" t="s">
        <v>569</v>
      </c>
      <c r="D3725" s="2" t="str">
        <f t="shared" si="57"/>
        <v>Error?</v>
      </c>
    </row>
    <row r="3726" spans="1:4" x14ac:dyDescent="0.2">
      <c r="A3726" s="5">
        <v>3665</v>
      </c>
      <c r="B3726" s="1890">
        <f>'Tax Sched 23'!D13</f>
        <v>0</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91700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1470927</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5193874</v>
      </c>
      <c r="C4122" s="2" t="s">
        <v>569</v>
      </c>
      <c r="D4122" s="2" t="str">
        <f t="shared" si="63"/>
        <v>Error?</v>
      </c>
    </row>
    <row r="4123" spans="1:4" x14ac:dyDescent="0.2">
      <c r="A4123" s="5">
        <v>4062</v>
      </c>
      <c r="B4123" s="1890">
        <f>'Acct Summary 7-8'!D10</f>
        <v>568528</v>
      </c>
      <c r="C4123" s="2" t="s">
        <v>569</v>
      </c>
      <c r="D4123" s="2" t="str">
        <f t="shared" si="63"/>
        <v>Error?</v>
      </c>
    </row>
    <row r="4124" spans="1:4" x14ac:dyDescent="0.2">
      <c r="A4124" s="5">
        <v>4063</v>
      </c>
      <c r="B4124" s="1890">
        <f>'Acct Summary 7-8'!E10</f>
        <v>294476</v>
      </c>
      <c r="C4124" s="2" t="s">
        <v>569</v>
      </c>
      <c r="D4124" s="2" t="str">
        <f t="shared" si="63"/>
        <v>Error?</v>
      </c>
    </row>
    <row r="4125" spans="1:4" x14ac:dyDescent="0.2">
      <c r="A4125" s="5">
        <v>4064</v>
      </c>
      <c r="B4125" s="1890">
        <f>'Acct Summary 7-8'!F10</f>
        <v>385025</v>
      </c>
      <c r="C4125" s="2" t="s">
        <v>569</v>
      </c>
      <c r="D4125" s="2" t="str">
        <f t="shared" si="63"/>
        <v>Error?</v>
      </c>
    </row>
    <row r="4126" spans="1:4" x14ac:dyDescent="0.2">
      <c r="A4126" s="5">
        <v>4065</v>
      </c>
      <c r="B4126" s="1890">
        <f>'Acct Summary 7-8'!G10</f>
        <v>220266</v>
      </c>
      <c r="C4126" s="2" t="s">
        <v>569</v>
      </c>
      <c r="D4126" s="2" t="str">
        <f t="shared" si="63"/>
        <v>Error?</v>
      </c>
    </row>
    <row r="4127" spans="1:4" x14ac:dyDescent="0.2">
      <c r="A4127" s="5">
        <v>4066</v>
      </c>
      <c r="B4127" s="1890">
        <f>'Acct Summary 7-8'!H10</f>
        <v>128</v>
      </c>
      <c r="C4127" s="2" t="s">
        <v>569</v>
      </c>
      <c r="D4127" s="2" t="str">
        <f t="shared" si="63"/>
        <v>Error?</v>
      </c>
    </row>
    <row r="4128" spans="1:4" x14ac:dyDescent="0.2">
      <c r="A4128" s="5">
        <v>4067</v>
      </c>
      <c r="B4128" s="1890">
        <f>'Acct Summary 7-8'!I10</f>
        <v>0</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74810</v>
      </c>
      <c r="C4130" s="2" t="s">
        <v>569</v>
      </c>
      <c r="D4130" s="2" t="str">
        <f t="shared" si="63"/>
        <v>Error?</v>
      </c>
    </row>
    <row r="4131" spans="1:4" x14ac:dyDescent="0.2">
      <c r="A4131" s="5">
        <v>4070</v>
      </c>
      <c r="B4131" s="1890">
        <f>'Acct Summary 7-8'!C18</f>
        <v>1470927</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5139016</v>
      </c>
      <c r="C4136" s="2" t="s">
        <v>569</v>
      </c>
      <c r="D4136" s="2" t="str">
        <f t="shared" si="63"/>
        <v>Error?</v>
      </c>
    </row>
    <row r="4137" spans="1:4" x14ac:dyDescent="0.2">
      <c r="A4137" s="5">
        <v>4076</v>
      </c>
      <c r="B4137" s="1890">
        <f>'Acct Summary 7-8'!D19</f>
        <v>519438</v>
      </c>
      <c r="C4137" s="2" t="s">
        <v>569</v>
      </c>
      <c r="D4137" s="2" t="str">
        <f t="shared" si="63"/>
        <v>Error?</v>
      </c>
    </row>
    <row r="4138" spans="1:4" x14ac:dyDescent="0.2">
      <c r="A4138" s="5">
        <v>4077</v>
      </c>
      <c r="B4138" s="1890">
        <f>'Acct Summary 7-8'!E19</f>
        <v>133128</v>
      </c>
      <c r="C4138" s="2" t="s">
        <v>569</v>
      </c>
      <c r="D4138" s="2" t="str">
        <f t="shared" si="63"/>
        <v>Error?</v>
      </c>
    </row>
    <row r="4139" spans="1:4" x14ac:dyDescent="0.2">
      <c r="A4139" s="5">
        <v>4078</v>
      </c>
      <c r="B4139" s="1890">
        <f>'Acct Summary 7-8'!F19</f>
        <v>348127</v>
      </c>
      <c r="C4139" s="2" t="s">
        <v>569</v>
      </c>
      <c r="D4139" s="2" t="str">
        <f t="shared" si="63"/>
        <v>Error?</v>
      </c>
    </row>
    <row r="4140" spans="1:4" x14ac:dyDescent="0.2">
      <c r="A4140" s="5">
        <v>4079</v>
      </c>
      <c r="B4140" s="1890">
        <f>'Acct Summary 7-8'!G19</f>
        <v>196973</v>
      </c>
      <c r="C4140" s="2" t="s">
        <v>569</v>
      </c>
      <c r="D4140" s="2" t="str">
        <f t="shared" si="63"/>
        <v>Error?</v>
      </c>
    </row>
    <row r="4141" spans="1:4" x14ac:dyDescent="0.2">
      <c r="A4141" s="5">
        <v>4080</v>
      </c>
      <c r="B4141" s="1890">
        <f>'Acct Summary 7-8'!H19</f>
        <v>248455</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995527</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3299508</v>
      </c>
      <c r="C4171" s="2" t="s">
        <v>569</v>
      </c>
      <c r="D4171" s="2" t="str">
        <f t="shared" si="64"/>
        <v>Error?</v>
      </c>
    </row>
    <row r="4172" spans="1:4" x14ac:dyDescent="0.2">
      <c r="A4172" s="5">
        <v>4111</v>
      </c>
      <c r="B4172" s="1890">
        <f>'Short-Term Long-Term Debt 24'!J49</f>
        <v>3131571</v>
      </c>
      <c r="C4172" s="2" t="s">
        <v>569</v>
      </c>
      <c r="D4172" s="2" t="str">
        <f t="shared" si="64"/>
        <v>Error?</v>
      </c>
    </row>
    <row r="4173" spans="1:4" x14ac:dyDescent="0.2">
      <c r="A4173" s="5">
        <v>4112</v>
      </c>
      <c r="B4173" s="1890">
        <f>'Short-Term Long-Term Debt 24'!H49</f>
        <v>100000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-9095</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3186.0899999999997</v>
      </c>
      <c r="C4265" s="2" t="s">
        <v>569</v>
      </c>
      <c r="D4265" s="2" t="str">
        <f t="shared" si="65"/>
        <v>Error?</v>
      </c>
      <c r="E4265" s="125"/>
    </row>
    <row r="4266" spans="1:5" x14ac:dyDescent="0.2">
      <c r="A4266" s="12">
        <v>4205</v>
      </c>
      <c r="B4266" s="1890">
        <f>('FP Info 3'!F10)*100000</f>
        <v>434.99999999999994</v>
      </c>
      <c r="C4266" s="2" t="s">
        <v>569</v>
      </c>
      <c r="D4266" s="2" t="str">
        <f t="shared" si="65"/>
        <v>Error?</v>
      </c>
      <c r="E4266" s="125"/>
    </row>
    <row r="4267" spans="1:5" x14ac:dyDescent="0.2">
      <c r="A4267" s="12">
        <v>4206</v>
      </c>
      <c r="B4267" s="1890">
        <f>('FP Info 3'!H10)*100000</f>
        <v>168.06</v>
      </c>
      <c r="C4267" s="2" t="s">
        <v>569</v>
      </c>
      <c r="D4267" s="2" t="str">
        <f t="shared" si="65"/>
        <v>Error?</v>
      </c>
      <c r="E4267" s="125"/>
    </row>
    <row r="4268" spans="1:5" x14ac:dyDescent="0.2">
      <c r="A4268" s="12">
        <v>4207</v>
      </c>
      <c r="B4268" s="1890">
        <f>('FP Info 3'!J10)*100000</f>
        <v>3789</v>
      </c>
      <c r="C4268" s="2" t="s">
        <v>569</v>
      </c>
      <c r="D4268" s="2" t="str">
        <f t="shared" si="65"/>
        <v>Error?</v>
      </c>
    </row>
    <row r="4269" spans="1:5" x14ac:dyDescent="0.2">
      <c r="A4269" s="12">
        <v>4208</v>
      </c>
      <c r="B4269" s="1890">
        <f>'FP Info 3'!J16</f>
        <v>1612464</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50000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0</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0</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3464</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21664</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91045706</v>
      </c>
      <c r="D4995" s="2" t="str">
        <f t="shared" si="77"/>
        <v>Error?</v>
      </c>
    </row>
    <row r="4996" spans="1:4" x14ac:dyDescent="0.2">
      <c r="A4996" s="12">
        <v>4935</v>
      </c>
      <c r="B4996" s="1890">
        <f>'FP Info 3'!H31</f>
        <v>12564307.428000001</v>
      </c>
      <c r="D4996" s="2" t="str">
        <f t="shared" si="77"/>
        <v>Error?</v>
      </c>
    </row>
    <row r="4997" spans="1:4" x14ac:dyDescent="0.2">
      <c r="A4997" s="12">
        <v>4936</v>
      </c>
      <c r="B4997" s="1890">
        <f>'FP Info 3'!H37</f>
        <v>3299508</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3082447</v>
      </c>
      <c r="D5061" s="2" t="str">
        <f t="shared" si="78"/>
        <v>Error?</v>
      </c>
    </row>
    <row r="5062" spans="1:4" x14ac:dyDescent="0.2">
      <c r="A5062" s="10">
        <v>5001</v>
      </c>
      <c r="B5062" s="1890"/>
      <c r="D5062" s="2" t="str">
        <f t="shared" si="78"/>
        <v>OK</v>
      </c>
    </row>
    <row r="5063" spans="1:4" x14ac:dyDescent="0.2">
      <c r="A5063" s="5">
        <v>5002</v>
      </c>
      <c r="B5063" s="1890">
        <f>'Revenues 9-14'!C7</f>
        <v>38385</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3120832</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0</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0</v>
      </c>
      <c r="C5071" s="2" t="s">
        <v>569</v>
      </c>
      <c r="D5071" s="2" t="str">
        <f t="shared" si="78"/>
        <v>Error?</v>
      </c>
    </row>
    <row r="5072" spans="1:4" x14ac:dyDescent="0.2">
      <c r="A5072" s="5">
        <v>5011</v>
      </c>
      <c r="B5072" s="1890">
        <f>'Revenues 9-14'!C20</f>
        <v>338</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338</v>
      </c>
      <c r="C5087" s="2" t="s">
        <v>569</v>
      </c>
      <c r="D5087" s="2" t="str">
        <f t="shared" si="78"/>
        <v>Error?</v>
      </c>
    </row>
    <row r="5088" spans="1:4" x14ac:dyDescent="0.2">
      <c r="A5088" s="5">
        <v>5027</v>
      </c>
      <c r="B5088" s="1890">
        <f>'Revenues 9-14'!C65</f>
        <v>13232</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13232</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957</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74902</v>
      </c>
      <c r="C5096" s="2" t="s">
        <v>569</v>
      </c>
      <c r="D5096" s="2" t="str">
        <f t="shared" si="78"/>
        <v>Error?</v>
      </c>
    </row>
    <row r="5097" spans="1:4" x14ac:dyDescent="0.2">
      <c r="A5097" s="5">
        <v>5036</v>
      </c>
      <c r="B5097" s="1890">
        <f>'Revenues 9-14'!C77</f>
        <v>16926</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16926</v>
      </c>
      <c r="C5102" s="2" t="s">
        <v>569</v>
      </c>
      <c r="D5102" s="2" t="str">
        <f t="shared" si="78"/>
        <v>Error?</v>
      </c>
    </row>
    <row r="5103" spans="1:4" x14ac:dyDescent="0.2">
      <c r="A5103" s="5">
        <v>5042</v>
      </c>
      <c r="B5103" s="1890">
        <f>'Revenues 9-14'!C84</f>
        <v>5796</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5796</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22285</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153</v>
      </c>
      <c r="D5119" s="2" t="str">
        <f t="shared" ref="D5119:D5182" si="79">IF(ISBLANK(B5119),"OK",IF(A5119-B5119=0,"OK","Error?"))</f>
        <v>Error?</v>
      </c>
    </row>
    <row r="5120" spans="1:4" x14ac:dyDescent="0.2">
      <c r="A5120" s="5">
        <v>5059</v>
      </c>
      <c r="B5120" s="1890">
        <f>'Revenues 9-14'!C108</f>
        <v>22438</v>
      </c>
      <c r="C5120" s="2" t="s">
        <v>569</v>
      </c>
      <c r="D5120" s="2" t="str">
        <f t="shared" si="79"/>
        <v>Error?</v>
      </c>
    </row>
    <row r="5121" spans="1:4" x14ac:dyDescent="0.2">
      <c r="A5121" s="5">
        <v>5060</v>
      </c>
      <c r="B5121" s="1890">
        <f>'Revenues 9-14'!C109</f>
        <v>3254464</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204434</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204434</v>
      </c>
      <c r="C5132" s="2" t="s">
        <v>569</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0</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14754</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745</v>
      </c>
      <c r="D5167" s="2" t="str">
        <f t="shared" si="79"/>
        <v>Error?</v>
      </c>
    </row>
    <row r="5168" spans="1:4" x14ac:dyDescent="0.2">
      <c r="A5168" s="5">
        <v>5107</v>
      </c>
      <c r="B5168" s="1890">
        <f>'Revenues 9-14'!C148</f>
        <v>2846</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133261</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151606</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356040</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46067</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10842</v>
      </c>
      <c r="D5241" s="2" t="str">
        <f t="shared" si="80"/>
        <v>Error?</v>
      </c>
    </row>
    <row r="5242" spans="1:4" x14ac:dyDescent="0.2">
      <c r="A5242" s="5">
        <v>5181</v>
      </c>
      <c r="B5242" s="1890">
        <f>'Revenues 9-14'!C194</f>
        <v>16293</v>
      </c>
      <c r="D5242" s="2" t="str">
        <f t="shared" si="80"/>
        <v>Error?</v>
      </c>
    </row>
    <row r="5243" spans="1:4" x14ac:dyDescent="0.2">
      <c r="A5243" s="5">
        <v>5182</v>
      </c>
      <c r="B5243" s="1890">
        <f>'Revenues 9-14'!C195</f>
        <v>2258</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75460</v>
      </c>
      <c r="C5246" s="2" t="s">
        <v>569</v>
      </c>
      <c r="D5246" s="2" t="str">
        <f t="shared" si="80"/>
        <v>Error?</v>
      </c>
    </row>
    <row r="5247" spans="1:4" x14ac:dyDescent="0.2">
      <c r="A5247" s="5">
        <v>5186</v>
      </c>
      <c r="B5247" s="1890">
        <f>'Revenues 9-14'!C200</f>
        <v>11855</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11855</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0</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0</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112443</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112443</v>
      </c>
      <c r="C5326" s="2" t="s">
        <v>569</v>
      </c>
      <c r="D5326" s="2" t="str">
        <f t="shared" si="82"/>
        <v>Error?</v>
      </c>
    </row>
    <row r="5327" spans="1:5" x14ac:dyDescent="0.2">
      <c r="A5327" s="5">
        <v>5266</v>
      </c>
      <c r="B5327" s="1890">
        <f>'Revenues 9-14'!C268</f>
        <v>3722947</v>
      </c>
      <c r="C5327" s="2" t="s">
        <v>569</v>
      </c>
      <c r="D5327" s="2" t="str">
        <f t="shared" si="82"/>
        <v>Error?</v>
      </c>
    </row>
    <row r="5328" spans="1:5" x14ac:dyDescent="0.2">
      <c r="A5328" s="5">
        <v>5267</v>
      </c>
      <c r="B5328" s="1890">
        <f>'Revenues 9-14'!D5</f>
        <v>429079</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429079</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77453</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77453</v>
      </c>
      <c r="C5339" s="2" t="s">
        <v>569</v>
      </c>
      <c r="D5339" s="2" t="str">
        <f t="shared" si="82"/>
        <v>Error?</v>
      </c>
    </row>
    <row r="5340" spans="1:4" x14ac:dyDescent="0.2">
      <c r="A5340" s="5">
        <v>5279</v>
      </c>
      <c r="B5340" s="1890">
        <f>'Revenues 9-14'!D65</f>
        <v>11750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11750</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246</v>
      </c>
      <c r="D5354" s="2" t="str">
        <f t="shared" si="82"/>
        <v>Error?</v>
      </c>
    </row>
    <row r="5355" spans="1:4" x14ac:dyDescent="0.2">
      <c r="A5355" s="5">
        <v>5294</v>
      </c>
      <c r="B5355" s="1890">
        <f>'Revenues 9-14'!D108</f>
        <v>246</v>
      </c>
      <c r="C5355" s="2" t="s">
        <v>569</v>
      </c>
      <c r="D5355" s="2" t="str">
        <f t="shared" si="82"/>
        <v>Error?</v>
      </c>
    </row>
    <row r="5356" spans="1:4" x14ac:dyDescent="0.2">
      <c r="A5356" s="5">
        <v>5295</v>
      </c>
      <c r="B5356" s="1890">
        <f>'Revenues 9-14'!D109</f>
        <v>518528</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50000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50000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568528</v>
      </c>
      <c r="C5508" s="2" t="s">
        <v>569</v>
      </c>
      <c r="D5508" s="2" t="str">
        <f t="shared" si="85"/>
        <v>Error?</v>
      </c>
    </row>
    <row r="5509" spans="1:4" x14ac:dyDescent="0.2">
      <c r="A5509" s="5">
        <v>5448</v>
      </c>
      <c r="B5509" s="1890">
        <f>'Revenues 9-14'!E5</f>
        <v>122304</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122304</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31</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31</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172141</v>
      </c>
      <c r="C5526" s="2" t="s">
        <v>569</v>
      </c>
      <c r="D5526" s="2" t="str">
        <f t="shared" si="85"/>
        <v>Error?</v>
      </c>
    </row>
    <row r="5527" spans="1:4" x14ac:dyDescent="0.2">
      <c r="A5527" s="5">
        <v>5466</v>
      </c>
      <c r="B5527" s="1890">
        <f>'Revenues 9-14'!E109</f>
        <v>294476</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294476</v>
      </c>
      <c r="C5552" s="2" t="s">
        <v>569</v>
      </c>
      <c r="D5552" s="2" t="str">
        <f t="shared" si="85"/>
        <v>Error?</v>
      </c>
    </row>
    <row r="5553" spans="1:4" x14ac:dyDescent="0.2">
      <c r="A5553" s="5">
        <v>5492</v>
      </c>
      <c r="B5553" s="1890">
        <f>'Revenues 9-14'!F5</f>
        <v>163807</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163807</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4154</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4154</v>
      </c>
      <c r="C5582" s="2" t="s">
        <v>569</v>
      </c>
      <c r="D5582" s="2" t="str">
        <f t="shared" si="86"/>
        <v>Error?</v>
      </c>
    </row>
    <row r="5583" spans="1:4" x14ac:dyDescent="0.2">
      <c r="A5583" s="5">
        <v>5522</v>
      </c>
      <c r="B5583" s="1890">
        <f>'Revenues 9-14'!F96</f>
        <v>70543</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2307</v>
      </c>
      <c r="D5586" s="2" t="str">
        <f t="shared" si="86"/>
        <v>Error?</v>
      </c>
    </row>
    <row r="5587" spans="1:4" x14ac:dyDescent="0.2">
      <c r="A5587" s="5">
        <v>5526</v>
      </c>
      <c r="B5587" s="1890">
        <f>'Revenues 9-14'!F108</f>
        <v>72850</v>
      </c>
      <c r="C5587" s="2" t="s">
        <v>569</v>
      </c>
      <c r="D5587" s="2" t="str">
        <f t="shared" si="86"/>
        <v>Error?</v>
      </c>
    </row>
    <row r="5588" spans="1:4" x14ac:dyDescent="0.2">
      <c r="A5588" s="5">
        <v>5527</v>
      </c>
      <c r="B5588" s="1890">
        <f>'Revenues 9-14'!F109</f>
        <v>240811</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120927</v>
      </c>
      <c r="D5615" s="2" t="str">
        <f t="shared" si="86"/>
        <v>Error?</v>
      </c>
    </row>
    <row r="5616" spans="1:4" x14ac:dyDescent="0.2">
      <c r="A5616" s="10">
        <v>5555</v>
      </c>
      <c r="B5616" s="1890"/>
      <c r="D5616" s="2" t="str">
        <f t="shared" si="86"/>
        <v>OK</v>
      </c>
    </row>
    <row r="5617" spans="1:5" x14ac:dyDescent="0.2">
      <c r="A5617" s="5">
        <v>5556</v>
      </c>
      <c r="B5617" s="1890">
        <f>'Revenues 9-14'!F153</f>
        <v>23287</v>
      </c>
      <c r="D5617" s="2" t="str">
        <f t="shared" si="86"/>
        <v>Error?</v>
      </c>
    </row>
    <row r="5618" spans="1:5" x14ac:dyDescent="0.2">
      <c r="A5618" s="5">
        <v>5557</v>
      </c>
      <c r="B5618" s="1890">
        <f>'Revenues 9-14'!F155</f>
        <v>144214</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144214</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144214</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385025</v>
      </c>
      <c r="C5720" s="2" t="s">
        <v>569</v>
      </c>
      <c r="D5720" s="2" t="str">
        <f t="shared" si="88"/>
        <v>Error?</v>
      </c>
    </row>
    <row r="5721" spans="1:4" x14ac:dyDescent="0.2">
      <c r="A5721" s="5">
        <v>5660</v>
      </c>
      <c r="B5721" s="1890">
        <f>'Revenues 9-14'!G5</f>
        <v>114412</v>
      </c>
      <c r="D5721" s="2" t="str">
        <f t="shared" si="88"/>
        <v>Error?</v>
      </c>
    </row>
    <row r="5722" spans="1:4" x14ac:dyDescent="0.2">
      <c r="A5722" s="5">
        <v>5661</v>
      </c>
      <c r="B5722" s="1890">
        <f>'Revenues 9-14'!G7</f>
        <v>0</v>
      </c>
      <c r="D5722" s="2" t="str">
        <f t="shared" si="88"/>
        <v>Error?</v>
      </c>
    </row>
    <row r="5723" spans="1:4" x14ac:dyDescent="0.2">
      <c r="A5723" s="5">
        <v>5662</v>
      </c>
      <c r="B5723" s="1890">
        <f>'Revenues 9-14'!G8</f>
        <v>105835</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220247</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0</v>
      </c>
      <c r="C5730" s="2" t="s">
        <v>569</v>
      </c>
      <c r="D5730" s="2" t="str">
        <f t="shared" si="88"/>
        <v>Error?</v>
      </c>
    </row>
    <row r="5731" spans="1:4" x14ac:dyDescent="0.2">
      <c r="A5731" s="5">
        <v>5670</v>
      </c>
      <c r="B5731" s="1890">
        <f>'Revenues 9-14'!G65</f>
        <v>19</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19</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220266</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128</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128</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128</v>
      </c>
      <c r="C5915" s="2" t="s">
        <v>569</v>
      </c>
      <c r="D5915" s="2" t="str">
        <f t="shared" si="91"/>
        <v>Error?</v>
      </c>
    </row>
    <row r="5916" spans="1:4" x14ac:dyDescent="0.2">
      <c r="A5916" s="5">
        <v>5855</v>
      </c>
      <c r="B5916" s="1890">
        <f>'Revenues 9-14'!I5</f>
        <v>0</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0</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0</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0</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49056</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49056</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25754</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25754</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74810</v>
      </c>
      <c r="C6023" s="2" t="s">
        <v>569</v>
      </c>
      <c r="D6023" s="2" t="str">
        <f t="shared" si="93"/>
        <v>Error?</v>
      </c>
    </row>
    <row r="6024" spans="1:5" x14ac:dyDescent="0.2">
      <c r="A6024" s="5">
        <v>5963</v>
      </c>
      <c r="B6024" s="1890">
        <f>'Revenues 9-14'!G109</f>
        <v>220266</v>
      </c>
      <c r="C6024" s="2" t="s">
        <v>569</v>
      </c>
      <c r="D6024" s="2" t="str">
        <f t="shared" si="93"/>
        <v>Error?</v>
      </c>
    </row>
    <row r="6025" spans="1:5" x14ac:dyDescent="0.2">
      <c r="A6025" s="5">
        <v>5964</v>
      </c>
      <c r="B6025" s="1890">
        <f>'Revenues 9-14'!H109</f>
        <v>128</v>
      </c>
      <c r="C6025" s="2" t="s">
        <v>569</v>
      </c>
      <c r="D6025" s="2" t="str">
        <f t="shared" si="93"/>
        <v>Error?</v>
      </c>
    </row>
    <row r="6026" spans="1:5" x14ac:dyDescent="0.2">
      <c r="A6026" s="5">
        <v>5965</v>
      </c>
      <c r="B6026" s="1890">
        <f>'Revenues 9-14'!I109</f>
        <v>0</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74810</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73945</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6566</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300.60000000000002</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766</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81552</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64819</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14804</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14804</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-14038</v>
      </c>
      <c r="D6215" s="2" t="str">
        <f t="shared" si="96"/>
        <v>Error?</v>
      </c>
      <c r="E6215" s="2" t="s">
        <v>189</v>
      </c>
    </row>
    <row r="6216" spans="1:5" x14ac:dyDescent="0.2">
      <c r="A6216">
        <v>6155</v>
      </c>
      <c r="B6216" s="1890">
        <f>'Assets-Liab 5-6'!J41</f>
        <v>766</v>
      </c>
      <c r="D6216" s="2" t="str">
        <f t="shared" si="96"/>
        <v>Error?</v>
      </c>
      <c r="E6216" s="2" t="s">
        <v>189</v>
      </c>
    </row>
    <row r="6217" spans="1:5" x14ac:dyDescent="0.2">
      <c r="A6217">
        <v>6156</v>
      </c>
      <c r="B6217" s="1890">
        <f>'Assets-Liab 5-6'!J4</f>
        <v>0</v>
      </c>
      <c r="D6217" s="2" t="str">
        <f t="shared" si="96"/>
        <v>Error?</v>
      </c>
      <c r="E6217" s="2" t="s">
        <v>189</v>
      </c>
    </row>
    <row r="6218" spans="1:5" x14ac:dyDescent="0.2">
      <c r="A6218">
        <v>6157</v>
      </c>
      <c r="B6218" s="1890">
        <f>'Assets-Liab 5-6'!J5</f>
        <v>766</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75270</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75270</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75270</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73149</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73149</v>
      </c>
      <c r="D6229" s="2" t="str">
        <f t="shared" si="96"/>
        <v>Error?</v>
      </c>
      <c r="E6229" s="2" t="s">
        <v>189</v>
      </c>
    </row>
    <row r="6230" spans="1:5" x14ac:dyDescent="0.2">
      <c r="A6230">
        <v>6169</v>
      </c>
      <c r="B6230" s="1890">
        <f>'Acct Summary 7-8'!J20</f>
        <v>2121</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2121</v>
      </c>
      <c r="D6263" s="2" t="str">
        <f t="shared" si="96"/>
        <v>Error?</v>
      </c>
      <c r="E6263" s="2" t="s">
        <v>189</v>
      </c>
    </row>
    <row r="6264" spans="1:5" x14ac:dyDescent="0.2">
      <c r="A6264">
        <v>6203</v>
      </c>
      <c r="B6264" s="1890">
        <f>'Acct Summary 7-8'!J79</f>
        <v>-16159</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-14038</v>
      </c>
      <c r="D6266" s="2" t="str">
        <f t="shared" si="96"/>
        <v>Error?</v>
      </c>
      <c r="E6266" s="2" t="s">
        <v>189</v>
      </c>
    </row>
    <row r="6267" spans="1:5" x14ac:dyDescent="0.2">
      <c r="A6267">
        <v>6206</v>
      </c>
      <c r="B6267" s="1890">
        <f>'Acct Summary 7-8'!C82</f>
        <v>54358</v>
      </c>
      <c r="D6267" s="2" t="str">
        <f t="shared" si="96"/>
        <v>Error?</v>
      </c>
      <c r="E6267" s="2" t="s">
        <v>189</v>
      </c>
    </row>
    <row r="6268" spans="1:5" x14ac:dyDescent="0.2">
      <c r="A6268">
        <v>6207</v>
      </c>
      <c r="B6268" s="1890">
        <f>'Acct Summary 7-8'!D82</f>
        <v>49090</v>
      </c>
      <c r="D6268" s="2" t="str">
        <f t="shared" si="96"/>
        <v>Error?</v>
      </c>
      <c r="E6268" s="2" t="s">
        <v>189</v>
      </c>
    </row>
    <row r="6269" spans="1:5" x14ac:dyDescent="0.2">
      <c r="A6269">
        <v>6208</v>
      </c>
      <c r="B6269" s="1890">
        <f>'Acct Summary 7-8'!E82</f>
        <v>161348</v>
      </c>
      <c r="D6269" s="2" t="str">
        <f t="shared" si="96"/>
        <v>Error?</v>
      </c>
      <c r="E6269" s="2" t="s">
        <v>189</v>
      </c>
    </row>
    <row r="6270" spans="1:5" x14ac:dyDescent="0.2">
      <c r="A6270">
        <v>6209</v>
      </c>
      <c r="B6270" s="1890">
        <f>'Acct Summary 7-8'!F82</f>
        <v>36898</v>
      </c>
      <c r="D6270" s="2" t="str">
        <f t="shared" si="96"/>
        <v>Error?</v>
      </c>
      <c r="E6270" s="2" t="s">
        <v>189</v>
      </c>
    </row>
    <row r="6271" spans="1:5" x14ac:dyDescent="0.2">
      <c r="A6271">
        <v>6210</v>
      </c>
      <c r="B6271" s="1890">
        <f>'Acct Summary 7-8'!G82</f>
        <v>23293</v>
      </c>
      <c r="D6271" s="2" t="str">
        <f t="shared" ref="D6271:D6334" si="97">IF(ISBLANK(B6271),"OK",IF(A6271-B6271=0,"OK","Error?"))</f>
        <v>Error?</v>
      </c>
      <c r="E6271" s="2" t="s">
        <v>189</v>
      </c>
    </row>
    <row r="6272" spans="1:5" x14ac:dyDescent="0.2">
      <c r="A6272">
        <v>6211</v>
      </c>
      <c r="B6272" s="1890">
        <f>'Acct Summary 7-8'!H82</f>
        <v>51673</v>
      </c>
      <c r="D6272" s="2" t="str">
        <f t="shared" si="97"/>
        <v>Error?</v>
      </c>
      <c r="E6272" s="2" t="s">
        <v>189</v>
      </c>
    </row>
    <row r="6273" spans="1:5" x14ac:dyDescent="0.2">
      <c r="A6273">
        <v>6212</v>
      </c>
      <c r="B6273" s="1890">
        <f>'Acct Summary 7-8'!I82</f>
        <v>0</v>
      </c>
      <c r="D6273" s="2" t="str">
        <f t="shared" si="97"/>
        <v>Error?</v>
      </c>
      <c r="E6273" s="2" t="s">
        <v>189</v>
      </c>
    </row>
    <row r="6274" spans="1:5" x14ac:dyDescent="0.2">
      <c r="A6274">
        <v>6213</v>
      </c>
      <c r="B6274" s="1890">
        <f>'Acct Summary 7-8'!J82</f>
        <v>2121</v>
      </c>
      <c r="D6274" s="2" t="str">
        <f t="shared" si="97"/>
        <v>Error?</v>
      </c>
      <c r="E6274" s="2" t="s">
        <v>189</v>
      </c>
    </row>
    <row r="6275" spans="1:5" x14ac:dyDescent="0.2">
      <c r="A6275">
        <v>6214</v>
      </c>
      <c r="B6275" s="1890">
        <f>'Acct Summary 7-8'!K82</f>
        <v>1579283</v>
      </c>
      <c r="D6275" s="2" t="str">
        <f t="shared" si="97"/>
        <v>Error?</v>
      </c>
      <c r="E6275" s="2" t="s">
        <v>189</v>
      </c>
    </row>
    <row r="6276" spans="1:5" x14ac:dyDescent="0.2">
      <c r="A6276">
        <v>6215</v>
      </c>
      <c r="B6276" s="1890">
        <f>'Acct Summary 7-8'!C83</f>
        <v>5.173030730988698E-2</v>
      </c>
      <c r="D6276" s="2" t="str">
        <f t="shared" si="97"/>
        <v>Error?</v>
      </c>
      <c r="E6276" s="2" t="s">
        <v>189</v>
      </c>
    </row>
    <row r="6277" spans="1:5" x14ac:dyDescent="0.2">
      <c r="A6277">
        <v>6216</v>
      </c>
      <c r="B6277" s="1890">
        <f>'Acct Summary 7-8'!D83</f>
        <v>0.24143612443132914</v>
      </c>
      <c r="D6277" s="2" t="str">
        <f t="shared" si="97"/>
        <v>Error?</v>
      </c>
      <c r="E6277" s="2" t="s">
        <v>189</v>
      </c>
    </row>
    <row r="6278" spans="1:5" x14ac:dyDescent="0.2">
      <c r="A6278">
        <v>6217</v>
      </c>
      <c r="B6278" s="1890">
        <f>'Acct Summary 7-8'!E83</f>
        <v>0.96076504879806113</v>
      </c>
      <c r="D6278" s="2" t="str">
        <f t="shared" si="97"/>
        <v>Error?</v>
      </c>
      <c r="E6278" s="2" t="s">
        <v>189</v>
      </c>
    </row>
    <row r="6279" spans="1:5" x14ac:dyDescent="0.2">
      <c r="A6279">
        <v>6218</v>
      </c>
      <c r="B6279" s="1890">
        <f>'Acct Summary 7-8'!F83</f>
        <v>0.10296838503891523</v>
      </c>
      <c r="D6279" s="2" t="str">
        <f t="shared" si="97"/>
        <v>Error?</v>
      </c>
      <c r="E6279" s="2" t="s">
        <v>189</v>
      </c>
    </row>
    <row r="6280" spans="1:5" x14ac:dyDescent="0.2">
      <c r="A6280">
        <v>6219</v>
      </c>
      <c r="B6280" s="1890">
        <f>'Acct Summary 7-8'!G83</f>
        <v>-0.35935451025162374</v>
      </c>
      <c r="D6280" s="2" t="str">
        <f t="shared" si="97"/>
        <v>Error?</v>
      </c>
      <c r="E6280" s="2" t="s">
        <v>189</v>
      </c>
    </row>
    <row r="6281" spans="1:5" x14ac:dyDescent="0.2">
      <c r="A6281">
        <v>6220</v>
      </c>
      <c r="B6281" s="1890">
        <f>'Acct Summary 7-8'!H83</f>
        <v>0.83588922320359771</v>
      </c>
      <c r="D6281" s="2" t="str">
        <f t="shared" si="97"/>
        <v>Error?</v>
      </c>
      <c r="E6281" s="2" t="s">
        <v>189</v>
      </c>
    </row>
    <row r="6282" spans="1:5" x14ac:dyDescent="0.2">
      <c r="A6282">
        <v>6221</v>
      </c>
      <c r="B6282" s="1890" t="e">
        <f>'Acct Summary 7-8'!I83</f>
        <v>#DIV/0!</v>
      </c>
      <c r="D6282" s="2" t="e">
        <f t="shared" si="97"/>
        <v>#DIV/0!</v>
      </c>
      <c r="E6282" s="2" t="s">
        <v>189</v>
      </c>
    </row>
    <row r="6283" spans="1:5" x14ac:dyDescent="0.2">
      <c r="A6283">
        <v>6222</v>
      </c>
      <c r="B6283" s="1890">
        <f>'Acct Summary 7-8'!J83</f>
        <v>-0.15108989884598945</v>
      </c>
      <c r="D6283" s="2" t="str">
        <f t="shared" si="97"/>
        <v>Error?</v>
      </c>
      <c r="E6283" s="2" t="s">
        <v>189</v>
      </c>
    </row>
    <row r="6284" spans="1:5" x14ac:dyDescent="0.2">
      <c r="A6284">
        <v>6223</v>
      </c>
      <c r="B6284" s="1890">
        <f>'Acct Summary 7-8'!K83</f>
        <v>0.97121918130870322</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75205</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75205</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65</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65</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75270</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14754</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101383</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121040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36332</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5700</v>
      </c>
      <c r="D6987" s="2" t="str">
        <f t="shared" si="108"/>
        <v>Error?</v>
      </c>
    </row>
    <row r="6988" spans="1:4" x14ac:dyDescent="0.2">
      <c r="A6988">
        <v>6927</v>
      </c>
      <c r="B6988" s="1890">
        <f>'Expenditures 15-22'!K88</f>
        <v>5700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5700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73149</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75270</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6325</v>
      </c>
      <c r="D7073" s="2" t="str">
        <f t="shared" si="109"/>
        <v>Error?</v>
      </c>
    </row>
    <row r="7074" spans="1:4" x14ac:dyDescent="0.2">
      <c r="A7074">
        <v>7013</v>
      </c>
      <c r="B7074" s="1890">
        <f>'Expenditures 15-22'!K216</f>
        <v>6325</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427</v>
      </c>
      <c r="D7079" s="2" t="str">
        <f t="shared" si="109"/>
        <v>Error?</v>
      </c>
    </row>
    <row r="7080" spans="1:4" x14ac:dyDescent="0.2">
      <c r="A7080">
        <v>7019</v>
      </c>
      <c r="B7080" s="1890">
        <f>'Expenditures 15-22'!K226</f>
        <v>427</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36431</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36431</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28399</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28399</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4925</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4925</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3394</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3394</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73149</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73149</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73149</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73149</v>
      </c>
      <c r="D7224" s="2" t="str">
        <f t="shared" si="111"/>
        <v>Error?</v>
      </c>
    </row>
    <row r="7225" spans="1:4" x14ac:dyDescent="0.2">
      <c r="A7225">
        <v>7164</v>
      </c>
      <c r="B7225" s="1890">
        <f>'Expenditures 15-22'!K343</f>
        <v>2121</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16492</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3165</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29435</v>
      </c>
      <c r="D7263" s="2" t="str">
        <f t="shared" si="112"/>
        <v>Error?</v>
      </c>
    </row>
    <row r="7264" spans="1:4" x14ac:dyDescent="0.2">
      <c r="A7264">
        <f t="shared" si="113"/>
        <v>7203</v>
      </c>
      <c r="B7264" s="1890">
        <f>'Expenditures 15-22'!D17</f>
        <v>2161</v>
      </c>
      <c r="D7264" s="2" t="str">
        <f t="shared" si="112"/>
        <v>Error?</v>
      </c>
    </row>
    <row r="7265" spans="1:5" x14ac:dyDescent="0.2">
      <c r="A7265">
        <f t="shared" si="113"/>
        <v>7204</v>
      </c>
      <c r="B7265" s="1890">
        <f>'Expenditures 15-22'!E17</f>
        <v>4555</v>
      </c>
      <c r="D7265" s="2" t="str">
        <f t="shared" si="112"/>
        <v>Error?</v>
      </c>
    </row>
    <row r="7266" spans="1:5" x14ac:dyDescent="0.2">
      <c r="A7266">
        <f t="shared" si="113"/>
        <v>7205</v>
      </c>
      <c r="B7266" s="1890">
        <f>'Expenditures 15-22'!F17</f>
        <v>181</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181040</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2845</v>
      </c>
      <c r="D7712" s="2" t="str">
        <f t="shared" si="126"/>
        <v>Error?</v>
      </c>
      <c r="E7712" s="2" t="s">
        <v>822</v>
      </c>
    </row>
    <row r="7713" spans="1:6" x14ac:dyDescent="0.2">
      <c r="A7713">
        <v>7652</v>
      </c>
      <c r="B7713" s="1890">
        <f>'Rest Tax Levies-Tort Im 25'!J8</f>
        <v>172141</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172141</v>
      </c>
      <c r="D7718" s="2" t="str">
        <f t="shared" si="126"/>
        <v>Error?</v>
      </c>
      <c r="E7718" s="2" t="s">
        <v>822</v>
      </c>
    </row>
    <row r="7719" spans="1:6" x14ac:dyDescent="0.2">
      <c r="A7719">
        <v>7658</v>
      </c>
      <c r="B7719" s="1890">
        <f>'Rest Tax Levies-Tort Im 25'!K12</f>
        <v>2845</v>
      </c>
      <c r="D7719" s="2" t="str">
        <f t="shared" si="126"/>
        <v>Error?</v>
      </c>
      <c r="E7719" s="2" t="s">
        <v>822</v>
      </c>
    </row>
    <row r="7720" spans="1:6" x14ac:dyDescent="0.2">
      <c r="A7720">
        <v>7659</v>
      </c>
      <c r="B7720" s="1890">
        <f>'Rest Tax Levies-Tort Im 25'!H14</f>
        <v>224031</v>
      </c>
      <c r="D7720" s="2" t="str">
        <f t="shared" si="126"/>
        <v>Error?</v>
      </c>
      <c r="E7720" s="2" t="s">
        <v>822</v>
      </c>
    </row>
    <row r="7721" spans="1:6" x14ac:dyDescent="0.2">
      <c r="A7721">
        <v>7660</v>
      </c>
      <c r="B7721" s="1890">
        <f>'Rest Tax Levies-Tort Im 25'!K14</f>
        <v>36332</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32128</v>
      </c>
      <c r="D7724" s="2" t="str">
        <f t="shared" si="126"/>
        <v>Error?</v>
      </c>
      <c r="E7724" s="2" t="s">
        <v>822</v>
      </c>
      <c r="F7724" s="2"/>
    </row>
    <row r="7725" spans="1:6" x14ac:dyDescent="0.2">
      <c r="A7725">
        <v>7664</v>
      </c>
      <c r="B7725" s="1890">
        <f>'Rest Tax Levies-Tort Im 25'!J19</f>
        <v>100000</v>
      </c>
      <c r="D7725" s="2" t="str">
        <f t="shared" si="126"/>
        <v>Error?</v>
      </c>
      <c r="E7725" s="2" t="s">
        <v>822</v>
      </c>
    </row>
    <row r="7726" spans="1:6" x14ac:dyDescent="0.2">
      <c r="A7726">
        <v>7665</v>
      </c>
      <c r="B7726" s="1890">
        <f>'Rest Tax Levies-Tort Im 25'!J20</f>
        <v>1000</v>
      </c>
      <c r="D7726" s="2" t="str">
        <f t="shared" si="126"/>
        <v>Error?</v>
      </c>
      <c r="E7726" s="2" t="s">
        <v>822</v>
      </c>
    </row>
    <row r="7727" spans="1:6" x14ac:dyDescent="0.2">
      <c r="A7727">
        <v>7666</v>
      </c>
      <c r="B7727" s="1890">
        <f>'Rest Tax Levies-Tort Im 25'!J21</f>
        <v>133128</v>
      </c>
      <c r="D7727" s="2" t="str">
        <f t="shared" si="126"/>
        <v>Error?</v>
      </c>
      <c r="E7727" s="2" t="s">
        <v>822</v>
      </c>
    </row>
    <row r="7728" spans="1:6" x14ac:dyDescent="0.2">
      <c r="A7728">
        <v>7667</v>
      </c>
      <c r="B7728" s="1890">
        <f>'Revenues 9-14'!E103</f>
        <v>172141</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133128</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39013</v>
      </c>
      <c r="D7732" s="2" t="str">
        <f t="shared" si="126"/>
        <v>Error?</v>
      </c>
      <c r="E7732" s="2" t="s">
        <v>822</v>
      </c>
    </row>
    <row r="7733" spans="1:6" x14ac:dyDescent="0.2">
      <c r="A7733">
        <v>7672</v>
      </c>
      <c r="B7733" s="1890">
        <f>'Rest Tax Levies-Tort Im 25'!K24</f>
        <v>-33487</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-27912</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-157734</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39013</v>
      </c>
      <c r="D7742" s="2" t="str">
        <f t="shared" si="126"/>
        <v>Error?</v>
      </c>
      <c r="E7742" s="2" t="s">
        <v>822</v>
      </c>
    </row>
    <row r="7743" spans="1:6" x14ac:dyDescent="0.2">
      <c r="A7743">
        <v>7682</v>
      </c>
      <c r="B7743" s="1890">
        <f>'Rest Tax Levies-Tort Im 25'!K26</f>
        <v>-33487</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f>'Expenditures 15-22'!D282</f>
        <v>0</v>
      </c>
      <c r="D7783" s="2" t="str">
        <f t="shared" si="127"/>
        <v>Error?</v>
      </c>
      <c r="E7783" s="4" t="s">
        <v>1829</v>
      </c>
    </row>
    <row r="7784" spans="1:5" x14ac:dyDescent="0.2">
      <c r="A7784">
        <v>7723</v>
      </c>
      <c r="B7784" s="1890">
        <f>'Expenditures 15-22'!K282</f>
        <v>0</v>
      </c>
      <c r="D7784" s="2" t="str">
        <f t="shared" si="127"/>
        <v>Error?</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36332</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3445572</v>
      </c>
      <c r="D7817" s="2" t="str">
        <f t="shared" si="128"/>
        <v>Error?</v>
      </c>
      <c r="E7817" s="4" t="s">
        <v>1969</v>
      </c>
    </row>
    <row r="7818" spans="1:5" x14ac:dyDescent="0.2">
      <c r="A7818">
        <v>7757</v>
      </c>
      <c r="B7818" s="1890">
        <f>'PCTC-OEPP 27-28'!F172</f>
        <v>56999.3</v>
      </c>
      <c r="D7818" s="2" t="str">
        <f t="shared" si="128"/>
        <v>Error?</v>
      </c>
      <c r="E7818" s="4" t="s">
        <v>1983</v>
      </c>
    </row>
    <row r="7819" spans="1:5" x14ac:dyDescent="0.2">
      <c r="A7819">
        <v>7758</v>
      </c>
      <c r="B7819" s="1890">
        <f>'PCTC-OEPP 27-28'!F173</f>
        <v>0</v>
      </c>
      <c r="D7819" s="2" t="str">
        <f t="shared" si="128"/>
        <v>Error?</v>
      </c>
      <c r="E7819" s="4" t="s">
        <v>1983</v>
      </c>
    </row>
    <row r="7820" spans="1:5" x14ac:dyDescent="0.2">
      <c r="A7820">
        <v>7759</v>
      </c>
      <c r="B7820" s="1890">
        <f>'ICR Computation 30'!E40</f>
        <v>0</v>
      </c>
      <c r="D7820" s="2" t="str">
        <f t="shared" si="128"/>
        <v>Error?</v>
      </c>
    </row>
    <row r="7821" spans="1:5" x14ac:dyDescent="0.2">
      <c r="A7821">
        <v>7760</v>
      </c>
      <c r="B7821" s="1890">
        <f>'ICR Computation 30'!G40</f>
        <v>0</v>
      </c>
      <c r="D7821" s="2" t="str">
        <f t="shared" si="128"/>
        <v>Error?</v>
      </c>
    </row>
    <row r="7822" spans="1:5" x14ac:dyDescent="0.2">
      <c r="A7822" s="1">
        <v>7761</v>
      </c>
      <c r="B7822" s="1890">
        <f>'PCTC-OEPP 27-28'!F14</f>
        <v>4938904</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121040</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0</v>
      </c>
      <c r="D7830" s="2" t="str">
        <f t="shared" si="129"/>
        <v>Error?</v>
      </c>
      <c r="E7830" s="4" t="s">
        <v>2001</v>
      </c>
    </row>
    <row r="7831" spans="1:5" x14ac:dyDescent="0.2">
      <c r="A7831">
        <v>7770</v>
      </c>
      <c r="B7831" s="1890">
        <f>'PCTC-OEPP 27-28'!F52</f>
        <v>0</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566887</v>
      </c>
      <c r="D7834" s="2" t="str">
        <f t="shared" si="129"/>
        <v>Error?</v>
      </c>
      <c r="E7834" s="4" t="s">
        <v>2001</v>
      </c>
    </row>
    <row r="7835" spans="1:5" x14ac:dyDescent="0.2">
      <c r="A7835">
        <v>7774</v>
      </c>
      <c r="B7835" s="1890">
        <f>'PCTC-OEPP 27-28'!F78</f>
        <v>4372017</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f>'PCTC-OEPP 27-28'!F80</f>
        <v>14544.301397205587</v>
      </c>
      <c r="D7837" s="2" t="str">
        <f t="shared" si="129"/>
        <v>Error?</v>
      </c>
      <c r="E7837" s="4" t="s">
        <v>2001</v>
      </c>
    </row>
    <row r="7838" spans="1:5" x14ac:dyDescent="0.2">
      <c r="A7838">
        <v>7777</v>
      </c>
      <c r="B7838" s="1890">
        <f>'PCTC-OEPP 27-28'!F96</f>
        <v>16926</v>
      </c>
      <c r="D7838" s="2" t="str">
        <f t="shared" si="129"/>
        <v>Error?</v>
      </c>
      <c r="E7838" s="4" t="s">
        <v>2001</v>
      </c>
    </row>
    <row r="7839" spans="1:5" x14ac:dyDescent="0.2">
      <c r="A7839">
        <v>7778</v>
      </c>
      <c r="B7839" s="1890">
        <f>'PCTC-OEPP 27-28'!F102</f>
        <v>0</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0</v>
      </c>
      <c r="D7841" s="2" t="str">
        <f t="shared" si="129"/>
        <v>Error?</v>
      </c>
      <c r="E7841" s="4" t="s">
        <v>2001</v>
      </c>
    </row>
    <row r="7842" spans="1:5" x14ac:dyDescent="0.2">
      <c r="A7842">
        <v>7781</v>
      </c>
      <c r="B7842" s="1890">
        <f>'PCTC-OEPP 27-28'!F106</f>
        <v>0</v>
      </c>
      <c r="D7842" s="2" t="str">
        <f t="shared" si="129"/>
        <v>Error?</v>
      </c>
      <c r="E7842" s="4" t="s">
        <v>2001</v>
      </c>
    </row>
    <row r="7843" spans="1:5" x14ac:dyDescent="0.2">
      <c r="A7843">
        <v>7782</v>
      </c>
      <c r="B7843" s="1890">
        <f>'PCTC-OEPP 27-28'!F107</f>
        <v>14754</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2846</v>
      </c>
      <c r="D7846" s="2" t="str">
        <f t="shared" si="129"/>
        <v>Error?</v>
      </c>
      <c r="E7846" s="4" t="s">
        <v>2001</v>
      </c>
    </row>
    <row r="7847" spans="1:5" x14ac:dyDescent="0.2">
      <c r="A7847">
        <v>7786</v>
      </c>
      <c r="B7847" s="1890">
        <f>'PCTC-OEPP 27-28'!F112</f>
        <v>144214</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0</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0</v>
      </c>
      <c r="D7857" s="2" t="str">
        <f t="shared" si="129"/>
        <v>Error?</v>
      </c>
      <c r="E7857" s="4" t="s">
        <v>2001</v>
      </c>
    </row>
    <row r="7858" spans="1:5" x14ac:dyDescent="0.2">
      <c r="A7858">
        <v>7797</v>
      </c>
      <c r="B7858" s="1890">
        <f>'PCTC-OEPP 27-28'!F126</f>
        <v>75460</v>
      </c>
      <c r="D7858" s="2" t="str">
        <f t="shared" si="129"/>
        <v>Error?</v>
      </c>
      <c r="E7858" s="4" t="s">
        <v>2001</v>
      </c>
    </row>
    <row r="7859" spans="1:5" x14ac:dyDescent="0.2">
      <c r="A7859">
        <v>7798</v>
      </c>
      <c r="B7859" s="1890">
        <f>'PCTC-OEPP 27-28'!F127</f>
        <v>11855</v>
      </c>
      <c r="D7859" s="2" t="str">
        <f t="shared" si="129"/>
        <v>Error?</v>
      </c>
      <c r="E7859" s="4" t="s">
        <v>2001</v>
      </c>
    </row>
    <row r="7860" spans="1:5" x14ac:dyDescent="0.2">
      <c r="A7860">
        <v>7799</v>
      </c>
      <c r="B7860" s="1890">
        <f>'PCTC-OEPP 27-28'!F128</f>
        <v>0</v>
      </c>
      <c r="D7860" s="2" t="str">
        <f t="shared" si="129"/>
        <v>Error?</v>
      </c>
      <c r="E7860" s="4" t="s">
        <v>2001</v>
      </c>
    </row>
    <row r="7861" spans="1:5" x14ac:dyDescent="0.2">
      <c r="A7861">
        <v>7800</v>
      </c>
      <c r="B7861" s="1890">
        <f>'PCTC-OEPP 27-28'!F129</f>
        <v>0</v>
      </c>
      <c r="D7861" s="2" t="str">
        <f t="shared" si="129"/>
        <v>Error?</v>
      </c>
      <c r="E7861" s="4" t="s">
        <v>2001</v>
      </c>
    </row>
    <row r="7862" spans="1:5" x14ac:dyDescent="0.2">
      <c r="A7862">
        <v>7801</v>
      </c>
      <c r="B7862" s="1890">
        <f>'PCTC-OEPP 27-28'!F130</f>
        <v>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3464</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0</v>
      </c>
      <c r="D7874" s="2" t="str">
        <f t="shared" si="129"/>
        <v>Error?</v>
      </c>
      <c r="E7874" s="4" t="s">
        <v>2001</v>
      </c>
    </row>
    <row r="7875" spans="1:5" x14ac:dyDescent="0.2">
      <c r="A7875">
        <v>7814</v>
      </c>
      <c r="B7875" s="1890">
        <f>'PCTC-OEPP 27-28'!F170</f>
        <v>0</v>
      </c>
      <c r="D7875" s="2" t="str">
        <f t="shared" si="129"/>
        <v>Error?</v>
      </c>
      <c r="E7875" s="4" t="s">
        <v>2001</v>
      </c>
    </row>
    <row r="7876" spans="1:5" x14ac:dyDescent="0.2">
      <c r="A7876">
        <v>7815</v>
      </c>
      <c r="B7876" s="1890">
        <f>'PCTC-OEPP 27-28'!F171</f>
        <v>21664</v>
      </c>
      <c r="D7876" s="2" t="str">
        <f t="shared" si="129"/>
        <v>Error?</v>
      </c>
      <c r="E7876" s="4" t="s">
        <v>2001</v>
      </c>
    </row>
    <row r="7877" spans="1:5" x14ac:dyDescent="0.2">
      <c r="A7877">
        <v>7816</v>
      </c>
      <c r="B7877" s="1890">
        <f>'PCTC-OEPP 27-28'!F175</f>
        <v>479625.3</v>
      </c>
      <c r="D7877" s="2" t="str">
        <f t="shared" si="129"/>
        <v>Error?</v>
      </c>
      <c r="E7877" s="4" t="s">
        <v>2001</v>
      </c>
    </row>
    <row r="7878" spans="1:5" x14ac:dyDescent="0.2">
      <c r="A7878">
        <v>7817</v>
      </c>
      <c r="B7878" s="1890">
        <f>'PCTC-OEPP 27-28'!F176</f>
        <v>3892391.7</v>
      </c>
      <c r="D7878" s="2" t="str">
        <f t="shared" si="129"/>
        <v>Error?</v>
      </c>
      <c r="E7878" s="4" t="s">
        <v>2001</v>
      </c>
    </row>
    <row r="7879" spans="1:5" x14ac:dyDescent="0.2">
      <c r="A7879">
        <v>7818</v>
      </c>
      <c r="B7879" s="1890">
        <f>'PCTC-OEPP 27-28'!F178</f>
        <v>4073431.7</v>
      </c>
      <c r="D7879" s="2" t="str">
        <f t="shared" si="129"/>
        <v>Error?</v>
      </c>
      <c r="E7879" s="4" t="s">
        <v>2001</v>
      </c>
    </row>
    <row r="7880" spans="1:5" x14ac:dyDescent="0.2">
      <c r="A7880">
        <v>7819</v>
      </c>
      <c r="B7880" s="1890">
        <f>'PCTC-OEPP 27-28'!F180</f>
        <v>13551.003659347971</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CFFCC"/>
    <pageSetUpPr fitToPage="1"/>
  </sheetPr>
  <dimension ref="A1:AC59"/>
  <sheetViews>
    <sheetView showGridLines="0" showZeros="0" topLeftCell="A10" zoomScale="110" zoomScaleNormal="110" workbookViewId="0">
      <selection activeCell="I21" sqref="I21"/>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14" t="s">
        <v>1183</v>
      </c>
      <c r="B2" s="2614"/>
      <c r="C2" s="2614"/>
      <c r="D2" s="2614"/>
      <c r="E2" s="2614"/>
      <c r="F2" s="2614"/>
      <c r="G2" s="2614"/>
      <c r="H2" s="2614"/>
      <c r="I2" s="2614"/>
      <c r="J2" s="2614"/>
      <c r="K2" s="2614"/>
      <c r="L2" s="2614"/>
    </row>
    <row r="3" spans="1:29" ht="13.5" customHeight="1" x14ac:dyDescent="0.2">
      <c r="A3" s="2646" t="s">
        <v>1182</v>
      </c>
      <c r="B3" s="2646"/>
      <c r="C3" s="2646"/>
      <c r="D3" s="2646"/>
      <c r="E3" s="2646"/>
      <c r="F3" s="2646"/>
      <c r="G3" s="2646"/>
      <c r="H3" s="2646"/>
      <c r="I3" s="2646"/>
      <c r="J3" s="2646"/>
      <c r="K3" s="2646"/>
      <c r="L3" s="2646"/>
    </row>
    <row r="4" spans="1:29" ht="13.5" customHeight="1" x14ac:dyDescent="0.2">
      <c r="A4" s="2635" t="str">
        <f>"Year Ending June 30, "&amp;'AFR20'!E2</f>
        <v>Year Ending June 30, 2020</v>
      </c>
      <c r="B4" s="2636"/>
      <c r="C4" s="2636"/>
      <c r="D4" s="2636"/>
      <c r="E4" s="2636"/>
      <c r="F4" s="2636"/>
      <c r="G4" s="2636"/>
      <c r="H4" s="2636"/>
      <c r="I4" s="2636"/>
      <c r="J4" s="2636"/>
      <c r="K4" s="2636"/>
      <c r="L4" s="2636"/>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37" t="str">
        <f>COVER!A17</f>
        <v xml:space="preserve">   Williamsfield CUSD 210</v>
      </c>
      <c r="B7" s="2638"/>
      <c r="C7" s="2638"/>
      <c r="D7" s="2639"/>
      <c r="E7" s="2640">
        <f>COVER!A13</f>
        <v>33048210026</v>
      </c>
      <c r="F7" s="2641"/>
      <c r="G7" s="2647" t="str">
        <f>COVER!T23</f>
        <v>065-024137</v>
      </c>
      <c r="H7" s="2648"/>
      <c r="I7" s="2648"/>
      <c r="J7" s="2648"/>
      <c r="K7" s="2648"/>
      <c r="L7" s="2649"/>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50"/>
      <c r="B9" s="2651"/>
      <c r="C9" s="2651"/>
      <c r="D9" s="2651"/>
      <c r="E9" s="2651"/>
      <c r="F9" s="2652"/>
      <c r="G9" s="2620" t="str">
        <f>COVER!T13</f>
        <v>BLUCKER, KNEER &amp; ASSOCIATES, LTD.</v>
      </c>
      <c r="H9" s="2653"/>
      <c r="I9" s="2653"/>
      <c r="J9" s="2653"/>
      <c r="K9" s="2653"/>
      <c r="L9" s="2654"/>
    </row>
    <row r="10" spans="1:29" ht="13.5" customHeight="1" x14ac:dyDescent="0.2">
      <c r="A10" s="2626" t="str">
        <f>COVER!A38</f>
        <v>TIM FARQUER</v>
      </c>
      <c r="B10" s="2627"/>
      <c r="C10" s="2627"/>
      <c r="D10" s="2627"/>
      <c r="E10" s="2627"/>
      <c r="F10" s="2628"/>
      <c r="G10" s="2620" t="str">
        <f>COVER!T17</f>
        <v>P.O. BOX 1464</v>
      </c>
      <c r="H10" s="2621"/>
      <c r="I10" s="2621"/>
      <c r="J10" s="2621"/>
      <c r="K10" s="2621"/>
      <c r="L10" s="2622"/>
    </row>
    <row r="11" spans="1:29" ht="13.5" customHeight="1" x14ac:dyDescent="0.2">
      <c r="A11" s="1008" t="s">
        <v>1505</v>
      </c>
      <c r="B11" s="1009"/>
      <c r="C11" s="1010"/>
      <c r="D11" s="1015"/>
      <c r="E11" s="1010"/>
      <c r="F11" s="1014"/>
      <c r="G11" s="2620" t="str">
        <f>COVER!T19</f>
        <v>GALESBURG</v>
      </c>
      <c r="H11" s="2621"/>
      <c r="I11" s="2621"/>
      <c r="J11" s="2621"/>
      <c r="K11" s="2621"/>
      <c r="L11" s="2622"/>
    </row>
    <row r="12" spans="1:29" ht="13.5" customHeight="1" x14ac:dyDescent="0.2">
      <c r="A12" s="2629" t="s">
        <v>1504</v>
      </c>
      <c r="B12" s="2630"/>
      <c r="C12" s="2630"/>
      <c r="D12" s="2630"/>
      <c r="E12" s="2630"/>
      <c r="F12" s="2631"/>
      <c r="G12" s="2623"/>
      <c r="H12" s="2624"/>
      <c r="I12" s="2624"/>
      <c r="J12" s="2624"/>
      <c r="K12" s="2624"/>
      <c r="L12" s="2625"/>
    </row>
    <row r="13" spans="1:29" ht="13.5" customHeight="1" x14ac:dyDescent="0.2">
      <c r="A13" s="2620"/>
      <c r="B13" s="2621"/>
      <c r="C13" s="2621"/>
      <c r="D13" s="2621"/>
      <c r="E13" s="2621"/>
      <c r="F13" s="2622"/>
      <c r="G13" s="2615" t="s">
        <v>1506</v>
      </c>
      <c r="H13" s="2616"/>
      <c r="I13" s="2632" t="str">
        <f>COVER!T25</f>
        <v>teresabka@gmail.com</v>
      </c>
      <c r="J13" s="2633"/>
      <c r="K13" s="2633"/>
      <c r="L13" s="2634"/>
    </row>
    <row r="14" spans="1:29" ht="13.5" customHeight="1" x14ac:dyDescent="0.2">
      <c r="A14" s="2620" t="str">
        <f>COVER!A19</f>
        <v>325 WEST KENTUCKY</v>
      </c>
      <c r="B14" s="2621"/>
      <c r="C14" s="2621"/>
      <c r="D14" s="2621"/>
      <c r="E14" s="2621"/>
      <c r="F14" s="2622"/>
      <c r="G14" s="1019" t="s">
        <v>1177</v>
      </c>
      <c r="H14" s="1017"/>
      <c r="I14" s="1017"/>
      <c r="J14" s="1017"/>
      <c r="K14" s="1017"/>
      <c r="L14" s="1018"/>
    </row>
    <row r="15" spans="1:29" ht="13.5" customHeight="1" x14ac:dyDescent="0.2">
      <c r="A15" s="2620" t="str">
        <f>COVER!A21</f>
        <v>WILLIAMSFIELD, ILLINOIS</v>
      </c>
      <c r="B15" s="2621"/>
      <c r="C15" s="2621"/>
      <c r="D15" s="2621"/>
      <c r="E15" s="2621"/>
      <c r="F15" s="2622"/>
      <c r="G15" s="2617" t="str">
        <f>COVER!T15</f>
        <v>TERESA A. WELCH</v>
      </c>
      <c r="H15" s="2618"/>
      <c r="I15" s="2618"/>
      <c r="J15" s="2618"/>
      <c r="K15" s="2618"/>
      <c r="L15" s="2619"/>
    </row>
    <row r="16" spans="1:29" ht="12.2" customHeight="1" x14ac:dyDescent="0.2">
      <c r="A16" s="2643">
        <f>COVER!A25</f>
        <v>61489</v>
      </c>
      <c r="B16" s="2644"/>
      <c r="C16" s="2644"/>
      <c r="D16" s="2644"/>
      <c r="E16" s="2644"/>
      <c r="F16" s="2645"/>
      <c r="G16" s="2655"/>
      <c r="H16" s="2656"/>
      <c r="I16" s="2656"/>
      <c r="J16" s="2656"/>
      <c r="K16" s="2656"/>
      <c r="L16" s="2657"/>
    </row>
    <row r="17" spans="1:13" ht="12.2" customHeight="1" x14ac:dyDescent="0.2">
      <c r="A17" s="2658"/>
      <c r="B17" s="2644"/>
      <c r="C17" s="2644"/>
      <c r="D17" s="2644"/>
      <c r="E17" s="2644"/>
      <c r="F17" s="2645"/>
      <c r="G17" s="1019" t="s">
        <v>1176</v>
      </c>
      <c r="H17" s="1017"/>
      <c r="I17" s="1017"/>
      <c r="J17" s="1017"/>
      <c r="K17" s="1021" t="s">
        <v>1175</v>
      </c>
      <c r="L17" s="1014"/>
      <c r="M17" s="1007"/>
    </row>
    <row r="18" spans="1:13" ht="12.2" customHeight="1" x14ac:dyDescent="0.2">
      <c r="A18" s="2626"/>
      <c r="B18" s="2627"/>
      <c r="C18" s="2627"/>
      <c r="D18" s="2627"/>
      <c r="E18" s="2627"/>
      <c r="F18" s="2628"/>
      <c r="G18" s="2637" t="str">
        <f>COVER!T21</f>
        <v>309-343-4156</v>
      </c>
      <c r="H18" s="2638"/>
      <c r="I18" s="2638"/>
      <c r="J18" s="2638"/>
      <c r="K18" s="2637" t="str">
        <f>COVER!X21</f>
        <v>309-343-0174</v>
      </c>
      <c r="L18" s="2642"/>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1999999999999993" customHeight="1" x14ac:dyDescent="0.2">
      <c r="B25" s="1027" t="s">
        <v>1161</v>
      </c>
      <c r="C25" s="1028"/>
    </row>
    <row r="26" spans="1:13" s="1022" customFormat="1" ht="12.2" customHeight="1" x14ac:dyDescent="0.2">
      <c r="B26" s="1025"/>
      <c r="C26" s="1026" t="s">
        <v>1680</v>
      </c>
    </row>
    <row r="27" spans="1:13" s="1022" customFormat="1" ht="9.1999999999999993" customHeight="1" x14ac:dyDescent="0.2">
      <c r="B27" s="1027"/>
      <c r="C27" s="1026"/>
    </row>
    <row r="28" spans="1:13" s="1022" customFormat="1" ht="12.2" customHeight="1" x14ac:dyDescent="0.2">
      <c r="A28" s="1029"/>
      <c r="B28" s="1025"/>
      <c r="C28" s="1026" t="s">
        <v>1681</v>
      </c>
    </row>
    <row r="29" spans="1:13" s="1022" customFormat="1" ht="9.1999999999999993" customHeight="1" x14ac:dyDescent="0.2">
      <c r="A29" s="1029"/>
      <c r="B29" s="1027"/>
      <c r="C29" s="1026"/>
    </row>
    <row r="30" spans="1:13" s="1022" customFormat="1" ht="12.2" customHeight="1" x14ac:dyDescent="0.2">
      <c r="B30" s="1025"/>
      <c r="C30" s="1026" t="s">
        <v>1548</v>
      </c>
      <c r="D30" s="1020"/>
      <c r="E30" s="1020"/>
    </row>
    <row r="31" spans="1:13" s="1022" customFormat="1" ht="9.1999999999999993" customHeight="1" x14ac:dyDescent="0.2">
      <c r="B31" s="1027"/>
      <c r="C31" s="1026"/>
      <c r="D31" s="1020"/>
      <c r="E31" s="1020"/>
    </row>
    <row r="32" spans="1:13" s="1022" customFormat="1" ht="12.2" customHeight="1" x14ac:dyDescent="0.2">
      <c r="B32" s="1025"/>
      <c r="C32" s="1026" t="s">
        <v>1549</v>
      </c>
      <c r="D32" s="1020"/>
      <c r="E32" s="1020"/>
    </row>
    <row r="33" spans="1:8" s="1022" customFormat="1" ht="11.1" customHeight="1" x14ac:dyDescent="0.2">
      <c r="B33" s="1027"/>
      <c r="C33" s="1030" t="s">
        <v>1682</v>
      </c>
      <c r="D33" s="1020"/>
      <c r="E33" s="1020"/>
    </row>
    <row r="34" spans="1:8" ht="9.1999999999999993" customHeight="1" x14ac:dyDescent="0.2">
      <c r="B34" s="1027"/>
      <c r="C34" s="1030"/>
    </row>
    <row r="35" spans="1:8" s="1022" customFormat="1" ht="13.5" customHeight="1" x14ac:dyDescent="0.2">
      <c r="B35" s="1025"/>
      <c r="C35" s="1026" t="s">
        <v>1550</v>
      </c>
    </row>
    <row r="36" spans="1:8" s="1022" customFormat="1" ht="11.1" customHeight="1" x14ac:dyDescent="0.2">
      <c r="B36" s="1027"/>
      <c r="C36" s="1030" t="s">
        <v>1551</v>
      </c>
    </row>
    <row r="37" spans="1:8" ht="9.1999999999999993" customHeight="1" x14ac:dyDescent="0.2">
      <c r="B37" s="1027"/>
      <c r="C37" s="1030"/>
    </row>
    <row r="38" spans="1:8" s="1022" customFormat="1" ht="12.2" customHeight="1" x14ac:dyDescent="0.2">
      <c r="B38" s="1025"/>
      <c r="C38" s="1026" t="s">
        <v>1552</v>
      </c>
    </row>
    <row r="39" spans="1:8" ht="9.1999999999999993" customHeight="1" x14ac:dyDescent="0.2">
      <c r="B39" s="1027"/>
      <c r="C39" s="1030"/>
    </row>
    <row r="40" spans="1:8" s="1022" customFormat="1" ht="13.5" customHeight="1" x14ac:dyDescent="0.2">
      <c r="B40" s="1025"/>
      <c r="C40" s="1026" t="s">
        <v>1553</v>
      </c>
    </row>
    <row r="41" spans="1:8" ht="9.1999999999999993"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1999999999999993" customHeight="1" x14ac:dyDescent="0.2"/>
    <row r="48" spans="1:8" ht="12.2" customHeight="1" x14ac:dyDescent="0.2">
      <c r="B48" s="1591"/>
      <c r="C48" s="1034" t="s">
        <v>1555</v>
      </c>
    </row>
    <row r="49" spans="1:12" ht="9.1999999999999993"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oddFooter>&amp;RThe notes to the financial statements are an integral part of this statement.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CFFCC"/>
    <pageSetUpPr fitToPage="1"/>
  </sheetPr>
  <dimension ref="A1:K127"/>
  <sheetViews>
    <sheetView showGridLines="0" topLeftCell="A4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9" t="str">
        <f>'Single Audit Cover'!A7</f>
        <v xml:space="preserve">   Williamsfield CUSD 210</v>
      </c>
      <c r="B1" s="2660"/>
      <c r="C1" s="2660"/>
      <c r="D1" s="2660"/>
    </row>
    <row r="2" spans="1:11" s="1036" customFormat="1" ht="12.75" x14ac:dyDescent="0.2">
      <c r="A2" s="2661">
        <f>'Single Audit Cover'!E7</f>
        <v>33048210026</v>
      </c>
      <c r="B2" s="2662"/>
      <c r="C2" s="2662"/>
      <c r="D2" s="2662"/>
    </row>
    <row r="3" spans="1:11" s="1036" customFormat="1" ht="12.75" x14ac:dyDescent="0.2">
      <c r="A3" s="2659" t="s">
        <v>1499</v>
      </c>
      <c r="B3" s="2660"/>
      <c r="C3" s="2660"/>
      <c r="D3" s="2660"/>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oddFooter>&amp;RThe notes to the financial statements are an integral part of this statement.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CFFCC"/>
  </sheetPr>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64" t="str">
        <f>'Single Audit Cover'!A7</f>
        <v xml:space="preserve">   Williamsfield CUSD 210</v>
      </c>
      <c r="B1" s="2664"/>
      <c r="C1" s="2664"/>
      <c r="D1" s="2664"/>
      <c r="E1" s="2664"/>
    </row>
    <row r="2" spans="1:5" x14ac:dyDescent="0.2">
      <c r="A2" s="2665">
        <f>'Single Audit Cover'!E7</f>
        <v>33048210026</v>
      </c>
      <c r="B2" s="2665"/>
      <c r="C2" s="2665"/>
      <c r="D2" s="2665"/>
      <c r="E2" s="2665"/>
    </row>
    <row r="3" spans="1:5" ht="4.5" customHeight="1" x14ac:dyDescent="0.2"/>
    <row r="4" spans="1:5" x14ac:dyDescent="0.2">
      <c r="A4" s="2664" t="s">
        <v>1236</v>
      </c>
      <c r="B4" s="2664"/>
      <c r="C4" s="2664"/>
      <c r="D4" s="2664"/>
      <c r="E4" s="2664"/>
    </row>
    <row r="5" spans="1:5" x14ac:dyDescent="0.2">
      <c r="A5" s="2667" t="str">
        <f>'Single Audit Cover'!A4</f>
        <v>Year Ending June 30, 2020</v>
      </c>
      <c r="B5" s="2667"/>
      <c r="C5" s="2667"/>
      <c r="D5" s="2667"/>
      <c r="E5" s="2667"/>
    </row>
    <row r="6" spans="1:5" x14ac:dyDescent="0.2">
      <c r="A6" s="2664" t="s">
        <v>1235</v>
      </c>
      <c r="B6" s="2664"/>
      <c r="C6" s="2664"/>
      <c r="D6" s="2664"/>
      <c r="E6" s="2664"/>
    </row>
    <row r="8" spans="1:5" x14ac:dyDescent="0.2">
      <c r="A8" s="1081" t="s">
        <v>1234</v>
      </c>
    </row>
    <row r="10" spans="1:5" x14ac:dyDescent="0.2">
      <c r="A10" s="1082" t="s">
        <v>1233</v>
      </c>
      <c r="B10" s="1083" t="s">
        <v>1232</v>
      </c>
      <c r="C10" s="1083"/>
      <c r="D10" s="1084">
        <f>SUM('Acct Summary 7-8'!C7:K7)</f>
        <v>112443</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6566</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0</v>
      </c>
    </row>
    <row r="19" spans="1:4" ht="13.5" thickBot="1" x14ac:dyDescent="0.25">
      <c r="A19" s="1086" t="s">
        <v>1226</v>
      </c>
      <c r="D19" s="1087">
        <f>SUM(D10:D17)</f>
        <v>119009</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66"/>
      <c r="B24" s="2666"/>
      <c r="D24" s="1089"/>
    </row>
    <row r="25" spans="1:4" x14ac:dyDescent="0.2">
      <c r="A25" s="2663"/>
      <c r="B25" s="2663"/>
      <c r="D25" s="1089"/>
    </row>
    <row r="26" spans="1:4" x14ac:dyDescent="0.2">
      <c r="A26" s="2663"/>
      <c r="B26" s="2663"/>
      <c r="D26" s="1089"/>
    </row>
    <row r="27" spans="1:4" x14ac:dyDescent="0.2">
      <c r="A27" s="2663"/>
      <c r="B27" s="2663"/>
      <c r="D27" s="1089"/>
    </row>
    <row r="28" spans="1:4" x14ac:dyDescent="0.2">
      <c r="A28" s="2663"/>
      <c r="B28" s="2663"/>
      <c r="D28" s="1089"/>
    </row>
    <row r="29" spans="1:4" x14ac:dyDescent="0.2">
      <c r="A29" s="2663"/>
      <c r="B29" s="2663"/>
      <c r="D29" s="1089"/>
    </row>
    <row r="30" spans="1:4" x14ac:dyDescent="0.2">
      <c r="A30" s="2663"/>
      <c r="B30" s="2663"/>
      <c r="D30" s="1089"/>
    </row>
    <row r="32" spans="1:4" x14ac:dyDescent="0.2">
      <c r="A32" s="1081" t="s">
        <v>1224</v>
      </c>
      <c r="D32" s="1084">
        <f>SUM(D19:D30)</f>
        <v>119009</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663"/>
      <c r="B40" s="2663"/>
      <c r="D40" s="1089"/>
    </row>
    <row r="41" spans="1:4" x14ac:dyDescent="0.2">
      <c r="A41" s="2663"/>
      <c r="B41" s="2663"/>
      <c r="D41" s="1092"/>
    </row>
    <row r="42" spans="1:4" x14ac:dyDescent="0.2">
      <c r="A42" s="2663"/>
      <c r="B42" s="2663"/>
      <c r="D42" s="1092"/>
    </row>
    <row r="43" spans="1:4" x14ac:dyDescent="0.2">
      <c r="A43" s="2663"/>
      <c r="B43" s="2663"/>
      <c r="D43" s="1092"/>
    </row>
    <row r="44" spans="1:4" x14ac:dyDescent="0.2">
      <c r="A44" s="2663"/>
      <c r="B44" s="2663"/>
      <c r="D44" s="1092"/>
    </row>
    <row r="45" spans="1:4" x14ac:dyDescent="0.2">
      <c r="A45" s="2663"/>
      <c r="B45" s="2663"/>
      <c r="D45" s="1092"/>
    </row>
    <row r="47" spans="1:4" x14ac:dyDescent="0.2">
      <c r="B47" s="1093" t="s">
        <v>1218</v>
      </c>
      <c r="C47" s="1093"/>
      <c r="D47" s="1094">
        <f>SUM(D35:D45)</f>
        <v>0</v>
      </c>
    </row>
    <row r="49" spans="2:4" x14ac:dyDescent="0.2">
      <c r="B49" s="1093" t="s">
        <v>1217</v>
      </c>
      <c r="C49" s="1093"/>
      <c r="D49" s="1094">
        <f>D32-D47</f>
        <v>119009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&amp;RThe notes to the financial statements are an integral part of this statement.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CCFFCC"/>
  </sheetPr>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46" t="str">
        <f>'Single Audit Cover'!A7</f>
        <v xml:space="preserve">   Williamsfield CUSD 210</v>
      </c>
      <c r="C1" s="2668"/>
      <c r="D1" s="2668"/>
      <c r="E1" s="2668"/>
      <c r="F1" s="2668"/>
      <c r="G1" s="2668"/>
      <c r="H1" s="2668"/>
      <c r="I1" s="2668"/>
      <c r="J1" s="2668"/>
      <c r="K1" s="2668"/>
      <c r="L1" s="2668"/>
      <c r="M1" s="2668"/>
    </row>
    <row r="2" spans="2:14" ht="15" x14ac:dyDescent="0.2">
      <c r="B2" s="2669">
        <f>'Single Audit Cover'!E7</f>
        <v>33048210026</v>
      </c>
      <c r="C2" s="2669"/>
      <c r="D2" s="2669"/>
      <c r="E2" s="2669"/>
      <c r="F2" s="2669"/>
      <c r="G2" s="2669"/>
      <c r="H2" s="2669"/>
      <c r="I2" s="2669"/>
      <c r="J2" s="2669"/>
      <c r="K2" s="2669"/>
      <c r="L2" s="2669"/>
      <c r="M2" s="2669"/>
      <c r="N2" s="1123"/>
    </row>
    <row r="3" spans="2:14" ht="15" x14ac:dyDescent="0.2">
      <c r="B3" s="2670" t="s">
        <v>1210</v>
      </c>
      <c r="C3" s="2670"/>
      <c r="D3" s="2670"/>
      <c r="E3" s="2670"/>
      <c r="F3" s="2670"/>
      <c r="G3" s="2670"/>
      <c r="H3" s="2670"/>
      <c r="I3" s="2670"/>
      <c r="J3" s="2670"/>
      <c r="K3" s="2670"/>
      <c r="L3" s="2670"/>
      <c r="M3" s="2670"/>
      <c r="N3" s="1123"/>
    </row>
    <row r="4" spans="2:14" ht="15" x14ac:dyDescent="0.2">
      <c r="B4" s="2671" t="str">
        <f>'Single Audit Cover'!A4</f>
        <v>Year Ending June 30, 2020</v>
      </c>
      <c r="C4" s="2671"/>
      <c r="D4" s="2671"/>
      <c r="E4" s="2671"/>
      <c r="F4" s="2671"/>
      <c r="G4" s="2671"/>
      <c r="H4" s="2671"/>
      <c r="I4" s="2671"/>
      <c r="J4" s="2671"/>
      <c r="K4" s="2671"/>
      <c r="L4" s="2671"/>
      <c r="M4" s="2671"/>
      <c r="N4" s="1123"/>
    </row>
    <row r="5" spans="2:14" x14ac:dyDescent="0.2">
      <c r="H5" s="1984"/>
      <c r="J5" s="1984"/>
    </row>
    <row r="6" spans="2:14" x14ac:dyDescent="0.2">
      <c r="B6" s="1124"/>
      <c r="C6" s="1125"/>
      <c r="D6" s="1126" t="s">
        <v>1256</v>
      </c>
      <c r="E6" s="1127" t="s">
        <v>524</v>
      </c>
      <c r="F6" s="1128"/>
      <c r="G6" s="1129" t="s">
        <v>1714</v>
      </c>
      <c r="H6" s="1127"/>
      <c r="I6" s="1127"/>
      <c r="J6" s="1985"/>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3" t="str">
        <f>"7/1/"&amp;MID('AFR20'!$E$2,3,2)-2&amp;"-6/30/"&amp;MID('AFR20'!$E$2,3,2)-1</f>
        <v>7/1/18-6/30/19</v>
      </c>
      <c r="F9" s="1983" t="str">
        <f>"7/1/"&amp;MID('AFR20'!$E$2,3,2)-1&amp;"-6/30/"&amp;MID('AFR20'!$E$2,3,2)</f>
        <v>7/1/19-6/30/20</v>
      </c>
      <c r="G9" s="1983" t="str">
        <f>"7/1/"&amp;MID('AFR20'!$E$2,3,2)-2&amp;"-6/30/"&amp;MID('AFR20'!$E$2,3,2)-1</f>
        <v>7/1/18-6/30/19</v>
      </c>
      <c r="H9" s="1138" t="s">
        <v>1568</v>
      </c>
      <c r="I9" s="1983"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&amp;RThe notes to the financial statements are an integral part of this statement.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sheetPr>
  <dimension ref="A1:K143"/>
  <sheetViews>
    <sheetView showGridLines="0" defaultGridColor="0" topLeftCell="A95" colorId="8" zoomScaleNormal="100" workbookViewId="0">
      <selection activeCell="B102" sqref="B102:I11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9" t="s">
        <v>1160</v>
      </c>
      <c r="B2" s="2229"/>
      <c r="C2" s="2229"/>
      <c r="D2" s="2229"/>
      <c r="E2" s="2229"/>
      <c r="F2" s="2229"/>
      <c r="G2" s="2229"/>
      <c r="H2" s="2229"/>
      <c r="I2" s="2229"/>
      <c r="J2" s="2229"/>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2021</v>
      </c>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t="s">
        <v>2021</v>
      </c>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43" t="s">
        <v>1619</v>
      </c>
      <c r="B35" s="2244"/>
      <c r="C35" s="2244"/>
      <c r="D35" s="2244"/>
      <c r="E35" s="2245"/>
      <c r="F35" s="2245"/>
      <c r="G35" s="2245"/>
      <c r="H35" s="2245"/>
      <c r="I35" s="224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43" t="s">
        <v>310</v>
      </c>
      <c r="B47" s="2246"/>
      <c r="C47" s="2246"/>
      <c r="D47" s="2246"/>
      <c r="E47" s="2247"/>
      <c r="F47" s="2247"/>
      <c r="G47" s="2247"/>
      <c r="H47" s="2247"/>
      <c r="I47" s="224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9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50"/>
      <c r="C57" s="2251"/>
      <c r="D57" s="2251"/>
      <c r="E57" s="2251"/>
      <c r="F57" s="2251"/>
      <c r="G57" s="2251"/>
      <c r="H57" s="2251"/>
      <c r="I57" s="2251"/>
      <c r="J57" s="2252"/>
    </row>
    <row r="58" spans="1:10" s="176" customFormat="1" x14ac:dyDescent="0.2">
      <c r="A58" s="248"/>
      <c r="B58" s="2253"/>
      <c r="C58" s="2254"/>
      <c r="D58" s="2254"/>
      <c r="E58" s="2254"/>
      <c r="F58" s="2254"/>
      <c r="G58" s="2254"/>
      <c r="H58" s="2254"/>
      <c r="I58" s="2254"/>
      <c r="J58" s="2255"/>
    </row>
    <row r="59" spans="1:10" s="176" customFormat="1" x14ac:dyDescent="0.2">
      <c r="A59" s="248"/>
      <c r="B59" s="2253"/>
      <c r="C59" s="2254"/>
      <c r="D59" s="2254"/>
      <c r="E59" s="2254"/>
      <c r="F59" s="2254"/>
      <c r="G59" s="2254"/>
      <c r="H59" s="2254"/>
      <c r="I59" s="2254"/>
      <c r="J59" s="2255"/>
    </row>
    <row r="60" spans="1:10" s="176" customFormat="1" x14ac:dyDescent="0.2">
      <c r="A60" s="248"/>
      <c r="B60" s="2253"/>
      <c r="C60" s="2254"/>
      <c r="D60" s="2254"/>
      <c r="E60" s="2254"/>
      <c r="F60" s="2254"/>
      <c r="G60" s="2254"/>
      <c r="H60" s="2254"/>
      <c r="I60" s="2254"/>
      <c r="J60" s="2255"/>
    </row>
    <row r="61" spans="1:10" s="176" customFormat="1" x14ac:dyDescent="0.2">
      <c r="A61" s="248"/>
      <c r="B61" s="2253"/>
      <c r="C61" s="2254"/>
      <c r="D61" s="2254"/>
      <c r="E61" s="2254"/>
      <c r="F61" s="2254"/>
      <c r="G61" s="2254"/>
      <c r="H61" s="2254"/>
      <c r="I61" s="2254"/>
      <c r="J61" s="2255"/>
    </row>
    <row r="62" spans="1:10" s="176" customFormat="1" x14ac:dyDescent="0.2">
      <c r="A62" s="248"/>
      <c r="B62" s="2253"/>
      <c r="C62" s="2254"/>
      <c r="D62" s="2254"/>
      <c r="E62" s="2254"/>
      <c r="F62" s="2254"/>
      <c r="G62" s="2254"/>
      <c r="H62" s="2254"/>
      <c r="I62" s="2254"/>
      <c r="J62" s="2255"/>
    </row>
    <row r="63" spans="1:10" s="176" customFormat="1" x14ac:dyDescent="0.2">
      <c r="A63" s="248"/>
      <c r="B63" s="2253"/>
      <c r="C63" s="2254"/>
      <c r="D63" s="2254"/>
      <c r="E63" s="2254"/>
      <c r="F63" s="2254"/>
      <c r="G63" s="2254"/>
      <c r="H63" s="2254"/>
      <c r="I63" s="2254"/>
      <c r="J63" s="2255"/>
    </row>
    <row r="64" spans="1:10" s="176" customFormat="1" x14ac:dyDescent="0.2">
      <c r="A64" s="248"/>
      <c r="B64" s="2253"/>
      <c r="C64" s="2254"/>
      <c r="D64" s="2254"/>
      <c r="E64" s="2254"/>
      <c r="F64" s="2254"/>
      <c r="G64" s="2254"/>
      <c r="H64" s="2254"/>
      <c r="I64" s="2254"/>
      <c r="J64" s="2255"/>
    </row>
    <row r="65" spans="1:11" s="176" customFormat="1" x14ac:dyDescent="0.2">
      <c r="A65" s="248"/>
      <c r="B65" s="2253"/>
      <c r="C65" s="2254"/>
      <c r="D65" s="2254"/>
      <c r="E65" s="2254"/>
      <c r="F65" s="2254"/>
      <c r="G65" s="2254"/>
      <c r="H65" s="2254"/>
      <c r="I65" s="2254"/>
      <c r="J65" s="2255"/>
    </row>
    <row r="66" spans="1:11" s="176" customFormat="1" x14ac:dyDescent="0.2">
      <c r="A66" s="248"/>
      <c r="B66" s="2253"/>
      <c r="C66" s="2254"/>
      <c r="D66" s="2254"/>
      <c r="E66" s="2254"/>
      <c r="F66" s="2254"/>
      <c r="G66" s="2254"/>
      <c r="H66" s="2254"/>
      <c r="I66" s="2254"/>
      <c r="J66" s="2255"/>
    </row>
    <row r="67" spans="1:11" s="176" customFormat="1" ht="9.1999999999999993" customHeight="1" x14ac:dyDescent="0.2">
      <c r="A67" s="249"/>
      <c r="B67" s="2256"/>
      <c r="C67" s="2257"/>
      <c r="D67" s="2257"/>
      <c r="E67" s="2257"/>
      <c r="F67" s="2257"/>
      <c r="G67" s="2257"/>
      <c r="H67" s="2257"/>
      <c r="I67" s="2257"/>
      <c r="J67" s="2258"/>
    </row>
    <row r="68" spans="1:11" s="176" customFormat="1" ht="9.1999999999999993"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43" t="s">
        <v>1314</v>
      </c>
      <c r="B70" s="2246"/>
      <c r="C70" s="2246"/>
      <c r="D70" s="2246"/>
      <c r="E70" s="2247"/>
      <c r="F70" s="2247"/>
      <c r="G70" s="2247"/>
      <c r="H70" s="2247"/>
      <c r="I70" s="2247"/>
    </row>
    <row r="71" spans="1:11" s="176" customFormat="1" x14ac:dyDescent="0.2">
      <c r="A71" s="214"/>
      <c r="C71" s="252"/>
      <c r="D71" s="253" t="s">
        <v>1313</v>
      </c>
      <c r="E71" s="251"/>
      <c r="F71" s="251"/>
      <c r="G71" s="251"/>
      <c r="H71" s="251"/>
    </row>
    <row r="72" spans="1:11" s="176" customFormat="1" ht="5.4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8" t="s">
        <v>1311</v>
      </c>
      <c r="B83" s="2248"/>
      <c r="C83" s="2248"/>
      <c r="D83" s="2249"/>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9" t="s">
        <v>1992</v>
      </c>
      <c r="B85" s="2259"/>
      <c r="C85" s="2259"/>
      <c r="D85" s="2260"/>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261" t="s">
        <v>1992</v>
      </c>
      <c r="B88" s="2262"/>
      <c r="C88" s="2262"/>
      <c r="D88" s="2263"/>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30"/>
      <c r="C102" s="2231"/>
      <c r="D102" s="2231"/>
      <c r="E102" s="2231"/>
      <c r="F102" s="2231"/>
      <c r="G102" s="2231"/>
      <c r="H102" s="2231"/>
      <c r="I102" s="2232"/>
    </row>
    <row r="103" spans="1:9" s="176" customFormat="1" ht="11.25" customHeight="1" x14ac:dyDescent="0.2">
      <c r="A103" s="294"/>
      <c r="B103" s="2233"/>
      <c r="C103" s="2234"/>
      <c r="D103" s="2234"/>
      <c r="E103" s="2234"/>
      <c r="F103" s="2234"/>
      <c r="G103" s="2234"/>
      <c r="H103" s="2234"/>
      <c r="I103" s="2235"/>
    </row>
    <row r="104" spans="1:9" s="176" customFormat="1" ht="11.25" customHeight="1" x14ac:dyDescent="0.2">
      <c r="A104" s="294"/>
      <c r="B104" s="2233"/>
      <c r="C104" s="2234"/>
      <c r="D104" s="2234"/>
      <c r="E104" s="2234"/>
      <c r="F104" s="2234"/>
      <c r="G104" s="2234"/>
      <c r="H104" s="2234"/>
      <c r="I104" s="2235"/>
    </row>
    <row r="105" spans="1:9" s="176" customFormat="1" x14ac:dyDescent="0.2">
      <c r="A105" s="294"/>
      <c r="B105" s="2233"/>
      <c r="C105" s="2234"/>
      <c r="D105" s="2234"/>
      <c r="E105" s="2234"/>
      <c r="F105" s="2234"/>
      <c r="G105" s="2234"/>
      <c r="H105" s="2234"/>
      <c r="I105" s="2235"/>
    </row>
    <row r="106" spans="1:9" s="176" customFormat="1" ht="11.25" customHeight="1" x14ac:dyDescent="0.2">
      <c r="A106" s="294"/>
      <c r="B106" s="2233"/>
      <c r="C106" s="2234"/>
      <c r="D106" s="2234"/>
      <c r="E106" s="2234"/>
      <c r="F106" s="2234"/>
      <c r="G106" s="2234"/>
      <c r="H106" s="2234"/>
      <c r="I106" s="2235"/>
    </row>
    <row r="107" spans="1:9" s="176" customFormat="1" ht="11.25" customHeight="1" x14ac:dyDescent="0.2">
      <c r="A107" s="294"/>
      <c r="B107" s="2233"/>
      <c r="C107" s="2234"/>
      <c r="D107" s="2234"/>
      <c r="E107" s="2234"/>
      <c r="F107" s="2234"/>
      <c r="G107" s="2234"/>
      <c r="H107" s="2234"/>
      <c r="I107" s="2235"/>
    </row>
    <row r="108" spans="1:9" s="176" customFormat="1" ht="11.25" customHeight="1" x14ac:dyDescent="0.2">
      <c r="A108" s="294"/>
      <c r="B108" s="2233"/>
      <c r="C108" s="2234"/>
      <c r="D108" s="2234"/>
      <c r="E108" s="2234"/>
      <c r="F108" s="2234"/>
      <c r="G108" s="2234"/>
      <c r="H108" s="2234"/>
      <c r="I108" s="2235"/>
    </row>
    <row r="109" spans="1:9" s="176" customFormat="1" ht="11.25" customHeight="1" x14ac:dyDescent="0.2">
      <c r="A109" s="294"/>
      <c r="B109" s="2233"/>
      <c r="C109" s="2234"/>
      <c r="D109" s="2234"/>
      <c r="E109" s="2234"/>
      <c r="F109" s="2234"/>
      <c r="G109" s="2234"/>
      <c r="H109" s="2234"/>
      <c r="I109" s="2235"/>
    </row>
    <row r="110" spans="1:9" s="176" customFormat="1" ht="11.25" customHeight="1" x14ac:dyDescent="0.2">
      <c r="A110" s="294"/>
      <c r="B110" s="2233"/>
      <c r="C110" s="2234"/>
      <c r="D110" s="2234"/>
      <c r="E110" s="2234"/>
      <c r="F110" s="2234"/>
      <c r="G110" s="2234"/>
      <c r="H110" s="2234"/>
      <c r="I110" s="2235"/>
    </row>
    <row r="111" spans="1:9" s="176" customFormat="1" ht="11.25" customHeight="1" x14ac:dyDescent="0.2">
      <c r="A111" s="294"/>
      <c r="B111" s="2233"/>
      <c r="C111" s="2234"/>
      <c r="D111" s="2234"/>
      <c r="E111" s="2234"/>
      <c r="F111" s="2234"/>
      <c r="G111" s="2234"/>
      <c r="H111" s="2234"/>
      <c r="I111" s="2235"/>
    </row>
    <row r="112" spans="1:9" s="176" customFormat="1" ht="11.25" customHeight="1" x14ac:dyDescent="0.2">
      <c r="A112" s="294"/>
      <c r="B112" s="2236"/>
      <c r="C112" s="2237"/>
      <c r="D112" s="2237"/>
      <c r="E112" s="2237"/>
      <c r="F112" s="2237"/>
      <c r="G112" s="2237"/>
      <c r="H112" s="2237"/>
      <c r="I112" s="223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9" t="s">
        <v>2029</v>
      </c>
      <c r="D114" s="2239"/>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40" t="s">
        <v>1321</v>
      </c>
      <c r="D117" s="2241"/>
      <c r="E117" s="2242"/>
      <c r="F117" s="2242"/>
      <c r="G117" s="2242"/>
      <c r="H117" s="2242"/>
      <c r="I117" s="282"/>
    </row>
    <row r="118" spans="1:9" s="176" customFormat="1" ht="24" customHeight="1" x14ac:dyDescent="0.2">
      <c r="A118" s="294"/>
      <c r="B118" s="294"/>
      <c r="C118" s="294"/>
      <c r="D118" s="301" t="s">
        <v>2149</v>
      </c>
      <c r="E118" s="300"/>
      <c r="F118" s="2111">
        <v>44137</v>
      </c>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4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&amp;F&amp;RThe notes to the financial statements are an inegral part orf this statement.</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CCFFCC"/>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81" t="str">
        <f>'Single Audit Cover'!A7</f>
        <v xml:space="preserve">   Williamsfield CUSD 210</v>
      </c>
      <c r="B1" s="2681"/>
      <c r="C1" s="2681"/>
      <c r="D1" s="2681"/>
      <c r="E1" s="2681"/>
      <c r="F1" s="2681"/>
    </row>
    <row r="2" spans="1:7" ht="13.5" customHeight="1" x14ac:dyDescent="0.2">
      <c r="A2" s="2669">
        <f>'Single Audit Cover'!E7</f>
        <v>33048210026</v>
      </c>
      <c r="B2" s="2669"/>
      <c r="C2" s="2669"/>
      <c r="D2" s="2669"/>
      <c r="E2" s="2669"/>
      <c r="F2" s="2669"/>
      <c r="G2" s="1096"/>
    </row>
    <row r="3" spans="1:7" ht="15.95" customHeight="1" x14ac:dyDescent="0.2">
      <c r="A3" s="2682" t="s">
        <v>1262</v>
      </c>
      <c r="B3" s="2682"/>
      <c r="C3" s="2682"/>
      <c r="D3" s="2682"/>
      <c r="E3" s="2682"/>
      <c r="F3" s="2682"/>
    </row>
    <row r="4" spans="1:7" ht="13.5" customHeight="1" x14ac:dyDescent="0.2">
      <c r="A4" s="2683" t="str">
        <f>'Single Audit Cover'!A4</f>
        <v>Year Ending June 30, 2020</v>
      </c>
      <c r="B4" s="2683"/>
      <c r="C4" s="2683"/>
      <c r="D4" s="2683"/>
      <c r="E4" s="2683"/>
      <c r="F4" s="2683"/>
    </row>
    <row r="5" spans="1:7" ht="8.25" customHeight="1" x14ac:dyDescent="0.2">
      <c r="C5" s="295"/>
      <c r="D5" s="295"/>
    </row>
    <row r="6" spans="1:7" ht="13.5" customHeight="1" x14ac:dyDescent="0.2">
      <c r="A6" s="1097" t="s">
        <v>1708</v>
      </c>
      <c r="C6" s="295"/>
      <c r="D6" s="295"/>
    </row>
    <row r="7" spans="1:7" ht="60.95" customHeight="1" x14ac:dyDescent="0.2">
      <c r="A7" s="2680" t="s">
        <v>1709</v>
      </c>
      <c r="B7" s="2680"/>
      <c r="C7" s="2680"/>
      <c r="D7" s="2680"/>
      <c r="E7" s="2680"/>
      <c r="F7" s="2680"/>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680" t="s">
        <v>1711</v>
      </c>
      <c r="B13" s="2680"/>
      <c r="C13" s="2680"/>
      <c r="D13" s="2680"/>
      <c r="E13" s="2680"/>
      <c r="F13" s="2680"/>
    </row>
    <row r="14" spans="1:7" ht="9.75" customHeight="1" x14ac:dyDescent="0.2">
      <c r="C14" s="1081"/>
      <c r="D14" s="1081"/>
    </row>
    <row r="15" spans="1:7" ht="13.5" customHeight="1" x14ac:dyDescent="0.2">
      <c r="C15" s="1525" t="s">
        <v>1261</v>
      </c>
      <c r="D15" s="2678" t="s">
        <v>1260</v>
      </c>
      <c r="E15" s="2678"/>
      <c r="F15" s="2678"/>
    </row>
    <row r="16" spans="1:7" ht="13.5" customHeight="1" x14ac:dyDescent="0.2">
      <c r="A16" s="1103"/>
      <c r="B16" s="1097" t="s">
        <v>1259</v>
      </c>
      <c r="C16" s="1525" t="s">
        <v>1258</v>
      </c>
      <c r="D16" s="2679" t="s">
        <v>1574</v>
      </c>
      <c r="E16" s="2679"/>
      <c r="F16" s="2679"/>
    </row>
    <row r="17" spans="1:6" ht="20.45" customHeight="1" x14ac:dyDescent="0.2">
      <c r="A17" s="1104"/>
      <c r="B17" s="1105"/>
      <c r="C17" s="1106"/>
      <c r="D17" s="2673"/>
      <c r="E17" s="2673"/>
      <c r="F17" s="2673"/>
    </row>
    <row r="18" spans="1:6" ht="20.65" customHeight="1" x14ac:dyDescent="0.2">
      <c r="A18" s="1104"/>
      <c r="B18" s="1105"/>
      <c r="C18" s="1106"/>
      <c r="D18" s="2673"/>
      <c r="E18" s="2673"/>
      <c r="F18" s="2673"/>
    </row>
    <row r="19" spans="1:6" ht="20.65" customHeight="1" x14ac:dyDescent="0.2">
      <c r="A19" s="1104"/>
      <c r="B19" s="1105"/>
      <c r="C19" s="1106"/>
      <c r="D19" s="2673"/>
      <c r="E19" s="2673"/>
      <c r="F19" s="2673"/>
    </row>
    <row r="20" spans="1:6" ht="20.65" customHeight="1" x14ac:dyDescent="0.2">
      <c r="A20" s="1104"/>
      <c r="B20" s="1105"/>
      <c r="C20" s="1106"/>
      <c r="D20" s="2673"/>
      <c r="E20" s="2673"/>
      <c r="F20" s="2673"/>
    </row>
    <row r="21" spans="1:6" ht="20.65" customHeight="1" x14ac:dyDescent="0.2">
      <c r="A21" s="1104"/>
      <c r="B21" s="1105"/>
      <c r="C21" s="1106"/>
      <c r="D21" s="2673"/>
      <c r="E21" s="2673"/>
      <c r="F21" s="2673"/>
    </row>
    <row r="22" spans="1:6" ht="20.65" customHeight="1" x14ac:dyDescent="0.2">
      <c r="A22" s="1104"/>
      <c r="B22" s="1105"/>
      <c r="C22" s="1106"/>
      <c r="D22" s="2673"/>
      <c r="E22" s="2673"/>
      <c r="F22" s="2673"/>
    </row>
    <row r="23" spans="1:6" ht="20.65" customHeight="1" x14ac:dyDescent="0.2">
      <c r="A23" s="1104"/>
      <c r="B23" s="1105"/>
      <c r="C23" s="1106"/>
      <c r="D23" s="2673"/>
      <c r="E23" s="2673"/>
      <c r="F23" s="2673"/>
    </row>
    <row r="24" spans="1:6" ht="20.65" customHeight="1" x14ac:dyDescent="0.2">
      <c r="A24" s="1104"/>
      <c r="B24" s="1105"/>
      <c r="C24" s="1106"/>
      <c r="D24" s="2673"/>
      <c r="E24" s="2673"/>
      <c r="F24" s="2673"/>
    </row>
    <row r="25" spans="1:6" ht="20.65" customHeight="1" x14ac:dyDescent="0.2">
      <c r="A25" s="1104"/>
      <c r="B25" s="1105"/>
      <c r="C25" s="1106"/>
      <c r="D25" s="2673"/>
      <c r="E25" s="2673"/>
      <c r="F25" s="2673"/>
    </row>
    <row r="26" spans="1:6" ht="20.65" customHeight="1" x14ac:dyDescent="0.2">
      <c r="A26" s="1104"/>
      <c r="B26" s="1105"/>
      <c r="C26" s="1106"/>
      <c r="D26" s="2673"/>
      <c r="E26" s="2673"/>
      <c r="F26" s="2673"/>
    </row>
    <row r="27" spans="1:6" ht="20.65" customHeight="1" x14ac:dyDescent="0.2">
      <c r="A27" s="1104"/>
      <c r="B27" s="1105"/>
      <c r="C27" s="1106"/>
      <c r="D27" s="2673"/>
      <c r="E27" s="2673"/>
      <c r="F27" s="2673"/>
    </row>
    <row r="28" spans="1:6" ht="20.65" customHeight="1" x14ac:dyDescent="0.2">
      <c r="A28" s="1104"/>
      <c r="B28" s="1105"/>
      <c r="C28" s="1106"/>
      <c r="D28" s="2673"/>
      <c r="E28" s="2673"/>
      <c r="F28" s="2673"/>
    </row>
    <row r="29" spans="1:6" ht="20.65" customHeight="1" x14ac:dyDescent="0.2">
      <c r="A29" s="1104"/>
      <c r="B29" s="1105"/>
      <c r="C29" s="1106"/>
      <c r="D29" s="2673"/>
      <c r="E29" s="2673"/>
      <c r="F29" s="2673"/>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74" t="s">
        <v>1712</v>
      </c>
      <c r="B32" s="2674"/>
      <c r="C32" s="2674"/>
      <c r="D32" s="2674"/>
      <c r="E32" s="2674"/>
      <c r="F32" s="2674"/>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675">
        <f>+C33+C34</f>
        <v>0</v>
      </c>
      <c r="F34" s="2676"/>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45" customHeight="1" x14ac:dyDescent="0.2">
      <c r="A49" s="1120">
        <v>5</v>
      </c>
      <c r="B49" s="2677" t="s">
        <v>1576</v>
      </c>
      <c r="C49" s="2677"/>
      <c r="D49" s="2677"/>
      <c r="E49" s="1213"/>
    </row>
    <row r="50" spans="1:5" s="1121" customFormat="1" ht="3.75" customHeight="1" x14ac:dyDescent="0.2">
      <c r="A50" s="1120"/>
      <c r="B50" s="1524"/>
      <c r="C50" s="1524"/>
      <c r="D50" s="1524"/>
      <c r="E50" s="1213"/>
    </row>
    <row r="51" spans="1:5" s="1121" customFormat="1" ht="20.25" customHeight="1" x14ac:dyDescent="0.2">
      <c r="A51" s="1122">
        <v>6</v>
      </c>
      <c r="B51" s="2672" t="s">
        <v>1537</v>
      </c>
      <c r="C51" s="2672"/>
      <c r="D51" s="2672"/>
    </row>
    <row r="52" spans="1:5" ht="14.25" customHeight="1" x14ac:dyDescent="0.2">
      <c r="A52" s="1122"/>
      <c r="B52" s="2672"/>
      <c r="C52" s="2672"/>
      <c r="D52" s="267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oddFooter>&amp;RThe notes to the financial statements are an integral part of this statement.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CFFCC"/>
  </sheetPr>
  <dimension ref="A1:J63"/>
  <sheetViews>
    <sheetView showGridLines="0" topLeftCell="A4" zoomScale="110" zoomScaleNormal="110" workbookViewId="0">
      <selection activeCell="C40" sqref="C40:F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95" t="str">
        <f>'Single Audit Cover'!A7</f>
        <v xml:space="preserve">   Williamsfield CUSD 210</v>
      </c>
      <c r="C1" s="2696"/>
      <c r="D1" s="2696"/>
      <c r="E1" s="2696"/>
      <c r="F1" s="2696"/>
      <c r="G1" s="2696"/>
      <c r="H1" s="2696"/>
      <c r="I1" s="2696"/>
      <c r="J1" s="1223"/>
    </row>
    <row r="2" spans="2:10" s="295" customFormat="1" ht="12.75" customHeight="1" x14ac:dyDescent="0.2">
      <c r="B2" s="2697">
        <f>'Single Audit Cover'!E7</f>
        <v>33048210026</v>
      </c>
      <c r="C2" s="2698"/>
      <c r="D2" s="2698"/>
      <c r="E2" s="2698"/>
      <c r="F2" s="2698"/>
      <c r="G2" s="2698"/>
      <c r="H2" s="2698"/>
      <c r="I2" s="2698"/>
      <c r="J2" s="1223"/>
    </row>
    <row r="3" spans="2:10" s="295" customFormat="1" ht="12.75" customHeight="1" x14ac:dyDescent="0.2">
      <c r="B3" s="2699" t="s">
        <v>1276</v>
      </c>
      <c r="C3" s="2700"/>
      <c r="D3" s="2700"/>
      <c r="E3" s="2700"/>
      <c r="F3" s="2700"/>
      <c r="G3" s="2700"/>
      <c r="H3" s="2700"/>
      <c r="I3" s="2700"/>
      <c r="J3" s="1224"/>
    </row>
    <row r="4" spans="2:10" s="295" customFormat="1" ht="12.75" customHeight="1" x14ac:dyDescent="0.2">
      <c r="B4" s="2699" t="str">
        <f>'Single Audit Cover'!A4</f>
        <v>Year Ending June 30, 2020</v>
      </c>
      <c r="C4" s="2700"/>
      <c r="D4" s="2700"/>
      <c r="E4" s="2700"/>
      <c r="F4" s="2700"/>
      <c r="G4" s="2700"/>
      <c r="H4" s="2700"/>
      <c r="I4" s="2700"/>
    </row>
    <row r="5" spans="2:10" s="295" customFormat="1" ht="6.4" customHeight="1" x14ac:dyDescent="0.2">
      <c r="B5" s="1225" t="s">
        <v>1161</v>
      </c>
      <c r="C5" s="1115"/>
      <c r="D5" s="1115"/>
      <c r="E5" s="1198"/>
      <c r="F5" s="300"/>
      <c r="G5" s="300"/>
      <c r="H5" s="300"/>
      <c r="I5" s="300"/>
    </row>
    <row r="6" spans="2:10" s="295" customFormat="1" ht="6.4" customHeight="1" x14ac:dyDescent="0.2">
      <c r="B6" s="1226"/>
      <c r="C6" s="1194"/>
      <c r="D6" s="1194"/>
      <c r="E6" s="1195"/>
      <c r="F6" s="1194"/>
      <c r="G6" s="1194"/>
      <c r="H6" s="1194"/>
      <c r="I6" s="1194"/>
    </row>
    <row r="7" spans="2:10" s="295" customFormat="1" ht="13.5" customHeight="1" x14ac:dyDescent="0.2">
      <c r="B7" s="2699" t="s">
        <v>1275</v>
      </c>
      <c r="C7" s="2700"/>
      <c r="D7" s="2700"/>
      <c r="E7" s="2700"/>
      <c r="F7" s="2700"/>
      <c r="G7" s="2700"/>
      <c r="H7" s="2700"/>
      <c r="I7" s="2700"/>
    </row>
    <row r="8" spans="2:10" s="295" customFormat="1" ht="6.4" customHeight="1" x14ac:dyDescent="0.2">
      <c r="B8" s="1227" t="s">
        <v>1161</v>
      </c>
      <c r="C8" s="1228"/>
      <c r="D8" s="1228"/>
      <c r="E8" s="1229"/>
      <c r="F8" s="1228"/>
      <c r="G8" s="1228"/>
      <c r="H8" s="1228"/>
      <c r="I8" s="1228"/>
    </row>
    <row r="9" spans="2:10" s="295" customFormat="1" ht="9.1999999999999993"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701"/>
      <c r="D11" s="2701"/>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702"/>
      <c r="E29" s="2702"/>
      <c r="F29" s="2702"/>
      <c r="G29" s="2702"/>
      <c r="H29" s="2702"/>
      <c r="I29" s="2702"/>
    </row>
    <row r="30" spans="2:9" s="295" customFormat="1" x14ac:dyDescent="0.2">
      <c r="B30" s="1183"/>
      <c r="C30" s="300"/>
      <c r="D30" s="1234" t="s">
        <v>1728</v>
      </c>
      <c r="E30" s="1235"/>
      <c r="F30" s="1235"/>
      <c r="G30" s="1235"/>
      <c r="H30" s="1235"/>
      <c r="I30" s="1235"/>
    </row>
    <row r="31" spans="2:9" s="295" customFormat="1" ht="10.15"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703" t="s">
        <v>1731</v>
      </c>
      <c r="D37" s="2704"/>
      <c r="E37" s="2704"/>
      <c r="F37" s="2705"/>
      <c r="G37" s="2703" t="s">
        <v>1578</v>
      </c>
      <c r="H37" s="2704"/>
      <c r="I37" s="2705"/>
    </row>
    <row r="38" spans="2:9" ht="16.5" customHeight="1" x14ac:dyDescent="0.2">
      <c r="B38" s="1245"/>
      <c r="C38" s="2691"/>
      <c r="D38" s="2692"/>
      <c r="E38" s="2692"/>
      <c r="F38" s="2693"/>
      <c r="G38" s="2706"/>
      <c r="H38" s="2707"/>
      <c r="I38" s="2708"/>
    </row>
    <row r="39" spans="2:9" ht="16.5" customHeight="1" x14ac:dyDescent="0.2">
      <c r="B39" s="1245"/>
      <c r="C39" s="2691"/>
      <c r="D39" s="2692"/>
      <c r="E39" s="2692"/>
      <c r="F39" s="2693"/>
      <c r="G39" s="2694"/>
      <c r="H39" s="2694"/>
      <c r="I39" s="2694"/>
    </row>
    <row r="40" spans="2:9" ht="16.5" customHeight="1" x14ac:dyDescent="0.2">
      <c r="B40" s="1245"/>
      <c r="C40" s="2691"/>
      <c r="D40" s="2692"/>
      <c r="E40" s="2692"/>
      <c r="F40" s="2693"/>
      <c r="G40" s="2694"/>
      <c r="H40" s="2694"/>
      <c r="I40" s="2694"/>
    </row>
    <row r="41" spans="2:9" ht="16.5" customHeight="1" x14ac:dyDescent="0.2">
      <c r="B41" s="1245"/>
      <c r="C41" s="2691"/>
      <c r="D41" s="2692"/>
      <c r="E41" s="2692"/>
      <c r="F41" s="2693"/>
      <c r="G41" s="2694"/>
      <c r="H41" s="2694"/>
      <c r="I41" s="2694"/>
    </row>
    <row r="42" spans="2:9" ht="16.5" customHeight="1" x14ac:dyDescent="0.2">
      <c r="B42" s="1245"/>
      <c r="C42" s="2691"/>
      <c r="D42" s="2692"/>
      <c r="E42" s="2692"/>
      <c r="F42" s="2693"/>
      <c r="G42" s="2694"/>
      <c r="H42" s="2694"/>
      <c r="I42" s="2694"/>
    </row>
    <row r="43" spans="2:9" ht="16.5" customHeight="1" x14ac:dyDescent="0.2">
      <c r="B43" s="1245"/>
      <c r="C43" s="2684" t="s">
        <v>1579</v>
      </c>
      <c r="D43" s="2685"/>
      <c r="E43" s="2685"/>
      <c r="F43" s="2686"/>
      <c r="G43" s="2687">
        <f>SUM(G38:I42)</f>
        <v>0</v>
      </c>
      <c r="H43" s="2687"/>
      <c r="I43" s="2687"/>
    </row>
    <row r="44" spans="2:9" ht="12.75" customHeight="1" x14ac:dyDescent="0.2"/>
    <row r="45" spans="2:9" ht="12.75" customHeight="1" x14ac:dyDescent="0.2">
      <c r="B45" s="1986" t="str">
        <f>"Total Federal Expenditures for 7/1/"&amp;MID('AFR20'!E2,3,2)-1&amp;"-6/30/"&amp;MID('AFR20'!E2,3,2)</f>
        <v>Total Federal Expenditures for 7/1/19-6/30/20</v>
      </c>
      <c r="C45" s="1987"/>
      <c r="D45" s="2688">
        <v>0</v>
      </c>
      <c r="E45" s="2689"/>
    </row>
    <row r="46" spans="2:9" ht="5.45" customHeight="1" x14ac:dyDescent="0.2">
      <c r="B46" s="1246"/>
      <c r="D46" s="1247"/>
      <c r="E46" s="1248"/>
    </row>
    <row r="47" spans="2:9" ht="12.75" customHeight="1" x14ac:dyDescent="0.2">
      <c r="B47" s="1121" t="s">
        <v>1580</v>
      </c>
      <c r="C47" s="1121"/>
      <c r="D47" s="1249" t="e">
        <f>+G43/D45</f>
        <v>#DIV/0!</v>
      </c>
      <c r="E47" s="1250"/>
      <c r="F47" s="1251"/>
      <c r="I47" s="1252"/>
    </row>
    <row r="48" spans="2:9" ht="10.15" customHeight="1" x14ac:dyDescent="0.2"/>
    <row r="49" spans="1:9" x14ac:dyDescent="0.2">
      <c r="B49" s="1183" t="s">
        <v>1264</v>
      </c>
      <c r="C49" s="1103"/>
      <c r="D49" s="1103"/>
      <c r="E49" s="2690"/>
      <c r="F49" s="2690"/>
      <c r="G49" s="2690"/>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oddFooter>&amp;RThe notes to the financial statements are an integral part of this statement.</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D311A-FD42-4B74-93ED-DC6494134804}">
  <sheetPr>
    <tabColor rgb="FFFFFF00"/>
  </sheetPr>
  <dimension ref="A1:M41"/>
  <sheetViews>
    <sheetView showGridLines="0" zoomScale="110" zoomScaleNormal="110" workbookViewId="0">
      <selection activeCell="B21" sqref="B2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95" t="str">
        <f>'Single Audit Cover'!A7</f>
        <v xml:space="preserve">   Williamsfield CUSD 210</v>
      </c>
      <c r="C1" s="2695"/>
      <c r="D1" s="2695"/>
      <c r="E1" s="2695"/>
      <c r="F1" s="2695"/>
      <c r="G1" s="2695"/>
      <c r="H1" s="2695"/>
      <c r="I1" s="2695"/>
      <c r="J1" s="2695"/>
      <c r="K1" s="2695"/>
      <c r="L1" s="1189"/>
      <c r="M1" s="1189"/>
    </row>
    <row r="2" spans="1:13" ht="12" customHeight="1" x14ac:dyDescent="0.2">
      <c r="B2" s="2697">
        <f>'Single Audit Cover'!E7</f>
        <v>33048210026</v>
      </c>
      <c r="C2" s="2697"/>
      <c r="D2" s="2697"/>
      <c r="E2" s="2697"/>
      <c r="F2" s="2697"/>
      <c r="G2" s="2697"/>
      <c r="H2" s="2697"/>
      <c r="I2" s="2697"/>
      <c r="J2" s="2697"/>
      <c r="K2" s="2697"/>
      <c r="L2" s="1190"/>
      <c r="M2" s="1191"/>
    </row>
    <row r="3" spans="1:13" ht="10.35" customHeight="1" x14ac:dyDescent="0.2">
      <c r="B3" s="2711" t="s">
        <v>1276</v>
      </c>
      <c r="C3" s="2711"/>
      <c r="D3" s="2711"/>
      <c r="E3" s="2711"/>
      <c r="F3" s="2711"/>
      <c r="G3" s="2711"/>
      <c r="H3" s="2711"/>
      <c r="I3" s="2711"/>
      <c r="J3" s="2711"/>
      <c r="K3" s="2711"/>
      <c r="L3" s="1990"/>
      <c r="M3" s="1990"/>
    </row>
    <row r="4" spans="1:13" ht="14.25" customHeight="1" x14ac:dyDescent="0.2">
      <c r="B4" s="2712" t="str">
        <f>'Single Audit Cover'!A4</f>
        <v>Year Ending June 30, 2020</v>
      </c>
      <c r="C4" s="2712"/>
      <c r="D4" s="2712"/>
      <c r="E4" s="2712"/>
      <c r="F4" s="2712"/>
      <c r="G4" s="2712"/>
      <c r="H4" s="2712"/>
      <c r="I4" s="2712"/>
      <c r="J4" s="2712"/>
      <c r="K4" s="2712"/>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12" t="s">
        <v>1287</v>
      </c>
      <c r="C7" s="2712"/>
      <c r="D7" s="2713"/>
      <c r="E7" s="2713"/>
      <c r="F7" s="2713"/>
      <c r="G7" s="2713"/>
      <c r="H7" s="2713"/>
      <c r="I7" s="2713"/>
      <c r="J7" s="2713"/>
      <c r="K7" s="2713"/>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8" t="str">
        <f>'AFR20'!$E$2&amp;"-"</f>
        <v>2020-</v>
      </c>
      <c r="D10" s="1200">
        <v>1</v>
      </c>
      <c r="E10" s="300"/>
      <c r="F10" s="1201" t="s">
        <v>1286</v>
      </c>
      <c r="G10" s="1202"/>
      <c r="H10" s="1203" t="s">
        <v>1285</v>
      </c>
      <c r="I10" s="1202" t="s">
        <v>2021</v>
      </c>
      <c r="J10" s="1204" t="s">
        <v>1284</v>
      </c>
      <c r="K10" s="300"/>
      <c r="L10" s="1196"/>
    </row>
    <row r="11" spans="1:13" ht="13.5" customHeight="1" x14ac:dyDescent="0.2">
      <c r="B11" s="300"/>
      <c r="C11" s="300"/>
      <c r="D11" s="300"/>
      <c r="E11" s="300"/>
      <c r="F11" s="300"/>
      <c r="G11" s="1198"/>
      <c r="H11" s="300"/>
      <c r="I11" s="1205" t="s">
        <v>1283</v>
      </c>
      <c r="J11" s="300"/>
      <c r="K11" s="1206">
        <v>2009</v>
      </c>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10" t="s">
        <v>2051</v>
      </c>
      <c r="C14" s="2710"/>
      <c r="D14" s="2710"/>
      <c r="E14" s="2710"/>
      <c r="F14" s="2710"/>
      <c r="G14" s="2710"/>
      <c r="H14" s="2710"/>
      <c r="I14" s="2710"/>
      <c r="J14" s="2710"/>
      <c r="K14" s="2710"/>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10" t="s">
        <v>2052</v>
      </c>
      <c r="C17" s="2710"/>
      <c r="D17" s="2710"/>
      <c r="E17" s="2710"/>
      <c r="F17" s="2710"/>
      <c r="G17" s="2710"/>
      <c r="H17" s="2710"/>
      <c r="I17" s="2710"/>
      <c r="J17" s="2710"/>
      <c r="K17" s="2710"/>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714" t="s">
        <v>2057</v>
      </c>
      <c r="C20" s="2714"/>
      <c r="D20" s="2710"/>
      <c r="E20" s="2710"/>
      <c r="F20" s="2710"/>
      <c r="G20" s="2710"/>
      <c r="H20" s="2710"/>
      <c r="I20" s="2710"/>
      <c r="J20" s="2710"/>
      <c r="K20" s="2710"/>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2" customHeight="1" x14ac:dyDescent="0.2">
      <c r="B23" s="2710" t="s">
        <v>2053</v>
      </c>
      <c r="C23" s="2710"/>
      <c r="D23" s="2710"/>
      <c r="E23" s="2710"/>
      <c r="F23" s="2710"/>
      <c r="G23" s="2710"/>
      <c r="H23" s="2710"/>
      <c r="I23" s="2710"/>
      <c r="J23" s="2710"/>
      <c r="K23" s="2710"/>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10" t="s">
        <v>2054</v>
      </c>
      <c r="C26" s="2710"/>
      <c r="D26" s="2710"/>
      <c r="E26" s="2710"/>
      <c r="F26" s="2710"/>
      <c r="G26" s="2710"/>
      <c r="H26" s="2710"/>
      <c r="I26" s="2710"/>
      <c r="J26" s="2710"/>
      <c r="K26" s="2710"/>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9" t="s">
        <v>2055</v>
      </c>
      <c r="C29" s="2709"/>
      <c r="D29" s="2710"/>
      <c r="E29" s="2710"/>
      <c r="F29" s="2710"/>
      <c r="G29" s="2710"/>
      <c r="H29" s="2710"/>
      <c r="I29" s="2710"/>
      <c r="J29" s="2710"/>
      <c r="K29" s="2710"/>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709" t="s">
        <v>2056</v>
      </c>
      <c r="C32" s="2709"/>
      <c r="D32" s="2710"/>
      <c r="E32" s="2710"/>
      <c r="F32" s="2710"/>
      <c r="G32" s="2710"/>
      <c r="H32" s="2710"/>
      <c r="I32" s="2710"/>
      <c r="J32" s="2710"/>
      <c r="K32" s="2710"/>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75"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&amp;RThe notes to the financial statements are an integral part of this statement.</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E1E1A-EC8B-4429-8E69-236EB5BD7F4F}">
  <sheetPr>
    <tabColor rgb="FFFFFF00"/>
  </sheetPr>
  <dimension ref="A1:M41"/>
  <sheetViews>
    <sheetView showGridLines="0" topLeftCell="A22" zoomScale="110" zoomScaleNormal="110" workbookViewId="0">
      <selection activeCell="K34" sqref="K3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95" t="str">
        <f>'Single Audit Cover'!A7</f>
        <v xml:space="preserve">   Williamsfield CUSD 210</v>
      </c>
      <c r="C1" s="2695"/>
      <c r="D1" s="2695"/>
      <c r="E1" s="2695"/>
      <c r="F1" s="2695"/>
      <c r="G1" s="2695"/>
      <c r="H1" s="2695"/>
      <c r="I1" s="2695"/>
      <c r="J1" s="2695"/>
      <c r="K1" s="2695"/>
      <c r="L1" s="1189"/>
      <c r="M1" s="1189"/>
    </row>
    <row r="2" spans="1:13" ht="12" customHeight="1" x14ac:dyDescent="0.2">
      <c r="B2" s="2697">
        <f>'Single Audit Cover'!E7</f>
        <v>33048210026</v>
      </c>
      <c r="C2" s="2697"/>
      <c r="D2" s="2697"/>
      <c r="E2" s="2697"/>
      <c r="F2" s="2697"/>
      <c r="G2" s="2697"/>
      <c r="H2" s="2697"/>
      <c r="I2" s="2697"/>
      <c r="J2" s="2697"/>
      <c r="K2" s="2697"/>
      <c r="L2" s="1190"/>
      <c r="M2" s="1191"/>
    </row>
    <row r="3" spans="1:13" ht="10.35" customHeight="1" x14ac:dyDescent="0.2">
      <c r="B3" s="2711" t="s">
        <v>1276</v>
      </c>
      <c r="C3" s="2711"/>
      <c r="D3" s="2711"/>
      <c r="E3" s="2711"/>
      <c r="F3" s="2711"/>
      <c r="G3" s="2711"/>
      <c r="H3" s="2711"/>
      <c r="I3" s="2711"/>
      <c r="J3" s="2711"/>
      <c r="K3" s="2711"/>
      <c r="L3" s="1990"/>
      <c r="M3" s="1990"/>
    </row>
    <row r="4" spans="1:13" ht="14.25" customHeight="1" x14ac:dyDescent="0.2">
      <c r="B4" s="2712" t="str">
        <f>'Single Audit Cover'!A4</f>
        <v>Year Ending June 30, 2020</v>
      </c>
      <c r="C4" s="2712"/>
      <c r="D4" s="2712"/>
      <c r="E4" s="2712"/>
      <c r="F4" s="2712"/>
      <c r="G4" s="2712"/>
      <c r="H4" s="2712"/>
      <c r="I4" s="2712"/>
      <c r="J4" s="2712"/>
      <c r="K4" s="2712"/>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12" t="s">
        <v>1287</v>
      </c>
      <c r="C7" s="2712"/>
      <c r="D7" s="2713"/>
      <c r="E7" s="2713"/>
      <c r="F7" s="2713"/>
      <c r="G7" s="2713"/>
      <c r="H7" s="2713"/>
      <c r="I7" s="2713"/>
      <c r="J7" s="2713"/>
      <c r="K7" s="2713"/>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8" t="str">
        <f>'AFR20'!$E$2&amp;"-"</f>
        <v>2020-</v>
      </c>
      <c r="D10" s="1200">
        <v>2</v>
      </c>
      <c r="E10" s="300"/>
      <c r="F10" s="1201" t="s">
        <v>1286</v>
      </c>
      <c r="G10" s="1202"/>
      <c r="H10" s="1203" t="s">
        <v>1285</v>
      </c>
      <c r="I10" s="1202" t="s">
        <v>2021</v>
      </c>
      <c r="J10" s="1204" t="s">
        <v>1284</v>
      </c>
      <c r="K10" s="300"/>
      <c r="L10" s="1196"/>
    </row>
    <row r="11" spans="1:13" ht="13.5" customHeight="1" x14ac:dyDescent="0.2">
      <c r="B11" s="300"/>
      <c r="C11" s="300"/>
      <c r="D11" s="300"/>
      <c r="E11" s="300"/>
      <c r="F11" s="300"/>
      <c r="G11" s="1198"/>
      <c r="H11" s="300"/>
      <c r="I11" s="1205" t="s">
        <v>1283</v>
      </c>
      <c r="J11" s="300"/>
      <c r="K11" s="1206">
        <v>2008</v>
      </c>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10" t="s">
        <v>2058</v>
      </c>
      <c r="C14" s="2710"/>
      <c r="D14" s="2710"/>
      <c r="E14" s="2710"/>
      <c r="F14" s="2710"/>
      <c r="G14" s="2710"/>
      <c r="H14" s="2710"/>
      <c r="I14" s="2710"/>
      <c r="J14" s="2710"/>
      <c r="K14" s="2710"/>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10" t="s">
        <v>2059</v>
      </c>
      <c r="C17" s="2710"/>
      <c r="D17" s="2710"/>
      <c r="E17" s="2710"/>
      <c r="F17" s="2710"/>
      <c r="G17" s="2710"/>
      <c r="H17" s="2710"/>
      <c r="I17" s="2710"/>
      <c r="J17" s="2710"/>
      <c r="K17" s="2710"/>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714"/>
      <c r="C20" s="2714"/>
      <c r="D20" s="2710"/>
      <c r="E20" s="2710"/>
      <c r="F20" s="2710"/>
      <c r="G20" s="2710"/>
      <c r="H20" s="2710"/>
      <c r="I20" s="2710"/>
      <c r="J20" s="2710"/>
      <c r="K20" s="2710"/>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2" customHeight="1" x14ac:dyDescent="0.2">
      <c r="B23" s="2710" t="s">
        <v>2060</v>
      </c>
      <c r="C23" s="2710"/>
      <c r="D23" s="2710"/>
      <c r="E23" s="2710"/>
      <c r="F23" s="2710"/>
      <c r="G23" s="2710"/>
      <c r="H23" s="2710"/>
      <c r="I23" s="2710"/>
      <c r="J23" s="2710"/>
      <c r="K23" s="2710"/>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10" t="s">
        <v>2061</v>
      </c>
      <c r="C26" s="2710"/>
      <c r="D26" s="2710"/>
      <c r="E26" s="2710"/>
      <c r="F26" s="2710"/>
      <c r="G26" s="2710"/>
      <c r="H26" s="2710"/>
      <c r="I26" s="2710"/>
      <c r="J26" s="2710"/>
      <c r="K26" s="2710"/>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9" t="s">
        <v>2062</v>
      </c>
      <c r="C29" s="2709"/>
      <c r="D29" s="2710"/>
      <c r="E29" s="2710"/>
      <c r="F29" s="2710"/>
      <c r="G29" s="2710"/>
      <c r="H29" s="2710"/>
      <c r="I29" s="2710"/>
      <c r="J29" s="2710"/>
      <c r="K29" s="2710"/>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709" t="s">
        <v>2063</v>
      </c>
      <c r="C32" s="2709"/>
      <c r="D32" s="2710"/>
      <c r="E32" s="2710"/>
      <c r="F32" s="2710"/>
      <c r="G32" s="2710"/>
      <c r="H32" s="2710"/>
      <c r="I32" s="2710"/>
      <c r="J32" s="2710"/>
      <c r="K32" s="2710"/>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75"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&amp;RThe notes to the financial statements are an integral part of this statement.</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M41"/>
  <sheetViews>
    <sheetView showGridLines="0" zoomScale="110" zoomScaleNormal="110" workbookViewId="0">
      <selection activeCell="B37" sqref="B3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95" t="str">
        <f>'Single Audit Cover'!A7</f>
        <v xml:space="preserve">   Williamsfield CUSD 210</v>
      </c>
      <c r="C1" s="2695"/>
      <c r="D1" s="2695"/>
      <c r="E1" s="2695"/>
      <c r="F1" s="2695"/>
      <c r="G1" s="2695"/>
      <c r="H1" s="2695"/>
      <c r="I1" s="2695"/>
      <c r="J1" s="2695"/>
      <c r="K1" s="2695"/>
      <c r="L1" s="1189"/>
      <c r="M1" s="1189"/>
    </row>
    <row r="2" spans="1:13" ht="12" customHeight="1" x14ac:dyDescent="0.2">
      <c r="B2" s="2697">
        <f>'Single Audit Cover'!E7</f>
        <v>33048210026</v>
      </c>
      <c r="C2" s="2697"/>
      <c r="D2" s="2697"/>
      <c r="E2" s="2697"/>
      <c r="F2" s="2697"/>
      <c r="G2" s="2697"/>
      <c r="H2" s="2697"/>
      <c r="I2" s="2697"/>
      <c r="J2" s="2697"/>
      <c r="K2" s="2697"/>
      <c r="L2" s="1190"/>
      <c r="M2" s="1191"/>
    </row>
    <row r="3" spans="1:13" ht="10.35" customHeight="1" x14ac:dyDescent="0.2">
      <c r="B3" s="2711" t="s">
        <v>1276</v>
      </c>
      <c r="C3" s="2711"/>
      <c r="D3" s="2711"/>
      <c r="E3" s="2711"/>
      <c r="F3" s="2711"/>
      <c r="G3" s="2711"/>
      <c r="H3" s="2711"/>
      <c r="I3" s="2711"/>
      <c r="J3" s="2711"/>
      <c r="K3" s="2711"/>
      <c r="L3" s="1192"/>
      <c r="M3" s="1192"/>
    </row>
    <row r="4" spans="1:13" ht="14.25" customHeight="1" x14ac:dyDescent="0.2">
      <c r="B4" s="2712" t="str">
        <f>'Single Audit Cover'!A4</f>
        <v>Year Ending June 30, 2020</v>
      </c>
      <c r="C4" s="2712"/>
      <c r="D4" s="2712"/>
      <c r="E4" s="2712"/>
      <c r="F4" s="2712"/>
      <c r="G4" s="2712"/>
      <c r="H4" s="2712"/>
      <c r="I4" s="2712"/>
      <c r="J4" s="2712"/>
      <c r="K4" s="2712"/>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12" t="s">
        <v>1287</v>
      </c>
      <c r="C7" s="2712"/>
      <c r="D7" s="2713"/>
      <c r="E7" s="2713"/>
      <c r="F7" s="2713"/>
      <c r="G7" s="2713"/>
      <c r="H7" s="2713"/>
      <c r="I7" s="2713"/>
      <c r="J7" s="2713"/>
      <c r="K7" s="2713"/>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8" t="str">
        <f>'AFR20'!$E$2&amp;"-"</f>
        <v>2020-</v>
      </c>
      <c r="D10" s="1200">
        <v>3</v>
      </c>
      <c r="E10" s="300"/>
      <c r="F10" s="1201" t="s">
        <v>1286</v>
      </c>
      <c r="G10" s="1202"/>
      <c r="H10" s="1203" t="s">
        <v>1285</v>
      </c>
      <c r="I10" s="1202" t="s">
        <v>2021</v>
      </c>
      <c r="J10" s="1204" t="s">
        <v>1284</v>
      </c>
      <c r="K10" s="300"/>
      <c r="L10" s="1196"/>
    </row>
    <row r="11" spans="1:13" ht="13.5" customHeight="1" x14ac:dyDescent="0.2">
      <c r="B11" s="300"/>
      <c r="C11" s="300"/>
      <c r="D11" s="300"/>
      <c r="E11" s="300"/>
      <c r="F11" s="300"/>
      <c r="G11" s="1198"/>
      <c r="H11" s="300"/>
      <c r="I11" s="1205" t="s">
        <v>1283</v>
      </c>
      <c r="J11" s="300"/>
      <c r="K11" s="1206">
        <v>2017</v>
      </c>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10" t="s">
        <v>2064</v>
      </c>
      <c r="C14" s="2710"/>
      <c r="D14" s="2710"/>
      <c r="E14" s="2710"/>
      <c r="F14" s="2710"/>
      <c r="G14" s="2710"/>
      <c r="H14" s="2710"/>
      <c r="I14" s="2710"/>
      <c r="J14" s="2710"/>
      <c r="K14" s="2710"/>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10" t="s">
        <v>2065</v>
      </c>
      <c r="C17" s="2710"/>
      <c r="D17" s="2710"/>
      <c r="E17" s="2710"/>
      <c r="F17" s="2710"/>
      <c r="G17" s="2710"/>
      <c r="H17" s="2710"/>
      <c r="I17" s="2710"/>
      <c r="J17" s="2710"/>
      <c r="K17" s="2710"/>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714" t="s">
        <v>2066</v>
      </c>
      <c r="C20" s="2714"/>
      <c r="D20" s="2710"/>
      <c r="E20" s="2710"/>
      <c r="F20" s="2710"/>
      <c r="G20" s="2710"/>
      <c r="H20" s="2710"/>
      <c r="I20" s="2710"/>
      <c r="J20" s="2710"/>
      <c r="K20" s="2710"/>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2" customHeight="1" x14ac:dyDescent="0.2">
      <c r="B23" s="2710" t="s">
        <v>2067</v>
      </c>
      <c r="C23" s="2710"/>
      <c r="D23" s="2710"/>
      <c r="E23" s="2710"/>
      <c r="F23" s="2710"/>
      <c r="G23" s="2710"/>
      <c r="H23" s="2710"/>
      <c r="I23" s="2710"/>
      <c r="J23" s="2710"/>
      <c r="K23" s="2710"/>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10" t="s">
        <v>2068</v>
      </c>
      <c r="C26" s="2710"/>
      <c r="D26" s="2710"/>
      <c r="E26" s="2710"/>
      <c r="F26" s="2710"/>
      <c r="G26" s="2710"/>
      <c r="H26" s="2710"/>
      <c r="I26" s="2710"/>
      <c r="J26" s="2710"/>
      <c r="K26" s="2710"/>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9"/>
      <c r="C29" s="2709"/>
      <c r="D29" s="2710"/>
      <c r="E29" s="2710"/>
      <c r="F29" s="2710"/>
      <c r="G29" s="2710"/>
      <c r="H29" s="2710"/>
      <c r="I29" s="2710"/>
      <c r="J29" s="2710"/>
      <c r="K29" s="2710"/>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709" t="s">
        <v>2069</v>
      </c>
      <c r="C32" s="2709"/>
      <c r="D32" s="2710"/>
      <c r="E32" s="2710"/>
      <c r="F32" s="2710"/>
      <c r="G32" s="2710"/>
      <c r="H32" s="2710"/>
      <c r="I32" s="2710"/>
      <c r="J32" s="2710"/>
      <c r="K32" s="2710"/>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75"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&amp;RThe notes to the financial statements are an integral part of this statement.</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D6CAD-C148-4C16-8B3A-8C485DE4DC32}">
  <sheetPr>
    <tabColor rgb="FFFFFF00"/>
  </sheetPr>
  <dimension ref="A1:M41"/>
  <sheetViews>
    <sheetView showGridLines="0" zoomScale="110" zoomScaleNormal="110" workbookViewId="0">
      <selection activeCell="B32" sqref="B32:K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95" t="str">
        <f>'Single Audit Cover'!A7</f>
        <v xml:space="preserve">   Williamsfield CUSD 210</v>
      </c>
      <c r="C1" s="2695"/>
      <c r="D1" s="2695"/>
      <c r="E1" s="2695"/>
      <c r="F1" s="2695"/>
      <c r="G1" s="2695"/>
      <c r="H1" s="2695"/>
      <c r="I1" s="2695"/>
      <c r="J1" s="2695"/>
      <c r="K1" s="2695"/>
      <c r="L1" s="1189"/>
      <c r="M1" s="1189"/>
    </row>
    <row r="2" spans="1:13" ht="12" customHeight="1" x14ac:dyDescent="0.2">
      <c r="B2" s="2697">
        <f>'Single Audit Cover'!E7</f>
        <v>33048210026</v>
      </c>
      <c r="C2" s="2697"/>
      <c r="D2" s="2697"/>
      <c r="E2" s="2697"/>
      <c r="F2" s="2697"/>
      <c r="G2" s="2697"/>
      <c r="H2" s="2697"/>
      <c r="I2" s="2697"/>
      <c r="J2" s="2697"/>
      <c r="K2" s="2697"/>
      <c r="L2" s="1190"/>
      <c r="M2" s="1191"/>
    </row>
    <row r="3" spans="1:13" ht="10.35" customHeight="1" x14ac:dyDescent="0.2">
      <c r="B3" s="2711" t="s">
        <v>1276</v>
      </c>
      <c r="C3" s="2711"/>
      <c r="D3" s="2711"/>
      <c r="E3" s="2711"/>
      <c r="F3" s="2711"/>
      <c r="G3" s="2711"/>
      <c r="H3" s="2711"/>
      <c r="I3" s="2711"/>
      <c r="J3" s="2711"/>
      <c r="K3" s="2711"/>
      <c r="L3" s="2109"/>
      <c r="M3" s="2109"/>
    </row>
    <row r="4" spans="1:13" ht="14.25" customHeight="1" x14ac:dyDescent="0.2">
      <c r="B4" s="2712" t="str">
        <f>'Single Audit Cover'!A4</f>
        <v>Year Ending June 30, 2020</v>
      </c>
      <c r="C4" s="2712"/>
      <c r="D4" s="2712"/>
      <c r="E4" s="2712"/>
      <c r="F4" s="2712"/>
      <c r="G4" s="2712"/>
      <c r="H4" s="2712"/>
      <c r="I4" s="2712"/>
      <c r="J4" s="2712"/>
      <c r="K4" s="2712"/>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12" t="s">
        <v>1287</v>
      </c>
      <c r="C7" s="2712"/>
      <c r="D7" s="2713"/>
      <c r="E7" s="2713"/>
      <c r="F7" s="2713"/>
      <c r="G7" s="2713"/>
      <c r="H7" s="2713"/>
      <c r="I7" s="2713"/>
      <c r="J7" s="2713"/>
      <c r="K7" s="2713"/>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8" t="str">
        <f>'AFR20'!$E$2&amp;"-"</f>
        <v>2020-</v>
      </c>
      <c r="D10" s="1200">
        <v>4</v>
      </c>
      <c r="E10" s="300"/>
      <c r="F10" s="1201" t="s">
        <v>1286</v>
      </c>
      <c r="G10" s="1202"/>
      <c r="H10" s="1203" t="s">
        <v>1285</v>
      </c>
      <c r="I10" s="1202" t="s">
        <v>2021</v>
      </c>
      <c r="J10" s="1204" t="s">
        <v>1284</v>
      </c>
      <c r="K10" s="300"/>
      <c r="L10" s="1196"/>
    </row>
    <row r="11" spans="1:13" ht="13.5" customHeight="1" x14ac:dyDescent="0.2">
      <c r="B11" s="300"/>
      <c r="C11" s="300"/>
      <c r="D11" s="300"/>
      <c r="E11" s="300"/>
      <c r="F11" s="300"/>
      <c r="G11" s="1198"/>
      <c r="H11" s="300"/>
      <c r="I11" s="1205" t="s">
        <v>1283</v>
      </c>
      <c r="J11" s="300"/>
      <c r="K11" s="1206">
        <v>2019</v>
      </c>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10" t="s">
        <v>2127</v>
      </c>
      <c r="C14" s="2710"/>
      <c r="D14" s="2710"/>
      <c r="E14" s="2710"/>
      <c r="F14" s="2710"/>
      <c r="G14" s="2710"/>
      <c r="H14" s="2710"/>
      <c r="I14" s="2710"/>
      <c r="J14" s="2710"/>
      <c r="K14" s="2710"/>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10" t="s">
        <v>2132</v>
      </c>
      <c r="C17" s="2710"/>
      <c r="D17" s="2710"/>
      <c r="E17" s="2710"/>
      <c r="F17" s="2710"/>
      <c r="G17" s="2710"/>
      <c r="H17" s="2710"/>
      <c r="I17" s="2710"/>
      <c r="J17" s="2710"/>
      <c r="K17" s="2710"/>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714" t="s">
        <v>2128</v>
      </c>
      <c r="C20" s="2714"/>
      <c r="D20" s="2710"/>
      <c r="E20" s="2710"/>
      <c r="F20" s="2710"/>
      <c r="G20" s="2710"/>
      <c r="H20" s="2710"/>
      <c r="I20" s="2710"/>
      <c r="J20" s="2710"/>
      <c r="K20" s="2710"/>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2" customHeight="1" x14ac:dyDescent="0.2">
      <c r="B23" s="2710" t="s">
        <v>2129</v>
      </c>
      <c r="C23" s="2710"/>
      <c r="D23" s="2710"/>
      <c r="E23" s="2710"/>
      <c r="F23" s="2710"/>
      <c r="G23" s="2710"/>
      <c r="H23" s="2710"/>
      <c r="I23" s="2710"/>
      <c r="J23" s="2710"/>
      <c r="K23" s="2710"/>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10" t="s">
        <v>2133</v>
      </c>
      <c r="C26" s="2710"/>
      <c r="D26" s="2710"/>
      <c r="E26" s="2710"/>
      <c r="F26" s="2710"/>
      <c r="G26" s="2710"/>
      <c r="H26" s="2710"/>
      <c r="I26" s="2710"/>
      <c r="J26" s="2710"/>
      <c r="K26" s="2710"/>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10" t="s">
        <v>2130</v>
      </c>
      <c r="C29" s="2710"/>
      <c r="D29" s="2710"/>
      <c r="E29" s="2710"/>
      <c r="F29" s="2710"/>
      <c r="G29" s="2710"/>
      <c r="H29" s="2710"/>
      <c r="I29" s="2710"/>
      <c r="J29" s="2710"/>
      <c r="K29" s="2710"/>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710" t="s">
        <v>2131</v>
      </c>
      <c r="C32" s="2710"/>
      <c r="D32" s="2710"/>
      <c r="E32" s="2710"/>
      <c r="F32" s="2710"/>
      <c r="G32" s="2710"/>
      <c r="H32" s="2710"/>
      <c r="I32" s="2710"/>
      <c r="J32" s="2710"/>
      <c r="K32" s="2710"/>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75"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&amp;RThe notes to the financial statements are an integral part of this statement.</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5A3D4-A5D4-445D-9912-D1D2D72460A5}">
  <sheetPr>
    <tabColor rgb="FFFFFF00"/>
  </sheetPr>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95" t="str">
        <f>'Single Audit Cover'!A7</f>
        <v xml:space="preserve">   Williamsfield CUSD 210</v>
      </c>
      <c r="C1" s="2695"/>
      <c r="D1" s="2695"/>
      <c r="E1" s="2695"/>
      <c r="F1" s="2695"/>
      <c r="G1" s="2695"/>
      <c r="H1" s="2695"/>
      <c r="I1" s="2695"/>
      <c r="J1" s="2695"/>
      <c r="K1" s="2695"/>
      <c r="L1" s="1189"/>
      <c r="M1" s="1189"/>
    </row>
    <row r="2" spans="1:13" ht="12" customHeight="1" x14ac:dyDescent="0.2">
      <c r="B2" s="2697">
        <f>'Single Audit Cover'!E7</f>
        <v>33048210026</v>
      </c>
      <c r="C2" s="2697"/>
      <c r="D2" s="2697"/>
      <c r="E2" s="2697"/>
      <c r="F2" s="2697"/>
      <c r="G2" s="2697"/>
      <c r="H2" s="2697"/>
      <c r="I2" s="2697"/>
      <c r="J2" s="2697"/>
      <c r="K2" s="2697"/>
      <c r="L2" s="1190"/>
      <c r="M2" s="1191"/>
    </row>
    <row r="3" spans="1:13" ht="10.35" customHeight="1" x14ac:dyDescent="0.2">
      <c r="B3" s="2711" t="s">
        <v>1276</v>
      </c>
      <c r="C3" s="2711"/>
      <c r="D3" s="2711"/>
      <c r="E3" s="2711"/>
      <c r="F3" s="2711"/>
      <c r="G3" s="2711"/>
      <c r="H3" s="2711"/>
      <c r="I3" s="2711"/>
      <c r="J3" s="2711"/>
      <c r="K3" s="2711"/>
      <c r="L3" s="1990"/>
      <c r="M3" s="1990"/>
    </row>
    <row r="4" spans="1:13" ht="14.25" customHeight="1" x14ac:dyDescent="0.2">
      <c r="B4" s="2712" t="str">
        <f>'Single Audit Cover'!A4</f>
        <v>Year Ending June 30, 2020</v>
      </c>
      <c r="C4" s="2712"/>
      <c r="D4" s="2712"/>
      <c r="E4" s="2712"/>
      <c r="F4" s="2712"/>
      <c r="G4" s="2712"/>
      <c r="H4" s="2712"/>
      <c r="I4" s="2712"/>
      <c r="J4" s="2712"/>
      <c r="K4" s="2712"/>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12" t="s">
        <v>1287</v>
      </c>
      <c r="C7" s="2712"/>
      <c r="D7" s="2713"/>
      <c r="E7" s="2713"/>
      <c r="F7" s="2713"/>
      <c r="G7" s="2713"/>
      <c r="H7" s="2713"/>
      <c r="I7" s="2713"/>
      <c r="J7" s="2713"/>
      <c r="K7" s="2713"/>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8" t="str">
        <f>'AFR20'!$E$2&amp;"-"</f>
        <v>2020-</v>
      </c>
      <c r="D10" s="1200">
        <v>5</v>
      </c>
      <c r="E10" s="300"/>
      <c r="F10" s="1201" t="s">
        <v>1286</v>
      </c>
      <c r="G10" s="1202" t="s">
        <v>2021</v>
      </c>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10" t="s">
        <v>2082</v>
      </c>
      <c r="C14" s="2710"/>
      <c r="D14" s="2710"/>
      <c r="E14" s="2710"/>
      <c r="F14" s="2710"/>
      <c r="G14" s="2710"/>
      <c r="H14" s="2710"/>
      <c r="I14" s="2710"/>
      <c r="J14" s="2710"/>
      <c r="K14" s="2710"/>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10" t="s">
        <v>2083</v>
      </c>
      <c r="C17" s="2710"/>
      <c r="D17" s="2710"/>
      <c r="E17" s="2710"/>
      <c r="F17" s="2710"/>
      <c r="G17" s="2710"/>
      <c r="H17" s="2710"/>
      <c r="I17" s="2710"/>
      <c r="J17" s="2710"/>
      <c r="K17" s="2710"/>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714" t="s">
        <v>2084</v>
      </c>
      <c r="C20" s="2714"/>
      <c r="D20" s="2710"/>
      <c r="E20" s="2710"/>
      <c r="F20" s="2710"/>
      <c r="G20" s="2710"/>
      <c r="H20" s="2710"/>
      <c r="I20" s="2710"/>
      <c r="J20" s="2710"/>
      <c r="K20" s="2710"/>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2" customHeight="1" x14ac:dyDescent="0.2">
      <c r="B23" s="2710" t="s">
        <v>2085</v>
      </c>
      <c r="C23" s="2710"/>
      <c r="D23" s="2710"/>
      <c r="E23" s="2710"/>
      <c r="F23" s="2710"/>
      <c r="G23" s="2710"/>
      <c r="H23" s="2710"/>
      <c r="I23" s="2710"/>
      <c r="J23" s="2710"/>
      <c r="K23" s="2710"/>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10" t="s">
        <v>2086</v>
      </c>
      <c r="C26" s="2710"/>
      <c r="D26" s="2710"/>
      <c r="E26" s="2710"/>
      <c r="F26" s="2710"/>
      <c r="G26" s="2710"/>
      <c r="H26" s="2710"/>
      <c r="I26" s="2710"/>
      <c r="J26" s="2710"/>
      <c r="K26" s="2710"/>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9" t="s">
        <v>2087</v>
      </c>
      <c r="C29" s="2709"/>
      <c r="D29" s="2710"/>
      <c r="E29" s="2710"/>
      <c r="F29" s="2710"/>
      <c r="G29" s="2710"/>
      <c r="H29" s="2710"/>
      <c r="I29" s="2710"/>
      <c r="J29" s="2710"/>
      <c r="K29" s="2710"/>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709" t="s">
        <v>2088</v>
      </c>
      <c r="C32" s="2709"/>
      <c r="D32" s="2710"/>
      <c r="E32" s="2710"/>
      <c r="F32" s="2710"/>
      <c r="G32" s="2710"/>
      <c r="H32" s="2710"/>
      <c r="I32" s="2710"/>
      <c r="J32" s="2710"/>
      <c r="K32" s="2710"/>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75" customHeight="1" x14ac:dyDescent="0.2">
      <c r="B40" s="1221" t="s">
        <v>1727</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&amp;RThe notes to the financial statements are an integral part of this statement.</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CCFFCC"/>
  </sheetPr>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8" t="str">
        <f>'Single Audit Cover'!A7</f>
        <v xml:space="preserve">   Williamsfield CUSD 210</v>
      </c>
      <c r="C1" s="2718"/>
      <c r="D1" s="2718"/>
      <c r="E1" s="2718"/>
      <c r="F1" s="2718"/>
      <c r="G1" s="2718"/>
      <c r="H1" s="2718"/>
      <c r="I1" s="2718"/>
      <c r="J1" s="2718"/>
      <c r="K1" s="2718"/>
      <c r="L1" s="1266"/>
    </row>
    <row r="2" spans="1:12" ht="12.75" customHeight="1" x14ac:dyDescent="0.2">
      <c r="B2" s="2719">
        <f>'Single Audit Cover'!E7</f>
        <v>33048210026</v>
      </c>
      <c r="C2" s="2719"/>
      <c r="D2" s="2719"/>
      <c r="E2" s="2719"/>
      <c r="F2" s="2719"/>
      <c r="G2" s="2719"/>
      <c r="H2" s="2719"/>
      <c r="I2" s="2719"/>
      <c r="J2" s="2719"/>
      <c r="K2" s="2719"/>
      <c r="L2" s="1267"/>
    </row>
    <row r="3" spans="1:12" ht="12.75" customHeight="1" x14ac:dyDescent="0.2">
      <c r="B3" s="2711" t="s">
        <v>1276</v>
      </c>
      <c r="C3" s="2711"/>
      <c r="D3" s="2711"/>
      <c r="E3" s="2711"/>
      <c r="F3" s="2711"/>
      <c r="G3" s="2711"/>
      <c r="H3" s="2711"/>
      <c r="I3" s="2711"/>
      <c r="J3" s="2711"/>
      <c r="K3" s="2711"/>
      <c r="L3" s="1192"/>
    </row>
    <row r="4" spans="1:12" ht="12.75" customHeight="1" x14ac:dyDescent="0.2">
      <c r="B4" s="2711" t="str">
        <f>'Single Audit Cover'!A4</f>
        <v>Year Ending June 30, 2020</v>
      </c>
      <c r="C4" s="2711"/>
      <c r="D4" s="2711"/>
      <c r="E4" s="2711"/>
      <c r="F4" s="2711"/>
      <c r="G4" s="2711"/>
      <c r="H4" s="2711"/>
      <c r="I4" s="2711"/>
      <c r="J4" s="2711"/>
      <c r="K4" s="2711"/>
      <c r="L4" s="1192"/>
    </row>
    <row r="5" spans="1:12" ht="5.45" customHeight="1" x14ac:dyDescent="0.2">
      <c r="B5" s="1081" t="s">
        <v>1161</v>
      </c>
      <c r="C5" s="1081"/>
      <c r="L5" s="300"/>
    </row>
    <row r="6" spans="1:12" ht="30.75" customHeight="1" x14ac:dyDescent="0.2">
      <c r="A6" s="300"/>
      <c r="B6" s="2720" t="s">
        <v>1299</v>
      </c>
      <c r="C6" s="2720"/>
      <c r="D6" s="2720"/>
      <c r="E6" s="2720"/>
      <c r="F6" s="2720"/>
      <c r="G6" s="2720"/>
      <c r="H6" s="2720"/>
      <c r="I6" s="2720"/>
      <c r="J6" s="2720"/>
      <c r="K6" s="2720"/>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8"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4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702"/>
      <c r="G12" s="2702"/>
      <c r="H12" s="2702"/>
      <c r="I12" s="2702"/>
      <c r="J12" s="2702"/>
      <c r="K12" s="2702"/>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15"/>
      <c r="E14" s="2715"/>
      <c r="F14" s="2715"/>
      <c r="H14" s="1275" t="s">
        <v>1294</v>
      </c>
      <c r="I14" s="2716"/>
      <c r="J14" s="2716"/>
      <c r="K14" s="2716"/>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16"/>
      <c r="E16" s="2716"/>
      <c r="F16" s="2716"/>
      <c r="G16" s="2716"/>
      <c r="H16" s="2716"/>
      <c r="I16" s="2716"/>
      <c r="J16" s="2716"/>
      <c r="K16" s="2716"/>
      <c r="L16" s="300"/>
    </row>
    <row r="17" spans="2:12" ht="13.5" customHeight="1" x14ac:dyDescent="0.2">
      <c r="B17" s="1201" t="s">
        <v>1292</v>
      </c>
      <c r="C17" s="1201"/>
      <c r="D17" s="2717"/>
      <c r="E17" s="2717"/>
      <c r="F17" s="2717"/>
      <c r="G17" s="2717"/>
      <c r="H17" s="2717"/>
      <c r="I17" s="2717"/>
      <c r="J17" s="2717"/>
      <c r="K17" s="2717"/>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10"/>
      <c r="C20" s="2710"/>
      <c r="D20" s="2710"/>
      <c r="E20" s="2710"/>
      <c r="F20" s="2710"/>
      <c r="G20" s="2710"/>
      <c r="H20" s="2710"/>
      <c r="I20" s="2710"/>
      <c r="J20" s="2710"/>
      <c r="K20" s="2710"/>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700000000000003" customHeight="1" x14ac:dyDescent="0.2">
      <c r="B23" s="2710"/>
      <c r="C23" s="2710"/>
      <c r="D23" s="2710"/>
      <c r="E23" s="2710"/>
      <c r="F23" s="2710"/>
      <c r="G23" s="2710"/>
      <c r="H23" s="2710"/>
      <c r="I23" s="2710"/>
      <c r="J23" s="2710"/>
      <c r="K23" s="2710"/>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700000000000003" customHeight="1" x14ac:dyDescent="0.2">
      <c r="B26" s="2710"/>
      <c r="C26" s="2710"/>
      <c r="D26" s="2710"/>
      <c r="E26" s="2710"/>
      <c r="F26" s="2710"/>
      <c r="G26" s="2710"/>
      <c r="H26" s="2710"/>
      <c r="I26" s="2710"/>
      <c r="J26" s="2710"/>
      <c r="K26" s="2710"/>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700000000000003" customHeight="1" x14ac:dyDescent="0.2">
      <c r="B29" s="2710"/>
      <c r="C29" s="2710"/>
      <c r="D29" s="2710"/>
      <c r="E29" s="2710"/>
      <c r="F29" s="2710"/>
      <c r="G29" s="2710"/>
      <c r="H29" s="2710"/>
      <c r="I29" s="2710"/>
      <c r="J29" s="2710"/>
      <c r="K29" s="2710"/>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700000000000003" customHeight="1" x14ac:dyDescent="0.2">
      <c r="B32" s="2710"/>
      <c r="C32" s="2710"/>
      <c r="D32" s="2710"/>
      <c r="E32" s="2710"/>
      <c r="F32" s="2710"/>
      <c r="G32" s="2710"/>
      <c r="H32" s="2710"/>
      <c r="I32" s="2710"/>
      <c r="J32" s="2710"/>
      <c r="K32" s="2710"/>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700000000000003" customHeight="1" x14ac:dyDescent="0.2">
      <c r="B35" s="2710"/>
      <c r="C35" s="2710"/>
      <c r="D35" s="2710"/>
      <c r="E35" s="2710"/>
      <c r="F35" s="2710"/>
      <c r="G35" s="2710"/>
      <c r="H35" s="2710"/>
      <c r="I35" s="2710"/>
      <c r="J35" s="2710"/>
      <c r="K35" s="2710"/>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10"/>
      <c r="C38" s="2710"/>
      <c r="D38" s="2710"/>
      <c r="E38" s="2710"/>
      <c r="F38" s="2710"/>
      <c r="G38" s="2710"/>
      <c r="H38" s="2710"/>
      <c r="I38" s="2710"/>
      <c r="J38" s="2710"/>
      <c r="K38" s="2710"/>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950000000000003" customHeight="1" x14ac:dyDescent="0.2">
      <c r="B41" s="2710"/>
      <c r="C41" s="2710"/>
      <c r="D41" s="2710"/>
      <c r="E41" s="2710"/>
      <c r="F41" s="2710"/>
      <c r="G41" s="2710"/>
      <c r="H41" s="2710"/>
      <c r="I41" s="2710"/>
      <c r="J41" s="2710"/>
      <c r="K41" s="2710"/>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&amp;RThe notes to the financial statements are an integral part of this statement.</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B1:E73"/>
  <sheetViews>
    <sheetView showGridLines="0" zoomScale="110" zoomScaleNormal="110" workbookViewId="0">
      <selection activeCell="B23" sqref="B2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95" t="str">
        <f>'Single Audit Cover'!A7</f>
        <v xml:space="preserve">   Williamsfield CUSD 210</v>
      </c>
      <c r="C1" s="2695"/>
      <c r="D1" s="2695"/>
      <c r="E1" s="1285"/>
    </row>
    <row r="2" spans="2:5" s="1103" customFormat="1" ht="12.75" customHeight="1" x14ac:dyDescent="0.2">
      <c r="B2" s="2697">
        <f>'Single Audit Cover'!E7</f>
        <v>33048210026</v>
      </c>
      <c r="C2" s="2697"/>
      <c r="D2" s="2697"/>
      <c r="E2" s="1286"/>
    </row>
    <row r="3" spans="2:5" ht="12.75" customHeight="1" x14ac:dyDescent="0.2">
      <c r="B3" s="2711" t="s">
        <v>1746</v>
      </c>
      <c r="C3" s="2711"/>
      <c r="D3" s="2711"/>
      <c r="E3" s="1095"/>
    </row>
    <row r="4" spans="2:5" s="1103" customFormat="1" ht="12.75" customHeight="1" x14ac:dyDescent="0.2">
      <c r="B4" s="2721" t="str">
        <f>'Single Audit Cover'!A4</f>
        <v>Year Ending June 30, 2020</v>
      </c>
      <c r="C4" s="2721"/>
      <c r="D4" s="2721"/>
      <c r="E4" s="1287"/>
    </row>
    <row r="5" spans="2:5" s="1103" customFormat="1" ht="40.3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t="s">
        <v>2070</v>
      </c>
      <c r="C8" s="302" t="s">
        <v>2071</v>
      </c>
      <c r="D8" s="302" t="s">
        <v>2072</v>
      </c>
      <c r="E8" s="302"/>
    </row>
    <row r="9" spans="2:5" ht="13.5" customHeight="1" x14ac:dyDescent="0.2">
      <c r="B9" s="1291"/>
      <c r="C9" s="301"/>
      <c r="D9" s="301" t="s">
        <v>2073</v>
      </c>
      <c r="E9" s="301"/>
    </row>
    <row r="10" spans="2:5" ht="13.5" customHeight="1" x14ac:dyDescent="0.2">
      <c r="B10" s="1290"/>
      <c r="C10" s="301"/>
      <c r="D10" s="301"/>
      <c r="E10" s="301"/>
    </row>
    <row r="11" spans="2:5" ht="13.5" customHeight="1" x14ac:dyDescent="0.2">
      <c r="B11" s="1290" t="s">
        <v>2078</v>
      </c>
      <c r="C11" s="301" t="s">
        <v>2074</v>
      </c>
      <c r="D11" s="301" t="s">
        <v>2079</v>
      </c>
      <c r="E11" s="301"/>
    </row>
    <row r="12" spans="2:5" ht="13.5" customHeight="1" x14ac:dyDescent="0.2">
      <c r="B12" s="1290"/>
      <c r="C12" s="301"/>
      <c r="D12" s="301" t="s">
        <v>2075</v>
      </c>
      <c r="E12" s="301"/>
    </row>
    <row r="13" spans="2:5" ht="13.5" customHeight="1" x14ac:dyDescent="0.2">
      <c r="B13" s="1290"/>
      <c r="C13" s="301"/>
      <c r="D13" s="301"/>
      <c r="E13" s="301"/>
    </row>
    <row r="14" spans="2:5" ht="13.5" customHeight="1" x14ac:dyDescent="0.2">
      <c r="B14" s="1290" t="s">
        <v>2076</v>
      </c>
      <c r="C14" s="301" t="s">
        <v>2077</v>
      </c>
      <c r="D14" s="301" t="s">
        <v>2081</v>
      </c>
      <c r="E14" s="301"/>
    </row>
    <row r="15" spans="2:5" ht="13.5" customHeight="1" x14ac:dyDescent="0.2">
      <c r="B15" s="1290"/>
      <c r="C15" s="301"/>
      <c r="D15" s="301" t="s">
        <v>2080</v>
      </c>
      <c r="E15" s="301"/>
    </row>
    <row r="16" spans="2:5" ht="13.5" customHeight="1" x14ac:dyDescent="0.2">
      <c r="B16" s="1290"/>
      <c r="C16" s="301"/>
      <c r="D16" s="301"/>
      <c r="E16" s="301"/>
    </row>
    <row r="17" spans="2:5" ht="13.5" customHeight="1" x14ac:dyDescent="0.2">
      <c r="B17" s="1290" t="s">
        <v>2134</v>
      </c>
      <c r="C17" s="301" t="s">
        <v>2135</v>
      </c>
      <c r="D17" s="301" t="s">
        <v>2081</v>
      </c>
      <c r="E17" s="301"/>
    </row>
    <row r="18" spans="2:5" ht="13.5" customHeight="1" x14ac:dyDescent="0.2">
      <c r="B18" s="1290"/>
      <c r="C18" s="301"/>
      <c r="D18" s="301" t="s">
        <v>2080</v>
      </c>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&amp;RThe notes to the financial statements are an integral part of this statement.</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FF00"/>
  </sheetPr>
  <dimension ref="A1:N72"/>
  <sheetViews>
    <sheetView showGridLines="0" defaultGridColor="0" colorId="8" zoomScale="110" zoomScaleNormal="110" workbookViewId="0">
      <selection activeCell="B54" sqref="B54:L5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4" t="s">
        <v>383</v>
      </c>
      <c r="B1" s="2264"/>
      <c r="C1" s="2264"/>
      <c r="D1" s="2264"/>
      <c r="E1" s="2264"/>
      <c r="F1" s="2264"/>
      <c r="G1" s="2264"/>
      <c r="H1" s="2264"/>
      <c r="I1" s="2264"/>
      <c r="J1" s="2264"/>
      <c r="K1" s="2264"/>
      <c r="L1" s="2264"/>
      <c r="M1" s="2264"/>
      <c r="N1" s="324"/>
    </row>
    <row r="2" spans="1:14" ht="11.1"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1.1"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91045706</v>
      </c>
      <c r="K7" s="217"/>
      <c r="L7" s="217"/>
      <c r="M7" s="217"/>
    </row>
    <row r="8" spans="1:14" ht="11.1"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3.1860899999999998E-2</v>
      </c>
      <c r="E10" s="333" t="s">
        <v>998</v>
      </c>
      <c r="F10" s="332">
        <v>4.3499999999999997E-3</v>
      </c>
      <c r="G10" s="333" t="s">
        <v>998</v>
      </c>
      <c r="H10" s="332">
        <v>1.6806E-3</v>
      </c>
      <c r="I10" s="333" t="s">
        <v>999</v>
      </c>
      <c r="J10" s="1473">
        <f>ROUND(D10+F10+H10,5)</f>
        <v>3.789E-2</v>
      </c>
      <c r="K10" s="217"/>
      <c r="L10" s="332"/>
      <c r="M10" s="217"/>
    </row>
    <row r="11" spans="1:14" ht="7.5" customHeight="1" x14ac:dyDescent="0.2">
      <c r="B11" s="217"/>
      <c r="C11" s="217"/>
      <c r="D11" s="2274" t="str">
        <f>IF(SUM(J10)&lt;=0.0999999,"","Enter the Tax Rates by moving the decimal two places to the left.")</f>
        <v/>
      </c>
      <c r="E11" s="2275"/>
      <c r="F11" s="2275"/>
      <c r="G11" s="2275"/>
      <c r="H11" s="2275"/>
      <c r="I11" s="2275"/>
      <c r="J11" s="227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1.1"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4676500</v>
      </c>
      <c r="E16" s="1597"/>
      <c r="F16" s="1596">
        <f>SUM('Acct Summary 7-8'!C17,'Acct Summary 7-8'!D17,'Acct Summary 7-8'!F17)</f>
        <v>4535654</v>
      </c>
      <c r="G16" s="1597"/>
      <c r="H16" s="1596">
        <f>SUM(D16-F16)</f>
        <v>140846</v>
      </c>
      <c r="I16" s="1598"/>
      <c r="J16" s="1596">
        <f>SUM('Acct Summary 7-8'!C81,'Acct Summary 7-8'!D81,'Acct Summary 7-8'!F81,'Acct Summary 7-8'!I81)</f>
        <v>1612464</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1999999999999993"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1.1"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f>IF(B31="X",(J7*0.069),IF(B32="X",(J7*0.138),"Enter x in a.or b."))</f>
        <v>12564307.428000001</v>
      </c>
      <c r="I31" s="345"/>
      <c r="J31" s="217"/>
      <c r="K31" s="217"/>
      <c r="L31" s="217"/>
      <c r="M31" s="217"/>
    </row>
    <row r="32" spans="1:13" ht="13.35" customHeight="1" x14ac:dyDescent="0.2">
      <c r="B32" s="346" t="s">
        <v>2021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3299508</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65"/>
      <c r="C54" s="2266"/>
      <c r="D54" s="2266"/>
      <c r="E54" s="2266"/>
      <c r="F54" s="2266"/>
      <c r="G54" s="2266"/>
      <c r="H54" s="2266"/>
      <c r="I54" s="2266"/>
      <c r="J54" s="2266"/>
      <c r="K54" s="2266"/>
      <c r="L54" s="2267"/>
      <c r="M54" s="357"/>
    </row>
    <row r="55" spans="1:13" ht="12.75" customHeight="1" x14ac:dyDescent="0.2">
      <c r="B55" s="2268"/>
      <c r="C55" s="2269"/>
      <c r="D55" s="2269"/>
      <c r="E55" s="2269"/>
      <c r="F55" s="2269"/>
      <c r="G55" s="2269"/>
      <c r="H55" s="2269"/>
      <c r="I55" s="2269"/>
      <c r="J55" s="2269"/>
      <c r="K55" s="2269"/>
      <c r="L55" s="2270"/>
      <c r="M55" s="357"/>
    </row>
    <row r="56" spans="1:13" ht="12.75" customHeight="1" x14ac:dyDescent="0.2">
      <c r="B56" s="2268"/>
      <c r="C56" s="2269"/>
      <c r="D56" s="2269"/>
      <c r="E56" s="2269"/>
      <c r="F56" s="2269"/>
      <c r="G56" s="2269"/>
      <c r="H56" s="2269"/>
      <c r="I56" s="2269"/>
      <c r="J56" s="2269"/>
      <c r="K56" s="2269"/>
      <c r="L56" s="2270"/>
      <c r="M56" s="217"/>
    </row>
    <row r="57" spans="1:13" ht="12.75" customHeight="1" x14ac:dyDescent="0.2">
      <c r="B57" s="2268"/>
      <c r="C57" s="2269"/>
      <c r="D57" s="2269"/>
      <c r="E57" s="2269"/>
      <c r="F57" s="2269"/>
      <c r="G57" s="2269"/>
      <c r="H57" s="2269"/>
      <c r="I57" s="2269"/>
      <c r="J57" s="2269"/>
      <c r="K57" s="2269"/>
      <c r="L57" s="2270"/>
      <c r="M57" s="217"/>
    </row>
    <row r="58" spans="1:13" x14ac:dyDescent="0.2">
      <c r="B58" s="2271"/>
      <c r="C58" s="2272"/>
      <c r="D58" s="2272"/>
      <c r="E58" s="2272"/>
      <c r="F58" s="2272"/>
      <c r="G58" s="2272"/>
      <c r="H58" s="2272"/>
      <c r="I58" s="2272"/>
      <c r="J58" s="2272"/>
      <c r="K58" s="2272"/>
      <c r="L58" s="227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6"/>
      <c r="D61" s="227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&amp;F&amp;RThe notes to the financial statements are an integral part of this statement.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FFFF00"/>
  </sheetPr>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9"/>
      <c r="B1" s="2280"/>
      <c r="C1" s="2280"/>
      <c r="D1" s="361"/>
      <c r="E1" s="361"/>
      <c r="F1" s="361"/>
      <c r="G1" s="361"/>
      <c r="H1" s="361"/>
      <c r="I1" s="361"/>
      <c r="J1" s="361"/>
      <c r="K1" s="361"/>
      <c r="L1" s="361"/>
      <c r="M1" s="361"/>
      <c r="N1" s="361"/>
      <c r="O1" s="2279"/>
      <c r="P1" s="2280"/>
      <c r="Q1" s="2280"/>
    </row>
    <row r="2" spans="1:18" ht="15" x14ac:dyDescent="0.2">
      <c r="A2" s="2283" t="s">
        <v>552</v>
      </c>
      <c r="B2" s="2283"/>
      <c r="C2" s="2283"/>
      <c r="D2" s="2283"/>
      <c r="E2" s="2283"/>
      <c r="F2" s="2283"/>
      <c r="G2" s="2283"/>
      <c r="H2" s="2283"/>
      <c r="I2" s="2283"/>
      <c r="J2" s="2283"/>
      <c r="K2" s="2283"/>
      <c r="L2" s="2283"/>
      <c r="M2" s="2283"/>
      <c r="N2" s="2283"/>
      <c r="O2" s="2283"/>
      <c r="P2" s="2283"/>
      <c r="Q2" s="2283"/>
      <c r="R2" s="2283"/>
    </row>
    <row r="3" spans="1:18" ht="12.75" x14ac:dyDescent="0.2">
      <c r="A3" s="2284" t="s">
        <v>1399</v>
      </c>
      <c r="B3" s="2284"/>
      <c r="C3" s="2284"/>
      <c r="D3" s="2284"/>
      <c r="E3" s="2284"/>
      <c r="F3" s="2284"/>
      <c r="G3" s="2284"/>
      <c r="H3" s="2284"/>
      <c r="I3" s="2284"/>
      <c r="J3" s="2284"/>
      <c r="K3" s="2284"/>
      <c r="L3" s="2284"/>
      <c r="M3" s="2284"/>
      <c r="N3" s="2284"/>
      <c r="O3" s="2284"/>
      <c r="P3" s="2284"/>
      <c r="Q3" s="2284"/>
      <c r="R3" s="2284"/>
    </row>
    <row r="4" spans="1:18" x14ac:dyDescent="0.2">
      <c r="A4" s="2285" t="s">
        <v>1540</v>
      </c>
      <c r="B4" s="2285"/>
      <c r="C4" s="2285"/>
      <c r="D4" s="2285"/>
      <c r="E4" s="2285"/>
      <c r="F4" s="2285"/>
      <c r="G4" s="2285"/>
      <c r="H4" s="2285"/>
      <c r="I4" s="2285"/>
      <c r="J4" s="2285"/>
      <c r="K4" s="2285"/>
      <c r="L4" s="2285"/>
      <c r="M4" s="2285"/>
      <c r="N4" s="2285"/>
      <c r="O4" s="2285"/>
      <c r="P4" s="2285"/>
      <c r="Q4" s="2285"/>
      <c r="R4" s="228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Williamsfield CUSD 210</v>
      </c>
      <c r="E7" s="368"/>
      <c r="G7" s="247"/>
      <c r="H7" s="364"/>
      <c r="I7" s="364"/>
      <c r="J7" s="364"/>
      <c r="K7" s="364"/>
      <c r="L7" s="307"/>
      <c r="M7" s="307"/>
      <c r="N7" s="307"/>
      <c r="O7" s="307"/>
      <c r="P7" s="307"/>
    </row>
    <row r="8" spans="1:18" ht="12.75" x14ac:dyDescent="0.2">
      <c r="A8" s="307"/>
      <c r="B8" s="307"/>
      <c r="C8" s="366" t="s">
        <v>1117</v>
      </c>
      <c r="D8" s="369">
        <f>COVER!A13</f>
        <v>33048210026</v>
      </c>
      <c r="E8" s="370"/>
      <c r="G8" s="307"/>
      <c r="H8" s="307"/>
      <c r="I8" s="307"/>
      <c r="J8" s="307"/>
      <c r="K8" s="307"/>
      <c r="L8" s="307"/>
      <c r="M8" s="307"/>
      <c r="N8" s="307"/>
      <c r="O8" s="307"/>
      <c r="P8" s="307"/>
    </row>
    <row r="9" spans="1:18" ht="12.75" x14ac:dyDescent="0.2">
      <c r="A9" s="307"/>
      <c r="B9" s="307"/>
      <c r="C9" s="366" t="s">
        <v>708</v>
      </c>
      <c r="D9" s="371" t="str">
        <f>COVER!A15</f>
        <v>KNOX, PEORIA, AND STARK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1533607</v>
      </c>
      <c r="I12" s="380"/>
      <c r="J12" s="380"/>
      <c r="K12" s="1609">
        <f>TRUNC((H12/H13*100000),5)/100000</f>
        <v>0.32793905689999997</v>
      </c>
      <c r="L12" s="381"/>
      <c r="M12" s="337" t="s">
        <v>1136</v>
      </c>
      <c r="N12" s="337"/>
      <c r="O12" s="1612">
        <v>0.35</v>
      </c>
      <c r="P12" s="213"/>
      <c r="Q12" s="213"/>
    </row>
    <row r="13" spans="1:18" s="382" customFormat="1" ht="12.75" x14ac:dyDescent="0.2">
      <c r="A13" s="213"/>
      <c r="B13" s="377"/>
      <c r="C13" s="2281" t="s">
        <v>1315</v>
      </c>
      <c r="D13" s="2282"/>
      <c r="E13" s="213"/>
      <c r="F13" s="383" t="s">
        <v>788</v>
      </c>
      <c r="G13" s="378"/>
      <c r="H13" s="1601">
        <f>SUM('Acct Summary 7-8'!C8+'Acct Summary 7-8'!D8+'Acct Summary 7-8'!F8+'Acct Summary 7-8'!I8)+H14</f>
        <v>4676500</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4535654</v>
      </c>
      <c r="I17" s="380"/>
      <c r="J17" s="389"/>
      <c r="K17" s="1609">
        <f>TRUNC((H17/H18*100000),5)/100000</f>
        <v>0.9698821768</v>
      </c>
      <c r="L17" s="381"/>
      <c r="M17" s="390" t="s">
        <v>1163</v>
      </c>
      <c r="O17" s="1615" t="str">
        <f>IF(AND(O16="2", J20 &gt; 2),"1",IF(AND(O16 = "1", J20 &gt; 2),"2",IF(AND(O16="1", J20 &gt;1),"1","0")))</f>
        <v>0</v>
      </c>
      <c r="P17" s="213"/>
    </row>
    <row r="18" spans="1:18" s="382" customFormat="1" ht="11.25" x14ac:dyDescent="0.2">
      <c r="A18" s="213"/>
      <c r="B18" s="377"/>
      <c r="C18" s="2281" t="s">
        <v>1308</v>
      </c>
      <c r="D18" s="2282"/>
      <c r="E18" s="213"/>
      <c r="F18" s="391" t="s">
        <v>789</v>
      </c>
      <c r="G18" s="378"/>
      <c r="H18" s="1601">
        <f>SUM('Acct Summary 7-8'!C8+'Acct Summary 7-8'!D8+'Acct Summary 7-8'!F8+'Acct Summary 7-8'!I8)+H19</f>
        <v>4676500</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3</v>
      </c>
      <c r="P23" s="211"/>
      <c r="R23" s="361"/>
    </row>
    <row r="24" spans="1:18" s="382" customFormat="1" ht="11.25" x14ac:dyDescent="0.2">
      <c r="A24" s="213"/>
      <c r="B24" s="377"/>
      <c r="C24" s="2278" t="s">
        <v>1398</v>
      </c>
      <c r="D24" s="2278"/>
      <c r="E24" s="213"/>
      <c r="F24" s="213" t="s">
        <v>442</v>
      </c>
      <c r="G24" s="378"/>
      <c r="H24" s="1601">
        <f>SUM('Assets-Liab 5-6'!C4+'Assets-Liab 5-6'!D4+'Assets-Liab 5-6'!F4+'Assets-Liab 5-6'!I4+'Assets-Liab 5-6'!C5+'Assets-Liab 5-6'!D5+'Assets-Liab 5-6'!F5+'Assets-Liab 5-6'!I5)</f>
        <v>1697600</v>
      </c>
      <c r="I24" s="394"/>
      <c r="J24" s="394"/>
      <c r="K24" s="1605">
        <f>TRUNC(((H24/H25*100000)/100000),2)</f>
        <v>134.74</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12599.03889</v>
      </c>
      <c r="I25" s="396"/>
      <c r="J25" s="396"/>
      <c r="K25" s="1608"/>
      <c r="L25" s="213"/>
      <c r="M25" s="337" t="s">
        <v>1137</v>
      </c>
      <c r="N25" s="337"/>
      <c r="O25" s="1613">
        <f>O23*O24</f>
        <v>0.30000000000000004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2932263.5302900001</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3</v>
      </c>
      <c r="P31" s="211"/>
    </row>
    <row r="32" spans="1:18" s="382" customFormat="1" ht="11.25" x14ac:dyDescent="0.2">
      <c r="A32" s="213"/>
      <c r="B32" s="377"/>
      <c r="C32" s="213" t="s">
        <v>842</v>
      </c>
      <c r="D32" s="213"/>
      <c r="E32" s="213"/>
      <c r="F32" s="213"/>
      <c r="G32" s="378"/>
      <c r="H32" s="1601">
        <f>'FP Info 3'!H37</f>
        <v>3299508</v>
      </c>
      <c r="I32" s="392"/>
      <c r="J32" s="392"/>
      <c r="K32" s="1605">
        <f>TRUNC(100-((((H32/H33*100))*100)/100),2)</f>
        <v>73.73</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12564307.428000001</v>
      </c>
      <c r="I33" s="392"/>
      <c r="J33" s="392"/>
      <c r="K33" s="379"/>
      <c r="L33" s="213"/>
      <c r="M33" s="401" t="s">
        <v>1137</v>
      </c>
      <c r="N33" s="401"/>
      <c r="O33" s="1618">
        <f>(O31*O32)</f>
        <v>0.30000000000000004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3.8</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&amp;F&amp;RThe notes to the financial statements are an integral part of this statement.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FF00"/>
  </sheetPr>
  <dimension ref="A1:N44"/>
  <sheetViews>
    <sheetView showGridLines="0" defaultGridColor="0" topLeftCell="F1" colorId="8" zoomScale="110" zoomScaleNormal="110" workbookViewId="0">
      <pane ySplit="2" topLeftCell="A15" activePane="bottomLeft" state="frozen"/>
      <selection pane="bottomLeft" activeCell="O38" sqref="O3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6"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7"/>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8" t="s">
        <v>967</v>
      </c>
      <c r="B3" s="2289"/>
      <c r="C3" s="1351"/>
      <c r="D3" s="1352"/>
      <c r="E3" s="1352"/>
      <c r="F3" s="1352"/>
      <c r="G3" s="1352"/>
      <c r="H3" s="1352"/>
      <c r="I3" s="1352"/>
      <c r="J3" s="1352"/>
      <c r="K3" s="1352"/>
      <c r="L3" s="1352"/>
      <c r="M3" s="1353"/>
      <c r="N3" s="1354"/>
    </row>
    <row r="4" spans="1:14" ht="13.5" customHeight="1" x14ac:dyDescent="0.2">
      <c r="A4" s="427" t="s">
        <v>1635</v>
      </c>
      <c r="B4" s="428"/>
      <c r="C4" s="1622">
        <v>834386</v>
      </c>
      <c r="D4" s="1623"/>
      <c r="E4" s="1623">
        <v>167936</v>
      </c>
      <c r="F4" s="1623">
        <v>342921</v>
      </c>
      <c r="G4" s="1623"/>
      <c r="H4" s="1623">
        <v>61818</v>
      </c>
      <c r="I4" s="1623"/>
      <c r="J4" s="1624"/>
      <c r="K4" s="1623">
        <v>9326</v>
      </c>
      <c r="L4" s="1623">
        <v>74751</v>
      </c>
      <c r="M4" s="1625"/>
      <c r="N4" s="1626"/>
    </row>
    <row r="5" spans="1:14" x14ac:dyDescent="0.2">
      <c r="A5" s="427" t="s">
        <v>985</v>
      </c>
      <c r="B5" s="429">
        <v>120</v>
      </c>
      <c r="C5" s="1622">
        <v>219994</v>
      </c>
      <c r="D5" s="1623">
        <v>284877</v>
      </c>
      <c r="E5" s="1623">
        <v>1</v>
      </c>
      <c r="F5" s="1623">
        <v>15422</v>
      </c>
      <c r="G5" s="1623"/>
      <c r="H5" s="1623"/>
      <c r="I5" s="1623"/>
      <c r="J5" s="1624">
        <v>766</v>
      </c>
      <c r="K5" s="1627">
        <v>1616757</v>
      </c>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1054380</v>
      </c>
      <c r="D13" s="1637">
        <f t="shared" ref="D13:L13" si="0">SUM(D4:D12)</f>
        <v>284877</v>
      </c>
      <c r="E13" s="1637">
        <f t="shared" si="0"/>
        <v>167937</v>
      </c>
      <c r="F13" s="1637">
        <f t="shared" si="0"/>
        <v>358343</v>
      </c>
      <c r="G13" s="1637">
        <f t="shared" si="0"/>
        <v>0</v>
      </c>
      <c r="H13" s="1637">
        <f t="shared" si="0"/>
        <v>61818</v>
      </c>
      <c r="I13" s="1637">
        <f t="shared" si="0"/>
        <v>0</v>
      </c>
      <c r="J13" s="1637">
        <f t="shared" si="0"/>
        <v>766</v>
      </c>
      <c r="K13" s="1637">
        <f t="shared" si="0"/>
        <v>1626083</v>
      </c>
      <c r="L13" s="1637">
        <f t="shared" si="0"/>
        <v>74751</v>
      </c>
      <c r="M13" s="1625"/>
      <c r="N13" s="1626"/>
    </row>
    <row r="14" spans="1:14" ht="18" customHeight="1" thickTop="1" x14ac:dyDescent="0.2">
      <c r="A14" s="2290" t="s">
        <v>146</v>
      </c>
      <c r="B14" s="2291"/>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22782</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4851692</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1168906</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v>24205</v>
      </c>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v>167937</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3131571</v>
      </c>
    </row>
    <row r="23" spans="1:14" ht="13.5" customHeight="1" thickBot="1" x14ac:dyDescent="0.25">
      <c r="A23" s="1475" t="s">
        <v>638</v>
      </c>
      <c r="B23" s="1478"/>
      <c r="C23" s="1625"/>
      <c r="D23" s="1625"/>
      <c r="E23" s="1625"/>
      <c r="F23" s="1625"/>
      <c r="G23" s="1625"/>
      <c r="H23" s="1625"/>
      <c r="I23" s="1625"/>
      <c r="J23" s="1625"/>
      <c r="K23" s="1625"/>
      <c r="L23" s="1625"/>
      <c r="M23" s="1644">
        <f>SUM(M15:M22)</f>
        <v>6067585</v>
      </c>
      <c r="N23" s="1644">
        <f>SUM(N21:N22)</f>
        <v>3299508</v>
      </c>
    </row>
    <row r="24" spans="1:14" ht="18" customHeight="1" thickTop="1" x14ac:dyDescent="0.2">
      <c r="A24" s="2292" t="s">
        <v>594</v>
      </c>
      <c r="B24" s="2293"/>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c r="D26" s="1624">
        <v>81552</v>
      </c>
      <c r="E26" s="1624"/>
      <c r="F26" s="1624"/>
      <c r="G26" s="1624">
        <v>64819</v>
      </c>
      <c r="H26" s="1624"/>
      <c r="I26" s="1624"/>
      <c r="J26" s="1629">
        <v>14804</v>
      </c>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v>3584</v>
      </c>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v>74751</v>
      </c>
      <c r="M33" s="1625"/>
      <c r="N33" s="1626"/>
    </row>
    <row r="34" spans="1:14" ht="13.5" customHeight="1" thickBot="1" x14ac:dyDescent="0.25">
      <c r="A34" s="1476" t="s">
        <v>649</v>
      </c>
      <c r="B34" s="1477"/>
      <c r="C34" s="1650">
        <f>SUM(C25:C33)</f>
        <v>3584</v>
      </c>
      <c r="D34" s="1650">
        <f t="shared" ref="D34:K34" si="1">SUM(D25:D33)</f>
        <v>81552</v>
      </c>
      <c r="E34" s="1650">
        <f t="shared" si="1"/>
        <v>0</v>
      </c>
      <c r="F34" s="1650">
        <f t="shared" si="1"/>
        <v>0</v>
      </c>
      <c r="G34" s="1650">
        <f t="shared" si="1"/>
        <v>64819</v>
      </c>
      <c r="H34" s="1650">
        <f t="shared" si="1"/>
        <v>0</v>
      </c>
      <c r="I34" s="1650">
        <f t="shared" si="1"/>
        <v>0</v>
      </c>
      <c r="J34" s="1650">
        <f t="shared" si="1"/>
        <v>14804</v>
      </c>
      <c r="K34" s="1650">
        <f t="shared" si="1"/>
        <v>0</v>
      </c>
      <c r="L34" s="1651">
        <f>SUM(L33)</f>
        <v>74751</v>
      </c>
      <c r="M34" s="1625"/>
      <c r="N34" s="1635"/>
    </row>
    <row r="35" spans="1:14" ht="18" customHeight="1" thickTop="1" x14ac:dyDescent="0.2">
      <c r="A35" s="2294" t="s">
        <v>526</v>
      </c>
      <c r="B35" s="2295"/>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3299508</v>
      </c>
    </row>
    <row r="37" spans="1:14" ht="13.5" thickBot="1" x14ac:dyDescent="0.25">
      <c r="A37" s="1475" t="s">
        <v>648</v>
      </c>
      <c r="B37" s="1478"/>
      <c r="C37" s="1632"/>
      <c r="D37" s="1632"/>
      <c r="E37" s="1632"/>
      <c r="F37" s="1632"/>
      <c r="G37" s="1632"/>
      <c r="H37" s="1632"/>
      <c r="I37" s="1632"/>
      <c r="J37" s="1632"/>
      <c r="K37" s="1632"/>
      <c r="L37" s="1635"/>
      <c r="M37" s="1625"/>
      <c r="N37" s="1644">
        <f>SUM(N36:N36)</f>
        <v>3299508</v>
      </c>
    </row>
    <row r="38" spans="1:14" s="307" customFormat="1" ht="13.5" customHeight="1" thickTop="1" x14ac:dyDescent="0.2">
      <c r="A38" s="438" t="s">
        <v>417</v>
      </c>
      <c r="B38" s="432">
        <v>714</v>
      </c>
      <c r="C38" s="1623">
        <v>36907</v>
      </c>
      <c r="D38" s="1623"/>
      <c r="E38" s="1623"/>
      <c r="F38" s="1623"/>
      <c r="G38" s="1623">
        <v>-64819</v>
      </c>
      <c r="H38" s="1623"/>
      <c r="I38" s="1623"/>
      <c r="J38" s="1624"/>
      <c r="K38" s="1623"/>
      <c r="L38" s="1636"/>
      <c r="M38" s="1654"/>
      <c r="N38" s="1654"/>
    </row>
    <row r="39" spans="1:14" s="307" customFormat="1" ht="13.5" customHeight="1" x14ac:dyDescent="0.2">
      <c r="A39" s="438" t="s">
        <v>339</v>
      </c>
      <c r="B39" s="432">
        <v>730</v>
      </c>
      <c r="C39" s="1623">
        <v>1013889</v>
      </c>
      <c r="D39" s="1623">
        <v>203325</v>
      </c>
      <c r="E39" s="1623">
        <v>167937</v>
      </c>
      <c r="F39" s="1623">
        <v>358343</v>
      </c>
      <c r="G39" s="1623"/>
      <c r="H39" s="1623">
        <v>61818</v>
      </c>
      <c r="I39" s="1623"/>
      <c r="J39" s="1624">
        <v>-14038</v>
      </c>
      <c r="K39" s="1623">
        <v>1626083</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6067585</v>
      </c>
      <c r="N40" s="1654"/>
    </row>
    <row r="41" spans="1:14" ht="13.5" customHeight="1" thickBot="1" x14ac:dyDescent="0.25">
      <c r="A41" s="1475" t="s">
        <v>650</v>
      </c>
      <c r="B41" s="1454"/>
      <c r="C41" s="1644">
        <f>(SUM(C34,C37,C38,C39))</f>
        <v>1054380</v>
      </c>
      <c r="D41" s="1644">
        <f t="shared" ref="D41:L41" si="2">SUM(D34,D37,D38:D39)</f>
        <v>284877</v>
      </c>
      <c r="E41" s="1644">
        <f t="shared" si="2"/>
        <v>167937</v>
      </c>
      <c r="F41" s="1644">
        <f t="shared" si="2"/>
        <v>358343</v>
      </c>
      <c r="G41" s="1644">
        <f t="shared" si="2"/>
        <v>0</v>
      </c>
      <c r="H41" s="1644">
        <f t="shared" si="2"/>
        <v>61818</v>
      </c>
      <c r="I41" s="1644">
        <f t="shared" si="2"/>
        <v>0</v>
      </c>
      <c r="J41" s="1644">
        <f t="shared" si="2"/>
        <v>766</v>
      </c>
      <c r="K41" s="1644">
        <f t="shared" si="2"/>
        <v>1626083</v>
      </c>
      <c r="L41" s="1644">
        <f t="shared" si="2"/>
        <v>74751</v>
      </c>
      <c r="M41" s="1644">
        <f>SUM(M40)</f>
        <v>6067585</v>
      </c>
      <c r="N41" s="1644">
        <f>SUM(N37)</f>
        <v>3299508</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&amp;F&amp;RThe notes to the financial statements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M87"/>
  <sheetViews>
    <sheetView showGridLines="0" defaultGridColor="0" colorId="8" zoomScale="110" zoomScaleNormal="110" zoomScaleSheetLayoutView="100" workbookViewId="0">
      <pane ySplit="2" topLeftCell="A63" activePane="bottomLeft" state="frozen"/>
      <selection pane="bottomLeft" activeCell="C81" sqref="C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4" t="s">
        <v>1636</v>
      </c>
      <c r="B1" s="416"/>
      <c r="C1" s="444" t="s">
        <v>422</v>
      </c>
      <c r="D1" s="444" t="s">
        <v>423</v>
      </c>
      <c r="E1" s="444" t="s">
        <v>424</v>
      </c>
      <c r="F1" s="444" t="s">
        <v>425</v>
      </c>
      <c r="G1" s="444" t="s">
        <v>426</v>
      </c>
      <c r="H1" s="444" t="s">
        <v>427</v>
      </c>
      <c r="I1" s="444" t="s">
        <v>428</v>
      </c>
      <c r="J1" s="444" t="s">
        <v>429</v>
      </c>
      <c r="K1" s="444" t="s">
        <v>751</v>
      </c>
      <c r="L1" s="441"/>
    </row>
    <row r="2" spans="1:13" s="445" customFormat="1" ht="37.700000000000003" customHeight="1" x14ac:dyDescent="0.2">
      <c r="A2" s="2305"/>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16" t="s">
        <v>1167</v>
      </c>
      <c r="B3" s="2317"/>
      <c r="C3" s="1356"/>
      <c r="D3" s="1357"/>
      <c r="E3" s="1357"/>
      <c r="F3" s="1357"/>
      <c r="G3" s="1357"/>
      <c r="H3" s="1357"/>
      <c r="I3" s="1357"/>
      <c r="J3" s="1357"/>
      <c r="K3" s="1358"/>
      <c r="L3" s="446"/>
    </row>
    <row r="4" spans="1:13" ht="15.95" customHeight="1" x14ac:dyDescent="0.2">
      <c r="A4" s="1587" t="s">
        <v>1485</v>
      </c>
      <c r="B4" s="1588">
        <v>1000</v>
      </c>
      <c r="C4" s="1656">
        <f>'Revenues 9-14'!C109</f>
        <v>3254464</v>
      </c>
      <c r="D4" s="1656">
        <f>'Revenues 9-14'!D109</f>
        <v>518528</v>
      </c>
      <c r="E4" s="1656">
        <f>'Revenues 9-14'!E109</f>
        <v>294476</v>
      </c>
      <c r="F4" s="1656">
        <f>'Revenues 9-14'!F109</f>
        <v>240811</v>
      </c>
      <c r="G4" s="1656">
        <f>'Revenues 9-14'!G109</f>
        <v>220266</v>
      </c>
      <c r="H4" s="1656">
        <f>'Revenues 9-14'!H109</f>
        <v>128</v>
      </c>
      <c r="I4" s="1656">
        <f>'Revenues 9-14'!I109</f>
        <v>0</v>
      </c>
      <c r="J4" s="1656">
        <f>'Revenues 9-14'!J109</f>
        <v>75270</v>
      </c>
      <c r="K4" s="1656">
        <f>'Revenues 9-14'!K109</f>
        <v>74810</v>
      </c>
      <c r="L4" s="325"/>
    </row>
    <row r="5" spans="1:13" ht="15.9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95" customHeight="1" x14ac:dyDescent="0.2">
      <c r="A6" s="1359" t="s">
        <v>1487</v>
      </c>
      <c r="B6" s="1361">
        <v>3000</v>
      </c>
      <c r="C6" s="1657">
        <f>'Revenues 9-14'!C170</f>
        <v>356040</v>
      </c>
      <c r="D6" s="1657">
        <f>'Revenues 9-14'!D170</f>
        <v>50000</v>
      </c>
      <c r="E6" s="1657">
        <f>'Revenues 9-14'!E170</f>
        <v>0</v>
      </c>
      <c r="F6" s="1657">
        <f>'Revenues 9-14'!F170</f>
        <v>144214</v>
      </c>
      <c r="G6" s="1657">
        <f>'Revenues 9-14'!G170</f>
        <v>0</v>
      </c>
      <c r="H6" s="1657">
        <f>'Revenues 9-14'!H170</f>
        <v>0</v>
      </c>
      <c r="I6" s="1657">
        <f>'Revenues 9-14'!I170</f>
        <v>0</v>
      </c>
      <c r="J6" s="1657">
        <f>'Revenues 9-14'!J170</f>
        <v>0</v>
      </c>
      <c r="K6" s="1657">
        <f>'Revenues 9-14'!K170</f>
        <v>0</v>
      </c>
      <c r="L6" s="325"/>
      <c r="M6" s="448"/>
    </row>
    <row r="7" spans="1:13" ht="15.95" customHeight="1" x14ac:dyDescent="0.2">
      <c r="A7" s="1359" t="s">
        <v>1488</v>
      </c>
      <c r="B7" s="1361">
        <v>4000</v>
      </c>
      <c r="C7" s="1657">
        <f>'Revenues 9-14'!C267</f>
        <v>112443</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3722947</v>
      </c>
      <c r="D8" s="1644">
        <f t="shared" ref="D8:K8" si="0">SUM(D4:D7)</f>
        <v>568528</v>
      </c>
      <c r="E8" s="1644">
        <f t="shared" si="0"/>
        <v>294476</v>
      </c>
      <c r="F8" s="1644">
        <f t="shared" si="0"/>
        <v>385025</v>
      </c>
      <c r="G8" s="1644">
        <f t="shared" si="0"/>
        <v>220266</v>
      </c>
      <c r="H8" s="1644">
        <f t="shared" si="0"/>
        <v>128</v>
      </c>
      <c r="I8" s="1644">
        <f t="shared" si="0"/>
        <v>0</v>
      </c>
      <c r="J8" s="1644">
        <f t="shared" si="0"/>
        <v>75270</v>
      </c>
      <c r="K8" s="1644">
        <f t="shared" si="0"/>
        <v>74810</v>
      </c>
      <c r="L8" s="325"/>
    </row>
    <row r="9" spans="1:13" ht="15.75" thickTop="1" x14ac:dyDescent="0.2">
      <c r="A9" s="449" t="s">
        <v>1637</v>
      </c>
      <c r="B9" s="450">
        <v>3998</v>
      </c>
      <c r="C9" s="1636">
        <v>1470927</v>
      </c>
      <c r="D9" s="1663"/>
      <c r="E9" s="1636"/>
      <c r="F9" s="1636"/>
      <c r="G9" s="1664"/>
      <c r="H9" s="1636"/>
      <c r="I9" s="1659" t="s">
        <v>1161</v>
      </c>
      <c r="J9" s="1633"/>
      <c r="K9" s="1636"/>
      <c r="L9" s="325"/>
    </row>
    <row r="10" spans="1:13" s="452" customFormat="1" ht="13.5" thickBot="1" x14ac:dyDescent="0.25">
      <c r="A10" s="1475" t="s">
        <v>1165</v>
      </c>
      <c r="B10" s="1456"/>
      <c r="C10" s="1644">
        <f>SUM(C8:C9)</f>
        <v>5193874</v>
      </c>
      <c r="D10" s="1644">
        <f t="shared" ref="D10:K10" si="1">SUM(D8:D9)</f>
        <v>568528</v>
      </c>
      <c r="E10" s="1644">
        <f t="shared" si="1"/>
        <v>294476</v>
      </c>
      <c r="F10" s="1644">
        <f t="shared" si="1"/>
        <v>385025</v>
      </c>
      <c r="G10" s="1644">
        <f t="shared" si="1"/>
        <v>220266</v>
      </c>
      <c r="H10" s="1644">
        <f t="shared" si="1"/>
        <v>128</v>
      </c>
      <c r="I10" s="1644">
        <f t="shared" si="1"/>
        <v>0</v>
      </c>
      <c r="J10" s="1644">
        <f t="shared" si="1"/>
        <v>75270</v>
      </c>
      <c r="K10" s="1644">
        <f t="shared" si="1"/>
        <v>74810</v>
      </c>
      <c r="L10" s="451"/>
    </row>
    <row r="11" spans="1:13" s="452" customFormat="1" ht="16.7" customHeight="1" thickTop="1" x14ac:dyDescent="0.2">
      <c r="A11" s="2290" t="s">
        <v>1168</v>
      </c>
      <c r="B11" s="2291"/>
      <c r="C11" s="1652"/>
      <c r="D11" s="1653"/>
      <c r="E11" s="1653"/>
      <c r="F11" s="1653"/>
      <c r="G11" s="1653"/>
      <c r="H11" s="1653"/>
      <c r="I11" s="1653"/>
      <c r="J11" s="1653"/>
      <c r="K11" s="1665"/>
      <c r="L11" s="451"/>
    </row>
    <row r="12" spans="1:13" ht="15.95" customHeight="1" x14ac:dyDescent="0.2">
      <c r="A12" s="1359" t="s">
        <v>453</v>
      </c>
      <c r="B12" s="1361">
        <v>1000</v>
      </c>
      <c r="C12" s="1656">
        <f>'Expenditures 15-22'!K33</f>
        <v>2507577</v>
      </c>
      <c r="D12" s="1666" t="s">
        <v>1161</v>
      </c>
      <c r="E12" s="1625" t="s">
        <v>1161</v>
      </c>
      <c r="F12" s="1625" t="s">
        <v>1161</v>
      </c>
      <c r="G12" s="1656">
        <f>'Expenditures 15-22'!K229</f>
        <v>64660</v>
      </c>
      <c r="H12" s="1667"/>
      <c r="I12" s="1625" t="s">
        <v>1161</v>
      </c>
      <c r="J12" s="1625" t="s">
        <v>1161</v>
      </c>
      <c r="K12" s="1667" t="s">
        <v>1161</v>
      </c>
      <c r="L12" s="325"/>
    </row>
    <row r="13" spans="1:13" ht="15.95" customHeight="1" x14ac:dyDescent="0.2">
      <c r="A13" s="1359" t="s">
        <v>454</v>
      </c>
      <c r="B13" s="1361">
        <v>2000</v>
      </c>
      <c r="C13" s="1657">
        <f>'Expenditures 15-22'!K74</f>
        <v>1026984</v>
      </c>
      <c r="D13" s="1657">
        <f>'Expenditures 15-22'!K129</f>
        <v>519438</v>
      </c>
      <c r="E13" s="1626" t="s">
        <v>1161</v>
      </c>
      <c r="F13" s="1657">
        <f>'Expenditures 15-22'!K184</f>
        <v>348127</v>
      </c>
      <c r="G13" s="1657">
        <f>'Expenditures 15-22'!K279</f>
        <v>132313</v>
      </c>
      <c r="H13" s="1657">
        <f>'Expenditures 15-22'!K303</f>
        <v>248455</v>
      </c>
      <c r="I13" s="1625" t="s">
        <v>1161</v>
      </c>
      <c r="J13" s="1657">
        <f>'Expenditures 15-22'!K330</f>
        <v>73149</v>
      </c>
      <c r="K13" s="1668">
        <f>'Expenditures 15-22'!K352</f>
        <v>995527</v>
      </c>
      <c r="L13" s="325"/>
    </row>
    <row r="14" spans="1:13" ht="15.9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95" customHeight="1" x14ac:dyDescent="0.2">
      <c r="A15" s="1359" t="s">
        <v>107</v>
      </c>
      <c r="B15" s="1361">
        <v>4000</v>
      </c>
      <c r="C15" s="1657">
        <f>'Expenditures 15-22'!K102</f>
        <v>133528</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95" customHeight="1" x14ac:dyDescent="0.2">
      <c r="A16" s="1359" t="s">
        <v>447</v>
      </c>
      <c r="B16" s="1361">
        <v>5000</v>
      </c>
      <c r="C16" s="1657">
        <f>'Expenditures 15-22'!K112</f>
        <v>0</v>
      </c>
      <c r="D16" s="1657">
        <f>'Expenditures 15-22'!K149</f>
        <v>0</v>
      </c>
      <c r="E16" s="1657">
        <f>'Expenditures 15-22'!K172</f>
        <v>133128</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3668089</v>
      </c>
      <c r="D17" s="1644">
        <f t="shared" si="2"/>
        <v>519438</v>
      </c>
      <c r="E17" s="1644">
        <f t="shared" si="2"/>
        <v>133128</v>
      </c>
      <c r="F17" s="1644">
        <f t="shared" si="2"/>
        <v>348127</v>
      </c>
      <c r="G17" s="1644">
        <f t="shared" si="2"/>
        <v>196973</v>
      </c>
      <c r="H17" s="1644">
        <f t="shared" si="2"/>
        <v>248455</v>
      </c>
      <c r="I17" s="1625"/>
      <c r="J17" s="1644">
        <f>SUM(J12:J16)</f>
        <v>73149</v>
      </c>
      <c r="K17" s="1644">
        <f>SUM(K12:K16)</f>
        <v>995527</v>
      </c>
      <c r="L17" s="325"/>
    </row>
    <row r="18" spans="1:12" ht="15" customHeight="1" thickTop="1" x14ac:dyDescent="0.2">
      <c r="A18" s="1479" t="s">
        <v>1638</v>
      </c>
      <c r="B18" s="1480">
        <v>4180</v>
      </c>
      <c r="C18" s="1656">
        <f t="shared" ref="C18:H18" si="3">C9</f>
        <v>1470927</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5139016</v>
      </c>
      <c r="D19" s="1644">
        <f t="shared" si="4"/>
        <v>519438</v>
      </c>
      <c r="E19" s="1644">
        <f t="shared" si="4"/>
        <v>133128</v>
      </c>
      <c r="F19" s="1644">
        <f t="shared" si="4"/>
        <v>348127</v>
      </c>
      <c r="G19" s="1644">
        <f t="shared" si="4"/>
        <v>196973</v>
      </c>
      <c r="H19" s="1644">
        <f t="shared" si="4"/>
        <v>248455</v>
      </c>
      <c r="I19" s="1625"/>
      <c r="J19" s="1644">
        <f>SUM(J17:J18)</f>
        <v>73149</v>
      </c>
      <c r="K19" s="1644">
        <f>SUM(K17:K18)</f>
        <v>995527</v>
      </c>
      <c r="L19" s="325"/>
    </row>
    <row r="20" spans="1:12" ht="16.5" thickTop="1" thickBot="1" x14ac:dyDescent="0.25">
      <c r="A20" s="2306" t="s">
        <v>1639</v>
      </c>
      <c r="B20" s="2307"/>
      <c r="C20" s="1672">
        <f>C8-C17</f>
        <v>54858</v>
      </c>
      <c r="D20" s="1672">
        <f t="shared" ref="D20:K20" si="5">D8-D17</f>
        <v>49090</v>
      </c>
      <c r="E20" s="1672">
        <f t="shared" si="5"/>
        <v>161348</v>
      </c>
      <c r="F20" s="1672">
        <f t="shared" si="5"/>
        <v>36898</v>
      </c>
      <c r="G20" s="1672">
        <f t="shared" si="5"/>
        <v>23293</v>
      </c>
      <c r="H20" s="1672">
        <f t="shared" si="5"/>
        <v>-248327</v>
      </c>
      <c r="I20" s="1672">
        <f t="shared" si="5"/>
        <v>0</v>
      </c>
      <c r="J20" s="1672">
        <f t="shared" si="5"/>
        <v>2121</v>
      </c>
      <c r="K20" s="1672">
        <f t="shared" si="5"/>
        <v>-920717</v>
      </c>
      <c r="L20" s="325"/>
    </row>
    <row r="21" spans="1:12" ht="16.7" customHeight="1" thickTop="1" x14ac:dyDescent="0.2">
      <c r="A21" s="2318" t="s">
        <v>591</v>
      </c>
      <c r="B21" s="2319"/>
      <c r="C21" s="1652"/>
      <c r="D21" s="1653"/>
      <c r="E21" s="1653"/>
      <c r="F21" s="1653"/>
      <c r="G21" s="1653"/>
      <c r="H21" s="1653"/>
      <c r="I21" s="1653"/>
      <c r="J21" s="1653"/>
      <c r="K21" s="1665"/>
      <c r="L21" s="453"/>
    </row>
    <row r="22" spans="1:12" ht="15.95" customHeight="1" collapsed="1" x14ac:dyDescent="0.2">
      <c r="A22" s="2314" t="s">
        <v>592</v>
      </c>
      <c r="B22" s="2315"/>
      <c r="C22" s="1632"/>
      <c r="D22" s="1632"/>
      <c r="E22" s="1632"/>
      <c r="F22" s="1632"/>
      <c r="G22" s="1632"/>
      <c r="H22" s="1632"/>
      <c r="I22" s="1632"/>
      <c r="J22" s="1632"/>
      <c r="K22" s="1632"/>
      <c r="L22" s="325"/>
    </row>
    <row r="23" spans="1:12" s="433" customFormat="1" ht="15.95" customHeight="1" x14ac:dyDescent="0.2">
      <c r="A23" s="2310" t="s">
        <v>290</v>
      </c>
      <c r="B23" s="2311"/>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1774</v>
      </c>
      <c r="B30" s="455">
        <v>7160</v>
      </c>
      <c r="C30" s="1632"/>
      <c r="D30" s="1624"/>
      <c r="E30" s="1632"/>
      <c r="F30" s="1632"/>
      <c r="G30" s="1632"/>
      <c r="H30" s="1632"/>
      <c r="I30" s="1632"/>
      <c r="J30" s="1632"/>
      <c r="K30" s="1632"/>
      <c r="L30" s="453"/>
    </row>
    <row r="31" spans="1:12" s="433" customFormat="1" ht="26.25" x14ac:dyDescent="0.2">
      <c r="A31" s="1305" t="s">
        <v>1778</v>
      </c>
      <c r="B31" s="455">
        <v>7170</v>
      </c>
      <c r="C31" s="1632"/>
      <c r="D31" s="1632"/>
      <c r="E31" s="1629"/>
      <c r="F31" s="1632"/>
      <c r="G31" s="1632"/>
      <c r="H31" s="1632"/>
      <c r="I31" s="1632"/>
      <c r="J31" s="1632"/>
      <c r="K31" s="1632"/>
      <c r="L31" s="453"/>
    </row>
    <row r="32" spans="1:12" s="433" customFormat="1" ht="15.95" customHeight="1" x14ac:dyDescent="0.2">
      <c r="A32" s="2312" t="s">
        <v>974</v>
      </c>
      <c r="B32" s="2313"/>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v>300000</v>
      </c>
      <c r="I33" s="1624"/>
      <c r="J33" s="1624"/>
      <c r="K33" s="1624">
        <v>2500000</v>
      </c>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320" t="s">
        <v>371</v>
      </c>
      <c r="B44" s="2321"/>
      <c r="C44" s="1674">
        <f>SUM(C24:C43)</f>
        <v>0</v>
      </c>
      <c r="D44" s="1674">
        <f t="shared" ref="D44:K44" si="6">SUM(D24:D43)</f>
        <v>0</v>
      </c>
      <c r="E44" s="1674">
        <f t="shared" si="6"/>
        <v>0</v>
      </c>
      <c r="F44" s="1674">
        <f t="shared" si="6"/>
        <v>0</v>
      </c>
      <c r="G44" s="1674">
        <f t="shared" si="6"/>
        <v>0</v>
      </c>
      <c r="H44" s="1674">
        <f t="shared" si="6"/>
        <v>300000</v>
      </c>
      <c r="I44" s="1674">
        <f t="shared" si="6"/>
        <v>0</v>
      </c>
      <c r="J44" s="1674">
        <f t="shared" si="6"/>
        <v>0</v>
      </c>
      <c r="K44" s="1674">
        <f t="shared" si="6"/>
        <v>2500000</v>
      </c>
      <c r="L44" s="453"/>
    </row>
    <row r="45" spans="1:12" ht="15.95" customHeight="1" thickTop="1" x14ac:dyDescent="0.2">
      <c r="A45" s="2314" t="s">
        <v>108</v>
      </c>
      <c r="B45" s="2315"/>
      <c r="C45" s="1675"/>
      <c r="D45" s="1675"/>
      <c r="E45" s="1675"/>
      <c r="F45" s="1675"/>
      <c r="G45" s="1675"/>
      <c r="H45" s="1675"/>
      <c r="I45" s="1675"/>
      <c r="J45" s="1675"/>
      <c r="K45" s="1675"/>
      <c r="L45" s="325"/>
    </row>
    <row r="46" spans="1:12" s="433" customFormat="1" ht="15.95" customHeight="1" x14ac:dyDescent="0.2">
      <c r="A46" s="2322" t="s">
        <v>109</v>
      </c>
      <c r="B46" s="2323"/>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296" t="s">
        <v>437</v>
      </c>
      <c r="B76" s="2297"/>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298" t="s">
        <v>1169</v>
      </c>
      <c r="B77" s="2299"/>
      <c r="C77" s="1674">
        <f t="shared" ref="C77:K77" si="8">C44-C76</f>
        <v>0</v>
      </c>
      <c r="D77" s="1674">
        <f t="shared" si="8"/>
        <v>0</v>
      </c>
      <c r="E77" s="1674">
        <f t="shared" si="8"/>
        <v>0</v>
      </c>
      <c r="F77" s="1674">
        <f t="shared" si="8"/>
        <v>0</v>
      </c>
      <c r="G77" s="1674">
        <f t="shared" si="8"/>
        <v>0</v>
      </c>
      <c r="H77" s="1674">
        <f t="shared" si="8"/>
        <v>300000</v>
      </c>
      <c r="I77" s="1674">
        <f t="shared" si="8"/>
        <v>0</v>
      </c>
      <c r="J77" s="1674">
        <f t="shared" si="8"/>
        <v>0</v>
      </c>
      <c r="K77" s="1674">
        <f t="shared" si="8"/>
        <v>2500000</v>
      </c>
      <c r="L77" s="325"/>
    </row>
    <row r="78" spans="1:12" ht="21.75" customHeight="1" thickTop="1" thickBot="1" x14ac:dyDescent="0.25">
      <c r="A78" s="2302" t="s">
        <v>593</v>
      </c>
      <c r="B78" s="2303"/>
      <c r="C78" s="1679">
        <f t="shared" ref="C78:K78" si="9">C20+C77</f>
        <v>54858</v>
      </c>
      <c r="D78" s="1679">
        <f t="shared" si="9"/>
        <v>49090</v>
      </c>
      <c r="E78" s="1679">
        <f t="shared" si="9"/>
        <v>161348</v>
      </c>
      <c r="F78" s="1679">
        <f t="shared" si="9"/>
        <v>36898</v>
      </c>
      <c r="G78" s="1679">
        <f t="shared" si="9"/>
        <v>23293</v>
      </c>
      <c r="H78" s="1679">
        <f t="shared" si="9"/>
        <v>51673</v>
      </c>
      <c r="I78" s="1679">
        <f t="shared" si="9"/>
        <v>0</v>
      </c>
      <c r="J78" s="1679">
        <f t="shared" si="9"/>
        <v>2121</v>
      </c>
      <c r="K78" s="1679">
        <f t="shared" si="9"/>
        <v>1579283</v>
      </c>
      <c r="L78" s="457"/>
    </row>
    <row r="79" spans="1:12" ht="13.5" thickTop="1" x14ac:dyDescent="0.2">
      <c r="A79" s="1902" t="str">
        <f>"Fund Balances - July 1, "&amp;'AFR20'!E2-1</f>
        <v>Fund Balances - July 1, 2019</v>
      </c>
      <c r="B79" s="458"/>
      <c r="C79" s="1633">
        <v>996438</v>
      </c>
      <c r="D79" s="1680">
        <v>154235</v>
      </c>
      <c r="E79" s="1680">
        <v>6589</v>
      </c>
      <c r="F79" s="1680">
        <v>321445</v>
      </c>
      <c r="G79" s="1680">
        <v>-88112</v>
      </c>
      <c r="H79" s="1680">
        <v>10145</v>
      </c>
      <c r="I79" s="1680"/>
      <c r="J79" s="1680">
        <v>-16159</v>
      </c>
      <c r="K79" s="1680">
        <v>46800</v>
      </c>
      <c r="L79" s="325"/>
    </row>
    <row r="80" spans="1:12" x14ac:dyDescent="0.2">
      <c r="A80" s="2308" t="s">
        <v>1775</v>
      </c>
      <c r="B80" s="2309"/>
      <c r="C80" s="1624">
        <v>-500</v>
      </c>
      <c r="D80" s="1624"/>
      <c r="E80" s="1624"/>
      <c r="F80" s="1624"/>
      <c r="G80" s="1624"/>
      <c r="H80" s="1624"/>
      <c r="I80" s="1624"/>
      <c r="J80" s="1624"/>
      <c r="K80" s="1624"/>
      <c r="L80" s="325"/>
    </row>
    <row r="81" spans="1:12" ht="13.5" thickBot="1" x14ac:dyDescent="0.25">
      <c r="A81" s="2300" t="str">
        <f>"Fund Balances - June 30, "&amp;'AFR20'!E2</f>
        <v>Fund Balances - June 30, 2020</v>
      </c>
      <c r="B81" s="2301"/>
      <c r="C81" s="1644">
        <f>(SUM(C78:C80))</f>
        <v>1050796</v>
      </c>
      <c r="D81" s="1644">
        <f>SUM(D78:D80)</f>
        <v>203325</v>
      </c>
      <c r="E81" s="1644">
        <f t="shared" ref="E81:K81" si="10">SUM(E78:E80)</f>
        <v>167937</v>
      </c>
      <c r="F81" s="1644">
        <f t="shared" si="10"/>
        <v>358343</v>
      </c>
      <c r="G81" s="1644">
        <f t="shared" si="10"/>
        <v>-64819</v>
      </c>
      <c r="H81" s="1644">
        <f t="shared" si="10"/>
        <v>61818</v>
      </c>
      <c r="I81" s="1644">
        <f t="shared" si="10"/>
        <v>0</v>
      </c>
      <c r="J81" s="1644">
        <f t="shared" si="10"/>
        <v>-14038</v>
      </c>
      <c r="K81" s="1644">
        <f t="shared" si="10"/>
        <v>1626083</v>
      </c>
      <c r="L81" s="325"/>
    </row>
    <row r="82" spans="1:12" ht="0.75" customHeight="1" thickTop="1" thickBot="1" x14ac:dyDescent="0.25">
      <c r="A82" s="459" t="s">
        <v>340</v>
      </c>
      <c r="B82" s="460"/>
      <c r="C82" s="461">
        <f>(C81-C79)</f>
        <v>54358</v>
      </c>
      <c r="D82" s="461">
        <f t="shared" ref="D82:K82" si="11">(D81-D79)</f>
        <v>49090</v>
      </c>
      <c r="E82" s="461">
        <f t="shared" si="11"/>
        <v>161348</v>
      </c>
      <c r="F82" s="461">
        <f t="shared" si="11"/>
        <v>36898</v>
      </c>
      <c r="G82" s="461">
        <f t="shared" si="11"/>
        <v>23293</v>
      </c>
      <c r="H82" s="461">
        <f t="shared" si="11"/>
        <v>51673</v>
      </c>
      <c r="I82" s="461">
        <f t="shared" si="11"/>
        <v>0</v>
      </c>
      <c r="J82" s="461">
        <f t="shared" si="11"/>
        <v>2121</v>
      </c>
      <c r="K82" s="461">
        <f t="shared" si="11"/>
        <v>1579283</v>
      </c>
    </row>
    <row r="83" spans="1:12" ht="14.25" hidden="1" thickTop="1" thickBot="1" x14ac:dyDescent="0.25">
      <c r="A83" s="462" t="s">
        <v>341</v>
      </c>
      <c r="B83" s="428"/>
      <c r="C83" s="463">
        <f>C82/C81</f>
        <v>5.173030730988698E-2</v>
      </c>
      <c r="D83" s="463">
        <f t="shared" ref="D83:K83" si="12">D82/D81</f>
        <v>0.24143612443132914</v>
      </c>
      <c r="E83" s="463">
        <f t="shared" si="12"/>
        <v>0.96076504879806113</v>
      </c>
      <c r="F83" s="463">
        <f t="shared" si="12"/>
        <v>0.10296838503891523</v>
      </c>
      <c r="G83" s="463">
        <f t="shared" si="12"/>
        <v>-0.35935451025162374</v>
      </c>
      <c r="H83" s="463">
        <f t="shared" si="12"/>
        <v>0.83588922320359771</v>
      </c>
      <c r="I83" s="463" t="e">
        <f t="shared" si="12"/>
        <v>#DIV/0!</v>
      </c>
      <c r="J83" s="463">
        <f t="shared" si="12"/>
        <v>-0.15108989884598945</v>
      </c>
      <c r="K83" s="463">
        <f t="shared" si="12"/>
        <v>0.97121918130870322</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&amp;F&amp;RThe notes to the financial statements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1:L279"/>
  <sheetViews>
    <sheetView showGridLines="0" defaultGridColor="0" colorId="8" zoomScale="110" zoomScaleNormal="110" zoomScaleSheetLayoutView="75" workbookViewId="0">
      <pane ySplit="2" topLeftCell="A63" activePane="bottomLeft" state="frozen"/>
      <selection pane="bottomLeft" activeCell="C69" sqref="C6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4" t="s">
        <v>1782</v>
      </c>
      <c r="B1" s="416"/>
      <c r="C1" s="417" t="s">
        <v>422</v>
      </c>
      <c r="D1" s="417" t="s">
        <v>423</v>
      </c>
      <c r="E1" s="417" t="s">
        <v>424</v>
      </c>
      <c r="F1" s="417" t="s">
        <v>425</v>
      </c>
      <c r="G1" s="417" t="s">
        <v>426</v>
      </c>
      <c r="H1" s="417" t="s">
        <v>427</v>
      </c>
      <c r="I1" s="417" t="s">
        <v>428</v>
      </c>
      <c r="J1" s="417" t="s">
        <v>429</v>
      </c>
      <c r="K1" s="417" t="s">
        <v>751</v>
      </c>
    </row>
    <row r="2" spans="1:12" ht="36" x14ac:dyDescent="0.2">
      <c r="A2" s="2305"/>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95" customHeight="1" x14ac:dyDescent="0.2">
      <c r="A4" s="1373" t="s">
        <v>376</v>
      </c>
      <c r="B4" s="1374">
        <v>1100</v>
      </c>
      <c r="C4" s="466"/>
      <c r="D4" s="466"/>
      <c r="E4" s="466"/>
      <c r="F4" s="467"/>
      <c r="G4" s="468"/>
      <c r="H4" s="469"/>
      <c r="I4" s="469"/>
      <c r="J4" s="469"/>
      <c r="K4" s="469"/>
    </row>
    <row r="5" spans="1:12" ht="15" x14ac:dyDescent="0.2">
      <c r="A5" s="436" t="s">
        <v>1645</v>
      </c>
      <c r="B5" s="470"/>
      <c r="C5" s="1636">
        <v>3082447</v>
      </c>
      <c r="D5" s="1636">
        <v>429079</v>
      </c>
      <c r="E5" s="1623">
        <v>122304</v>
      </c>
      <c r="F5" s="1681">
        <v>163807</v>
      </c>
      <c r="G5" s="1623">
        <v>114412</v>
      </c>
      <c r="H5" s="1623"/>
      <c r="I5" s="1623"/>
      <c r="J5" s="1624">
        <v>75205</v>
      </c>
      <c r="K5" s="1623">
        <v>49056</v>
      </c>
    </row>
    <row r="6" spans="1:12" ht="15" x14ac:dyDescent="0.2">
      <c r="A6" s="427" t="s">
        <v>1646</v>
      </c>
      <c r="B6" s="429">
        <v>1130</v>
      </c>
      <c r="C6" s="1623"/>
      <c r="D6" s="1623"/>
      <c r="E6" s="1630"/>
      <c r="F6" s="1630"/>
      <c r="G6" s="1625"/>
      <c r="H6" s="1625"/>
      <c r="I6" s="1625"/>
      <c r="J6" s="1625"/>
      <c r="K6" s="1625"/>
    </row>
    <row r="7" spans="1:12" x14ac:dyDescent="0.2">
      <c r="A7" s="427" t="s">
        <v>110</v>
      </c>
      <c r="B7" s="471">
        <v>1140</v>
      </c>
      <c r="C7" s="1623">
        <v>38385</v>
      </c>
      <c r="D7" s="1623"/>
      <c r="E7" s="1625"/>
      <c r="F7" s="1624"/>
      <c r="G7" s="1624"/>
      <c r="H7" s="1624"/>
      <c r="I7" s="1625"/>
      <c r="J7" s="1625"/>
      <c r="K7" s="1625"/>
    </row>
    <row r="8" spans="1:12" x14ac:dyDescent="0.2">
      <c r="A8" s="427" t="s">
        <v>410</v>
      </c>
      <c r="B8" s="429">
        <v>1150</v>
      </c>
      <c r="C8" s="1630"/>
      <c r="D8" s="1630"/>
      <c r="E8" s="1632"/>
      <c r="F8" s="1632"/>
      <c r="G8" s="1636">
        <v>105835</v>
      </c>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3120832</v>
      </c>
      <c r="D12" s="1683">
        <f t="shared" si="0"/>
        <v>429079</v>
      </c>
      <c r="E12" s="1683">
        <f t="shared" si="0"/>
        <v>122304</v>
      </c>
      <c r="F12" s="1683">
        <f t="shared" si="0"/>
        <v>163807</v>
      </c>
      <c r="G12" s="1683">
        <f t="shared" si="0"/>
        <v>220247</v>
      </c>
      <c r="H12" s="1683">
        <f t="shared" si="0"/>
        <v>0</v>
      </c>
      <c r="I12" s="1683">
        <f t="shared" si="0"/>
        <v>0</v>
      </c>
      <c r="J12" s="1683">
        <f t="shared" si="0"/>
        <v>75205</v>
      </c>
      <c r="K12" s="1644">
        <f t="shared" si="0"/>
        <v>49056</v>
      </c>
    </row>
    <row r="13" spans="1:12" ht="15.9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c r="D16" s="1623">
        <v>77453</v>
      </c>
      <c r="E16" s="1623"/>
      <c r="F16" s="1623"/>
      <c r="G16" s="1623"/>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0</v>
      </c>
      <c r="D18" s="1685">
        <f t="shared" ref="D18:K18" si="1">SUM(D14:D17)</f>
        <v>77453</v>
      </c>
      <c r="E18" s="1685">
        <f t="shared" si="1"/>
        <v>0</v>
      </c>
      <c r="F18" s="1685">
        <f t="shared" si="1"/>
        <v>0</v>
      </c>
      <c r="G18" s="1685">
        <f t="shared" si="1"/>
        <v>0</v>
      </c>
      <c r="H18" s="1685">
        <f t="shared" si="1"/>
        <v>0</v>
      </c>
      <c r="I18" s="1685">
        <f t="shared" si="1"/>
        <v>0</v>
      </c>
      <c r="J18" s="1685">
        <f t="shared" si="1"/>
        <v>0</v>
      </c>
      <c r="K18" s="1686">
        <f t="shared" si="1"/>
        <v>0</v>
      </c>
    </row>
    <row r="19" spans="1:11" ht="15.9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v>338</v>
      </c>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338</v>
      </c>
      <c r="D40" s="1625"/>
      <c r="E40" s="1625"/>
      <c r="F40" s="1625"/>
      <c r="G40" s="1625"/>
      <c r="H40" s="1625"/>
      <c r="I40" s="1625"/>
      <c r="J40" s="1625"/>
      <c r="K40" s="1625"/>
    </row>
    <row r="41" spans="1:11" ht="15.9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9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13232</v>
      </c>
      <c r="D65" s="1623">
        <v>11750</v>
      </c>
      <c r="E65" s="1623">
        <v>31</v>
      </c>
      <c r="F65" s="1624">
        <v>4154</v>
      </c>
      <c r="G65" s="1623">
        <v>19</v>
      </c>
      <c r="H65" s="1623">
        <v>128</v>
      </c>
      <c r="I65" s="1623"/>
      <c r="J65" s="1624">
        <v>65</v>
      </c>
      <c r="K65" s="1623">
        <v>25754</v>
      </c>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13232</v>
      </c>
      <c r="D67" s="1644">
        <f t="shared" ref="D67:K67" si="2">SUM(D65:D66)</f>
        <v>11750</v>
      </c>
      <c r="E67" s="1644">
        <f t="shared" si="2"/>
        <v>31</v>
      </c>
      <c r="F67" s="1644">
        <f t="shared" si="2"/>
        <v>4154</v>
      </c>
      <c r="G67" s="1644">
        <f t="shared" si="2"/>
        <v>19</v>
      </c>
      <c r="H67" s="1644">
        <f t="shared" si="2"/>
        <v>128</v>
      </c>
      <c r="I67" s="1644">
        <f t="shared" si="2"/>
        <v>0</v>
      </c>
      <c r="J67" s="1644">
        <f t="shared" si="2"/>
        <v>65</v>
      </c>
      <c r="K67" s="1644">
        <f t="shared" si="2"/>
        <v>25754</v>
      </c>
    </row>
    <row r="68" spans="1:11" ht="15.9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73945</v>
      </c>
      <c r="D69" s="1625"/>
      <c r="E69" s="1625"/>
      <c r="F69" s="1625"/>
      <c r="G69" s="1625"/>
      <c r="H69" s="1625"/>
      <c r="I69" s="1625"/>
      <c r="J69" s="1625"/>
      <c r="K69" s="1625"/>
    </row>
    <row r="70" spans="1:11" ht="12.75" customHeight="1" x14ac:dyDescent="0.2">
      <c r="A70" s="427" t="s">
        <v>990</v>
      </c>
      <c r="B70" s="429">
        <v>1612</v>
      </c>
      <c r="C70" s="1682"/>
      <c r="D70" s="1625"/>
      <c r="E70" s="1625"/>
      <c r="F70" s="1625"/>
      <c r="G70" s="1625"/>
      <c r="H70" s="1625"/>
      <c r="I70" s="1625"/>
      <c r="J70" s="1625"/>
      <c r="K70" s="1625"/>
    </row>
    <row r="71" spans="1:11" ht="12.75" customHeight="1" x14ac:dyDescent="0.2">
      <c r="A71" s="427" t="s">
        <v>271</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v>957</v>
      </c>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74902</v>
      </c>
      <c r="D75" s="1625"/>
      <c r="E75" s="1625"/>
      <c r="F75" s="1625"/>
      <c r="G75" s="1625"/>
      <c r="H75" s="1625"/>
      <c r="I75" s="1625"/>
      <c r="J75" s="1625"/>
      <c r="K75" s="1625"/>
    </row>
    <row r="76" spans="1:11" ht="15.9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16926</v>
      </c>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c r="D79" s="1623"/>
      <c r="E79" s="1625"/>
      <c r="F79" s="1625"/>
      <c r="G79" s="1625"/>
      <c r="H79" s="1625"/>
      <c r="I79" s="1625"/>
      <c r="J79" s="1625"/>
      <c r="K79" s="1625"/>
    </row>
    <row r="80" spans="1:11" ht="12.75" customHeight="1" x14ac:dyDescent="0.2">
      <c r="A80" s="427" t="s">
        <v>547</v>
      </c>
      <c r="B80" s="429">
        <v>1730</v>
      </c>
      <c r="C80" s="1682"/>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16926</v>
      </c>
      <c r="D82" s="1644">
        <f>SUM(D77:D81)</f>
        <v>0</v>
      </c>
      <c r="E82" s="1625"/>
      <c r="F82" s="1625"/>
      <c r="G82" s="1625"/>
      <c r="H82" s="1625"/>
      <c r="I82" s="1625"/>
      <c r="J82" s="1625"/>
      <c r="K82" s="1625"/>
    </row>
    <row r="83" spans="1:11" ht="15.9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5796</v>
      </c>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5796</v>
      </c>
      <c r="D93" s="1625"/>
      <c r="E93" s="1625"/>
      <c r="F93" s="1625"/>
      <c r="G93" s="1625"/>
      <c r="H93" s="1625"/>
      <c r="I93" s="1625"/>
      <c r="J93" s="1625"/>
      <c r="K93" s="1625"/>
    </row>
    <row r="94" spans="1:11" ht="15.9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c r="D95" s="1682"/>
      <c r="E95" s="1667"/>
      <c r="F95" s="1667"/>
      <c r="G95" s="1667"/>
      <c r="H95" s="1667"/>
      <c r="I95" s="1667"/>
      <c r="J95" s="1667"/>
      <c r="K95" s="1667"/>
    </row>
    <row r="96" spans="1:11" ht="12.75" customHeight="1" x14ac:dyDescent="0.2">
      <c r="A96" s="427" t="s">
        <v>388</v>
      </c>
      <c r="B96" s="429">
        <v>1920</v>
      </c>
      <c r="C96" s="1682">
        <v>22285</v>
      </c>
      <c r="D96" s="1682"/>
      <c r="E96" s="1634"/>
      <c r="F96" s="1633">
        <v>70543</v>
      </c>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816</v>
      </c>
      <c r="B99" s="429">
        <v>1950</v>
      </c>
      <c r="C99" s="1648"/>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v>172141</v>
      </c>
      <c r="F103" s="1625"/>
      <c r="G103" s="1625"/>
      <c r="H103" s="1648"/>
      <c r="I103" s="1625"/>
      <c r="J103" s="1660"/>
      <c r="K103" s="1660"/>
    </row>
    <row r="104" spans="1:12" ht="12.75" customHeight="1" x14ac:dyDescent="0.2">
      <c r="A104" s="427" t="s">
        <v>825</v>
      </c>
      <c r="B104" s="429">
        <v>1991</v>
      </c>
      <c r="C104" s="1648"/>
      <c r="D104" s="1623"/>
      <c r="E104" s="1636"/>
      <c r="F104" s="1624"/>
      <c r="G104" s="1624"/>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c r="D106" s="1648"/>
      <c r="E106" s="1624"/>
      <c r="F106" s="1624"/>
      <c r="G106" s="1624"/>
      <c r="H106" s="1624"/>
      <c r="I106" s="1667"/>
      <c r="J106" s="1624"/>
      <c r="K106" s="1624"/>
    </row>
    <row r="107" spans="1:12" ht="12.75" customHeight="1" x14ac:dyDescent="0.2">
      <c r="A107" s="427" t="s">
        <v>78</v>
      </c>
      <c r="B107" s="429">
        <v>1999</v>
      </c>
      <c r="C107" s="1682">
        <v>153</v>
      </c>
      <c r="D107" s="1623">
        <v>246</v>
      </c>
      <c r="E107" s="1623"/>
      <c r="F107" s="1623">
        <v>2307</v>
      </c>
      <c r="G107" s="1623"/>
      <c r="H107" s="1623"/>
      <c r="I107" s="1623"/>
      <c r="J107" s="1624"/>
      <c r="K107" s="1623"/>
    </row>
    <row r="108" spans="1:12" ht="12.75" customHeight="1" thickBot="1" x14ac:dyDescent="0.25">
      <c r="A108" s="1455" t="s">
        <v>484</v>
      </c>
      <c r="B108" s="1457"/>
      <c r="C108" s="1683">
        <f>SUM(C95:C107)</f>
        <v>22438</v>
      </c>
      <c r="D108" s="1683">
        <f t="shared" ref="D108:K108" si="3">SUM(D95:D107)</f>
        <v>246</v>
      </c>
      <c r="E108" s="1683">
        <f t="shared" si="3"/>
        <v>172141</v>
      </c>
      <c r="F108" s="1683">
        <f t="shared" si="3"/>
        <v>72850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3254464</v>
      </c>
      <c r="D109" s="1691">
        <f t="shared" si="4"/>
        <v>518528</v>
      </c>
      <c r="E109" s="1691">
        <f t="shared" si="4"/>
        <v>294476</v>
      </c>
      <c r="F109" s="1691">
        <f t="shared" si="4"/>
        <v>240811</v>
      </c>
      <c r="G109" s="1691">
        <f t="shared" si="4"/>
        <v>220266</v>
      </c>
      <c r="H109" s="1691">
        <f t="shared" si="4"/>
        <v>128</v>
      </c>
      <c r="I109" s="1691">
        <f t="shared" si="4"/>
        <v>0</v>
      </c>
      <c r="J109" s="1691">
        <f t="shared" si="4"/>
        <v>75270</v>
      </c>
      <c r="K109" s="1679">
        <f t="shared" si="4"/>
        <v>74810</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c r="D111" s="1636"/>
      <c r="E111" s="1690"/>
      <c r="F111" s="1636"/>
      <c r="G111" s="1636"/>
      <c r="H111" s="1690"/>
      <c r="I111" s="1625"/>
      <c r="J111" s="1625"/>
      <c r="K111" s="1625"/>
    </row>
    <row r="112" spans="1:12" ht="12.75" customHeight="1" x14ac:dyDescent="0.2">
      <c r="A112" s="427" t="s">
        <v>819</v>
      </c>
      <c r="B112" s="429">
        <v>2200</v>
      </c>
      <c r="C112" s="1682"/>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204434</v>
      </c>
      <c r="D117" s="1636"/>
      <c r="E117" s="1623"/>
      <c r="F117" s="1636"/>
      <c r="G117" s="1636"/>
      <c r="H117" s="1623"/>
      <c r="I117" s="1625"/>
      <c r="J117" s="1624"/>
      <c r="K117" s="1623"/>
    </row>
    <row r="118" spans="1:11" ht="12.75" customHeight="1" x14ac:dyDescent="0.2">
      <c r="A118" s="427" t="s">
        <v>1779</v>
      </c>
      <c r="B118" s="478">
        <v>3002</v>
      </c>
      <c r="C118" s="1682"/>
      <c r="D118" s="1623"/>
      <c r="E118" s="1623"/>
      <c r="F118" s="1623"/>
      <c r="G118" s="1623"/>
      <c r="H118" s="1623"/>
      <c r="I118" s="1625"/>
      <c r="J118" s="1624"/>
      <c r="K118" s="1623"/>
    </row>
    <row r="119" spans="1:11" ht="12.75" customHeight="1" x14ac:dyDescent="0.2">
      <c r="A119" s="427" t="s">
        <v>1780</v>
      </c>
      <c r="B119" s="478">
        <v>3005</v>
      </c>
      <c r="C119" s="1682"/>
      <c r="D119" s="1623"/>
      <c r="E119" s="1623"/>
      <c r="F119" s="1623"/>
      <c r="G119" s="1623"/>
      <c r="H119" s="1623"/>
      <c r="I119" s="1625"/>
      <c r="J119" s="1624"/>
      <c r="K119" s="1623"/>
    </row>
    <row r="120" spans="1:11" ht="12.75" customHeight="1" x14ac:dyDescent="0.2">
      <c r="A120" s="1589" t="s">
        <v>1898</v>
      </c>
      <c r="B120" s="478">
        <v>3030</v>
      </c>
      <c r="C120" s="1682"/>
      <c r="D120" s="1623"/>
      <c r="E120" s="1623"/>
      <c r="F120" s="1623"/>
      <c r="G120" s="1623"/>
      <c r="H120" s="1623"/>
      <c r="I120" s="1625"/>
      <c r="J120" s="1624"/>
      <c r="K120" s="1623"/>
    </row>
    <row r="121" spans="1:11" x14ac:dyDescent="0.2">
      <c r="A121" s="1311" t="s">
        <v>1781</v>
      </c>
      <c r="B121" s="480">
        <v>3099</v>
      </c>
      <c r="C121" s="1682"/>
      <c r="D121" s="1623"/>
      <c r="E121" s="1623"/>
      <c r="F121" s="1623"/>
      <c r="G121" s="1623"/>
      <c r="H121" s="1623"/>
      <c r="I121" s="1625"/>
      <c r="J121" s="1624"/>
      <c r="K121" s="1623"/>
    </row>
    <row r="122" spans="1:11" ht="12.75" customHeight="1" thickBot="1" x14ac:dyDescent="0.25">
      <c r="A122" s="1455" t="s">
        <v>485</v>
      </c>
      <c r="B122" s="1462"/>
      <c r="C122" s="1683">
        <f t="shared" ref="C122:H122" si="5">SUM(C117:C121)</f>
        <v>204434</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9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0</v>
      </c>
      <c r="D132" s="1683">
        <f>SUM(D125:D131)</f>
        <v>0</v>
      </c>
      <c r="E132" s="1626" t="s">
        <v>1161</v>
      </c>
      <c r="F132" s="1683">
        <f>SUM(F125:F131)</f>
        <v>0</v>
      </c>
      <c r="G132" s="1625" t="s">
        <v>1161</v>
      </c>
      <c r="H132" s="1625" t="s">
        <v>1161</v>
      </c>
      <c r="I132" s="1625" t="s">
        <v>1161</v>
      </c>
      <c r="J132" s="1625" t="s">
        <v>1161</v>
      </c>
      <c r="K132" s="1625" t="s">
        <v>1161</v>
      </c>
    </row>
    <row r="133" spans="1:11" ht="15.9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v>14754</v>
      </c>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14754</v>
      </c>
      <c r="D141" s="1683">
        <f>SUM(D134:D140)</f>
        <v>0</v>
      </c>
      <c r="E141" s="1690" t="s">
        <v>1161</v>
      </c>
      <c r="F141" s="1632"/>
      <c r="G141" s="1683">
        <f>SUM(G134:G140)</f>
        <v>0</v>
      </c>
      <c r="H141" s="1625" t="s">
        <v>1161</v>
      </c>
      <c r="I141" s="1625" t="s">
        <v>1161</v>
      </c>
      <c r="J141" s="1625" t="s">
        <v>1161</v>
      </c>
      <c r="K141" s="1625" t="s">
        <v>1161</v>
      </c>
    </row>
    <row r="142" spans="1:11" ht="15.9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745</v>
      </c>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v>2846</v>
      </c>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9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v>120927</v>
      </c>
      <c r="G152" s="1624"/>
      <c r="H152" s="1625"/>
      <c r="I152" s="1625"/>
      <c r="J152" s="1625"/>
      <c r="K152" s="1625"/>
    </row>
    <row r="153" spans="1:11" ht="12.75" customHeight="1" x14ac:dyDescent="0.2">
      <c r="A153" s="427" t="s">
        <v>1050</v>
      </c>
      <c r="B153" s="478">
        <v>3510</v>
      </c>
      <c r="C153" s="1682"/>
      <c r="D153" s="1623"/>
      <c r="E153" s="1690"/>
      <c r="F153" s="1623">
        <v>23287</v>
      </c>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144214</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v>133261</v>
      </c>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v>50000</v>
      </c>
      <c r="E167" s="1667"/>
      <c r="F167" s="1667"/>
      <c r="G167" s="1625"/>
      <c r="H167" s="1677"/>
      <c r="I167" s="1625"/>
      <c r="J167" s="1625"/>
      <c r="K167" s="1676"/>
    </row>
    <row r="168" spans="1:11" ht="14.25" thickTop="1" thickBot="1" x14ac:dyDescent="0.25">
      <c r="A168" s="1315" t="s">
        <v>70</v>
      </c>
      <c r="B168" s="484">
        <v>3999</v>
      </c>
      <c r="C168" s="1704"/>
      <c r="D168" s="1705"/>
      <c r="E168" s="1705"/>
      <c r="F168" s="1705"/>
      <c r="G168" s="1706"/>
      <c r="H168" s="1707"/>
      <c r="I168" s="1706"/>
      <c r="J168" s="1706"/>
      <c r="K168" s="1707"/>
    </row>
    <row r="169" spans="1:11" ht="12.75" customHeight="1" thickTop="1" thickBot="1" x14ac:dyDescent="0.25">
      <c r="A169" s="2324" t="s">
        <v>395</v>
      </c>
      <c r="B169" s="2325"/>
      <c r="C169" s="1708">
        <f t="shared" ref="C169:K169" si="6">SUM(C132,C141,C145,C146:C150,C155,C156:C167,C168)</f>
        <v>151606</v>
      </c>
      <c r="D169" s="1708">
        <f t="shared" si="6"/>
        <v>50000</v>
      </c>
      <c r="E169" s="1708">
        <f t="shared" si="6"/>
        <v>0</v>
      </c>
      <c r="F169" s="1708">
        <f t="shared" si="6"/>
        <v>144214</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356040</v>
      </c>
      <c r="D170" s="1691">
        <f t="shared" si="7"/>
        <v>50000</v>
      </c>
      <c r="E170" s="1691">
        <f t="shared" si="7"/>
        <v>0</v>
      </c>
      <c r="F170" s="1691">
        <f t="shared" si="7"/>
        <v>144214</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95" customHeight="1" x14ac:dyDescent="0.2">
      <c r="A172" s="2326" t="s">
        <v>1478</v>
      </c>
      <c r="B172" s="2327"/>
      <c r="C172" s="1666"/>
      <c r="D172" s="1666"/>
      <c r="E172" s="1659"/>
      <c r="F172" s="1625"/>
      <c r="G172" s="1625"/>
      <c r="H172" s="1625"/>
      <c r="I172" s="1625"/>
      <c r="J172" s="1625"/>
      <c r="K172" s="1625"/>
    </row>
    <row r="173" spans="1:11" ht="12.75"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330" t="s">
        <v>1649</v>
      </c>
      <c r="B175" s="2331"/>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95" customHeight="1" thickTop="1" x14ac:dyDescent="0.2">
      <c r="A176" s="2334" t="s">
        <v>1648</v>
      </c>
      <c r="B176" s="2335"/>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332" t="s">
        <v>780</v>
      </c>
      <c r="B181" s="2333"/>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8" t="s">
        <v>1783</v>
      </c>
      <c r="B182" s="2329"/>
      <c r="C182" s="1713"/>
      <c r="D182" s="1695"/>
      <c r="E182" s="1659"/>
      <c r="F182" s="1695"/>
      <c r="G182" s="1695"/>
      <c r="H182" s="1625"/>
      <c r="I182" s="1625"/>
      <c r="J182" s="1625"/>
      <c r="K182" s="1625"/>
    </row>
    <row r="183" spans="1:11" ht="15.9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9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v>46067</v>
      </c>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v>10842</v>
      </c>
      <c r="D193" s="1625"/>
      <c r="E193" s="1690"/>
      <c r="F193" s="1625"/>
      <c r="G193" s="1714"/>
      <c r="H193" s="1625"/>
      <c r="I193" s="1625"/>
      <c r="J193" s="1625"/>
      <c r="K193" s="1625"/>
    </row>
    <row r="194" spans="1:11" ht="12.75" customHeight="1" x14ac:dyDescent="0.2">
      <c r="A194" s="427" t="s">
        <v>1437</v>
      </c>
      <c r="B194" s="429">
        <v>4225</v>
      </c>
      <c r="C194" s="1682">
        <v>16293</v>
      </c>
      <c r="D194" s="1625"/>
      <c r="E194" s="1690"/>
      <c r="F194" s="1625"/>
      <c r="G194" s="1714"/>
      <c r="H194" s="1625"/>
      <c r="I194" s="1625"/>
      <c r="J194" s="1625"/>
      <c r="K194" s="1625"/>
    </row>
    <row r="195" spans="1:11" ht="12.75" customHeight="1" x14ac:dyDescent="0.2">
      <c r="A195" s="427" t="s">
        <v>1438</v>
      </c>
      <c r="B195" s="429">
        <v>4226</v>
      </c>
      <c r="C195" s="1682">
        <v>2258</v>
      </c>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75460</v>
      </c>
      <c r="D198" s="1625"/>
      <c r="E198" s="1625"/>
      <c r="F198" s="1625"/>
      <c r="G198" s="1644">
        <f>SUM(G190:G197)</f>
        <v>0</v>
      </c>
      <c r="H198" s="1625"/>
      <c r="I198" s="1625"/>
      <c r="J198" s="1625"/>
      <c r="K198" s="1625"/>
    </row>
    <row r="199" spans="1:11" ht="15.9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11855</v>
      </c>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11855</v>
      </c>
      <c r="D204" s="1683">
        <f>SUM(D200:D203)</f>
        <v>0</v>
      </c>
      <c r="E204" s="1625"/>
      <c r="F204" s="1683">
        <f>SUM(F200:F203)</f>
        <v>0</v>
      </c>
      <c r="G204" s="1683">
        <f>SUM(G200:G203)</f>
        <v>0</v>
      </c>
      <c r="H204" s="1625"/>
      <c r="I204" s="1625"/>
      <c r="J204" s="1625"/>
      <c r="K204" s="1625"/>
    </row>
    <row r="205" spans="1:11" ht="15.9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9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c r="D213" s="1623"/>
      <c r="E213" s="1625"/>
      <c r="F213" s="1623"/>
      <c r="G213" s="1623"/>
      <c r="H213" s="1625"/>
      <c r="I213" s="1625"/>
      <c r="J213" s="1625"/>
      <c r="K213" s="1625"/>
    </row>
    <row r="214" spans="1:11" ht="12.75" customHeight="1" x14ac:dyDescent="0.2">
      <c r="A214" s="427" t="s">
        <v>1047</v>
      </c>
      <c r="B214" s="429">
        <v>4625</v>
      </c>
      <c r="C214" s="1682"/>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0</v>
      </c>
      <c r="D217" s="1683">
        <f>SUM(D211:D216)</f>
        <v>0</v>
      </c>
      <c r="E217" s="1625"/>
      <c r="F217" s="1683">
        <f>SUM(F211:F216)</f>
        <v>0</v>
      </c>
      <c r="G217" s="1683">
        <f>SUM(G211:G216)</f>
        <v>0</v>
      </c>
      <c r="H217" s="1625"/>
      <c r="I217" s="1625"/>
      <c r="J217" s="1625"/>
      <c r="K217" s="1625"/>
    </row>
    <row r="218" spans="1:11" ht="15.9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v>3464</v>
      </c>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1899</v>
      </c>
      <c r="B261" s="429">
        <v>4981</v>
      </c>
      <c r="C261" s="1700"/>
      <c r="D261" s="1701"/>
      <c r="E261" s="1625"/>
      <c r="F261" s="1701"/>
      <c r="G261" s="1701"/>
      <c r="H261" s="1625"/>
      <c r="I261" s="1625"/>
      <c r="J261" s="1625"/>
      <c r="K261" s="1625"/>
    </row>
    <row r="262" spans="1:11" ht="12.75" customHeight="1" thickTop="1" thickBot="1" x14ac:dyDescent="0.25">
      <c r="A262" s="1590" t="s">
        <v>1900</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c r="D263" s="1701"/>
      <c r="E263" s="1625"/>
      <c r="F263" s="1701"/>
      <c r="G263" s="1701"/>
      <c r="H263" s="1625"/>
      <c r="I263" s="1625"/>
      <c r="J263" s="1625"/>
      <c r="K263" s="1625"/>
    </row>
    <row r="264" spans="1:11" ht="12.75" customHeight="1" thickTop="1" thickBot="1" x14ac:dyDescent="0.25">
      <c r="A264" s="427" t="s">
        <v>374</v>
      </c>
      <c r="B264" s="429">
        <v>4992</v>
      </c>
      <c r="C264" s="1700"/>
      <c r="D264" s="1701"/>
      <c r="E264" s="1625"/>
      <c r="F264" s="1701"/>
      <c r="G264" s="1701"/>
      <c r="H264" s="1625"/>
      <c r="I264" s="1625"/>
      <c r="J264" s="1625"/>
      <c r="K264" s="1625"/>
    </row>
    <row r="265" spans="1:11" s="489" customFormat="1" ht="12.75" customHeight="1" thickTop="1" thickBot="1" x14ac:dyDescent="0.25">
      <c r="A265" s="479" t="s">
        <v>75</v>
      </c>
      <c r="B265" s="475">
        <v>4998</v>
      </c>
      <c r="C265" s="1700">
        <v>21664</v>
      </c>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112443</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112443</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3722947</v>
      </c>
      <c r="D268" s="1691">
        <f t="shared" si="12"/>
        <v>568528</v>
      </c>
      <c r="E268" s="1691">
        <f t="shared" si="12"/>
        <v>294476</v>
      </c>
      <c r="F268" s="1691">
        <f t="shared" si="12"/>
        <v>385025</v>
      </c>
      <c r="G268" s="1691">
        <f t="shared" si="12"/>
        <v>220266</v>
      </c>
      <c r="H268" s="1691">
        <f t="shared" si="12"/>
        <v>128</v>
      </c>
      <c r="I268" s="1691">
        <f t="shared" si="12"/>
        <v>0</v>
      </c>
      <c r="J268" s="1691">
        <f t="shared" si="12"/>
        <v>75270</v>
      </c>
      <c r="K268" s="1679">
        <f t="shared" si="12"/>
        <v>74810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&amp;F&amp;RThe notes to the financial statements are an integral part of this statement.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FF00"/>
  </sheetPr>
  <dimension ref="A1:N368"/>
  <sheetViews>
    <sheetView showGridLines="0" defaultGridColor="0" topLeftCell="B1" colorId="8" zoomScale="110" zoomScaleNormal="110" workbookViewId="0">
      <pane ySplit="2" topLeftCell="A99" activePane="bottomLeft" state="frozen"/>
      <selection pane="bottomLeft" activeCell="K368" sqref="K36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4"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6"/>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42" t="s">
        <v>294</v>
      </c>
      <c r="B3" s="2343"/>
      <c r="C3" s="1346"/>
      <c r="D3" s="1346"/>
      <c r="E3" s="1346"/>
      <c r="F3" s="1346"/>
      <c r="G3" s="1346"/>
      <c r="H3" s="1346"/>
      <c r="I3" s="1346"/>
      <c r="J3" s="1346"/>
      <c r="K3" s="1347"/>
      <c r="L3" s="1348"/>
      <c r="M3" s="501"/>
      <c r="N3" s="501"/>
    </row>
    <row r="4" spans="1:14" s="254" customFormat="1" ht="15.9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1315169</v>
      </c>
      <c r="D5" s="1623">
        <v>228183</v>
      </c>
      <c r="E5" s="1623">
        <v>30821</v>
      </c>
      <c r="F5" s="1623">
        <v>112292</v>
      </c>
      <c r="G5" s="1623">
        <v>19906</v>
      </c>
      <c r="H5" s="1623">
        <v>9503</v>
      </c>
      <c r="I5" s="1624"/>
      <c r="J5" s="1624"/>
      <c r="K5" s="1722">
        <f>SUM(C5:J5)</f>
        <v>1715874</v>
      </c>
      <c r="L5" s="1623">
        <v>1679140</v>
      </c>
    </row>
    <row r="6" spans="1:14" x14ac:dyDescent="0.2">
      <c r="A6" s="1319" t="s">
        <v>1419</v>
      </c>
      <c r="B6" s="503" t="s">
        <v>1417</v>
      </c>
      <c r="C6" s="1632"/>
      <c r="D6" s="1632"/>
      <c r="E6" s="1623"/>
      <c r="F6" s="1632"/>
      <c r="G6" s="1632"/>
      <c r="H6" s="1632"/>
      <c r="I6" s="1632"/>
      <c r="J6" s="1632"/>
      <c r="K6" s="1722">
        <f>SUM(C6,E6)</f>
        <v>0</v>
      </c>
      <c r="L6" s="1623"/>
    </row>
    <row r="7" spans="1:14" x14ac:dyDescent="0.2">
      <c r="A7" s="1319" t="s">
        <v>162</v>
      </c>
      <c r="B7" s="503" t="s">
        <v>961</v>
      </c>
      <c r="C7" s="1624">
        <v>101383</v>
      </c>
      <c r="D7" s="1624">
        <v>16492</v>
      </c>
      <c r="E7" s="1624"/>
      <c r="F7" s="1624">
        <v>3165</v>
      </c>
      <c r="G7" s="1624"/>
      <c r="H7" s="1624"/>
      <c r="I7" s="1624"/>
      <c r="J7" s="1624"/>
      <c r="K7" s="1722">
        <f t="shared" ref="K7:K32" si="0">SUM(C7:J7)</f>
        <v>121040</v>
      </c>
      <c r="L7" s="1623">
        <v>129211</v>
      </c>
    </row>
    <row r="8" spans="1:14" x14ac:dyDescent="0.2">
      <c r="A8" s="1319" t="s">
        <v>163</v>
      </c>
      <c r="B8" s="503">
        <v>1200</v>
      </c>
      <c r="C8" s="1623">
        <v>164175</v>
      </c>
      <c r="D8" s="1623">
        <v>31053</v>
      </c>
      <c r="E8" s="1623">
        <v>27466</v>
      </c>
      <c r="F8" s="1623">
        <v>1337</v>
      </c>
      <c r="G8" s="1623"/>
      <c r="H8" s="1623"/>
      <c r="I8" s="1624"/>
      <c r="J8" s="1624"/>
      <c r="K8" s="1722">
        <f t="shared" si="0"/>
        <v>224031</v>
      </c>
      <c r="L8" s="1623">
        <v>227016</v>
      </c>
    </row>
    <row r="9" spans="1:14" x14ac:dyDescent="0.2">
      <c r="A9" s="1319" t="s">
        <v>716</v>
      </c>
      <c r="B9" s="503" t="s">
        <v>962</v>
      </c>
      <c r="C9" s="1624"/>
      <c r="D9" s="1624"/>
      <c r="E9" s="1624"/>
      <c r="F9" s="1624"/>
      <c r="G9" s="1624"/>
      <c r="H9" s="1624"/>
      <c r="I9" s="1624"/>
      <c r="J9" s="1624"/>
      <c r="K9" s="1722">
        <f t="shared" si="0"/>
        <v>0</v>
      </c>
      <c r="L9" s="1623"/>
    </row>
    <row r="10" spans="1:14" x14ac:dyDescent="0.2">
      <c r="A10" s="1319" t="s">
        <v>717</v>
      </c>
      <c r="B10" s="503">
        <v>1250</v>
      </c>
      <c r="C10" s="1623">
        <v>56330</v>
      </c>
      <c r="D10" s="1623">
        <v>16862</v>
      </c>
      <c r="E10" s="1623"/>
      <c r="F10" s="1623"/>
      <c r="G10" s="1623"/>
      <c r="H10" s="1623"/>
      <c r="I10" s="1624"/>
      <c r="J10" s="1624"/>
      <c r="K10" s="1722">
        <f t="shared" si="0"/>
        <v>73192</v>
      </c>
      <c r="L10" s="1623">
        <v>47864</v>
      </c>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c r="D12" s="1623"/>
      <c r="E12" s="1623"/>
      <c r="F12" s="1623"/>
      <c r="G12" s="1623"/>
      <c r="H12" s="1623"/>
      <c r="I12" s="1624"/>
      <c r="J12" s="1624"/>
      <c r="K12" s="1722">
        <f t="shared" si="0"/>
        <v>0</v>
      </c>
      <c r="L12" s="1623"/>
    </row>
    <row r="13" spans="1:14" x14ac:dyDescent="0.2">
      <c r="A13" s="1319" t="s">
        <v>718</v>
      </c>
      <c r="B13" s="503">
        <v>1400</v>
      </c>
      <c r="C13" s="1623">
        <v>149402</v>
      </c>
      <c r="D13" s="1623">
        <v>16853</v>
      </c>
      <c r="E13" s="1623"/>
      <c r="F13" s="1623">
        <v>10413</v>
      </c>
      <c r="G13" s="1623"/>
      <c r="H13" s="1623"/>
      <c r="I13" s="1624"/>
      <c r="J13" s="1624"/>
      <c r="K13" s="1722">
        <f t="shared" si="0"/>
        <v>176668</v>
      </c>
      <c r="L13" s="1623">
        <v>199577</v>
      </c>
    </row>
    <row r="14" spans="1:14" x14ac:dyDescent="0.2">
      <c r="A14" s="1319" t="s">
        <v>957</v>
      </c>
      <c r="B14" s="503">
        <v>1500</v>
      </c>
      <c r="C14" s="1623">
        <v>106685</v>
      </c>
      <c r="D14" s="1623">
        <v>922</v>
      </c>
      <c r="E14" s="1623">
        <v>24787</v>
      </c>
      <c r="F14" s="1623">
        <v>20326</v>
      </c>
      <c r="G14" s="1623">
        <v>3647</v>
      </c>
      <c r="H14" s="1623">
        <v>3898</v>
      </c>
      <c r="I14" s="1624"/>
      <c r="J14" s="1624"/>
      <c r="K14" s="1722">
        <f t="shared" si="0"/>
        <v>160265</v>
      </c>
      <c r="L14" s="1623">
        <v>174713</v>
      </c>
    </row>
    <row r="15" spans="1:14" x14ac:dyDescent="0.2">
      <c r="A15" s="1319" t="s">
        <v>958</v>
      </c>
      <c r="B15" s="503">
        <v>1600</v>
      </c>
      <c r="C15" s="1623"/>
      <c r="D15" s="1623"/>
      <c r="E15" s="1623"/>
      <c r="F15" s="1623"/>
      <c r="G15" s="1623"/>
      <c r="H15" s="1623"/>
      <c r="I15" s="1624"/>
      <c r="J15" s="1624"/>
      <c r="K15" s="1722">
        <f t="shared" si="0"/>
        <v>0</v>
      </c>
      <c r="L15" s="1623"/>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v>29435</v>
      </c>
      <c r="D17" s="1624">
        <v>2161</v>
      </c>
      <c r="E17" s="1624">
        <v>4555</v>
      </c>
      <c r="F17" s="1624">
        <v>181</v>
      </c>
      <c r="G17" s="1624"/>
      <c r="H17" s="1624"/>
      <c r="I17" s="1624"/>
      <c r="J17" s="1624"/>
      <c r="K17" s="1722">
        <f t="shared" si="0"/>
        <v>36332</v>
      </c>
      <c r="L17" s="1623">
        <v>30672</v>
      </c>
    </row>
    <row r="18" spans="1:12" x14ac:dyDescent="0.2">
      <c r="A18" s="1319" t="s">
        <v>1080</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v>175</v>
      </c>
      <c r="F19" s="1623"/>
      <c r="G19" s="1623"/>
      <c r="H19" s="1623"/>
      <c r="I19" s="1624"/>
      <c r="J19" s="1624"/>
      <c r="K19" s="1722">
        <f t="shared" si="0"/>
        <v>175</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row>
    <row r="22" spans="1:12" x14ac:dyDescent="0.2">
      <c r="A22" s="1320" t="s">
        <v>735</v>
      </c>
      <c r="B22" s="494" t="s">
        <v>722</v>
      </c>
      <c r="C22" s="1632"/>
      <c r="D22" s="1632"/>
      <c r="E22" s="1632"/>
      <c r="F22" s="1632"/>
      <c r="G22" s="1632"/>
      <c r="H22" s="1629"/>
      <c r="I22" s="1723"/>
      <c r="J22" s="1632"/>
      <c r="K22" s="1722">
        <f t="shared" si="0"/>
        <v>0</v>
      </c>
      <c r="L22" s="1627"/>
    </row>
    <row r="23" spans="1:12" x14ac:dyDescent="0.2">
      <c r="A23" s="1320" t="s">
        <v>736</v>
      </c>
      <c r="B23" s="494" t="s">
        <v>723</v>
      </c>
      <c r="C23" s="1632"/>
      <c r="D23" s="1632"/>
      <c r="E23" s="1632"/>
      <c r="F23" s="1632"/>
      <c r="G23" s="1632"/>
      <c r="H23" s="1629"/>
      <c r="I23" s="1723"/>
      <c r="J23" s="1632"/>
      <c r="K23" s="1722">
        <f t="shared" si="0"/>
        <v>0</v>
      </c>
      <c r="L23" s="1627"/>
    </row>
    <row r="24" spans="1:12" ht="12.75" customHeight="1" x14ac:dyDescent="0.2">
      <c r="A24" s="1320" t="s">
        <v>737</v>
      </c>
      <c r="B24" s="494" t="s">
        <v>724</v>
      </c>
      <c r="C24" s="1632"/>
      <c r="D24" s="1632"/>
      <c r="E24" s="1632"/>
      <c r="F24" s="1632"/>
      <c r="G24" s="1632"/>
      <c r="H24" s="1629"/>
      <c r="I24" s="1723"/>
      <c r="J24" s="1632"/>
      <c r="K24" s="1722">
        <f t="shared" si="0"/>
        <v>0</v>
      </c>
      <c r="L24" s="1627"/>
    </row>
    <row r="25" spans="1:12" ht="12.7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75" customHeight="1" thickBot="1" x14ac:dyDescent="0.25">
      <c r="A33" s="1429" t="s">
        <v>1652</v>
      </c>
      <c r="B33" s="1430" t="s">
        <v>566</v>
      </c>
      <c r="C33" s="1724">
        <f>SUM(C5:C32)</f>
        <v>1922579</v>
      </c>
      <c r="D33" s="1724">
        <f t="shared" ref="D33:L33" si="1">SUM(D5:D32)</f>
        <v>312526</v>
      </c>
      <c r="E33" s="1724">
        <f t="shared" si="1"/>
        <v>87804</v>
      </c>
      <c r="F33" s="1724">
        <f t="shared" si="1"/>
        <v>147714</v>
      </c>
      <c r="G33" s="1724">
        <f t="shared" si="1"/>
        <v>23553</v>
      </c>
      <c r="H33" s="1724">
        <f t="shared" si="1"/>
        <v>13401</v>
      </c>
      <c r="I33" s="1724">
        <f t="shared" si="1"/>
        <v>0</v>
      </c>
      <c r="J33" s="1724">
        <f t="shared" si="1"/>
        <v>0</v>
      </c>
      <c r="K33" s="1724">
        <f t="shared" si="1"/>
        <v>2507577</v>
      </c>
      <c r="L33" s="1724">
        <f t="shared" si="1"/>
        <v>2488193</v>
      </c>
    </row>
    <row r="34" spans="1:14" s="506" customFormat="1" ht="15.9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9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c r="D36" s="1636"/>
      <c r="E36" s="1636"/>
      <c r="F36" s="1636"/>
      <c r="G36" s="1636"/>
      <c r="H36" s="1636"/>
      <c r="I36" s="1624"/>
      <c r="J36" s="1624"/>
      <c r="K36" s="1722">
        <f t="shared" ref="K36:K41" si="2">SUM(C36:J36)</f>
        <v>0</v>
      </c>
      <c r="L36" s="1623"/>
    </row>
    <row r="37" spans="1:14" x14ac:dyDescent="0.2">
      <c r="A37" s="1319" t="s">
        <v>1083</v>
      </c>
      <c r="B37" s="503">
        <v>2120</v>
      </c>
      <c r="C37" s="1623">
        <v>69724</v>
      </c>
      <c r="D37" s="1623">
        <v>6329</v>
      </c>
      <c r="E37" s="1623"/>
      <c r="F37" s="1623"/>
      <c r="G37" s="1623"/>
      <c r="H37" s="1623"/>
      <c r="I37" s="1624"/>
      <c r="J37" s="1624"/>
      <c r="K37" s="1722">
        <f t="shared" si="2"/>
        <v>76053</v>
      </c>
      <c r="L37" s="1623">
        <v>76020</v>
      </c>
    </row>
    <row r="38" spans="1:14" x14ac:dyDescent="0.2">
      <c r="A38" s="1319" t="s">
        <v>196</v>
      </c>
      <c r="B38" s="503">
        <v>2130</v>
      </c>
      <c r="C38" s="1623">
        <v>40588</v>
      </c>
      <c r="D38" s="1623">
        <v>5987</v>
      </c>
      <c r="E38" s="1623"/>
      <c r="F38" s="1623">
        <v>2038</v>
      </c>
      <c r="G38" s="1623"/>
      <c r="H38" s="1623"/>
      <c r="I38" s="1624"/>
      <c r="J38" s="1624"/>
      <c r="K38" s="1722">
        <f t="shared" si="2"/>
        <v>48613</v>
      </c>
      <c r="L38" s="1623">
        <v>44777</v>
      </c>
    </row>
    <row r="39" spans="1:14" x14ac:dyDescent="0.2">
      <c r="A39" s="1319" t="s">
        <v>197</v>
      </c>
      <c r="B39" s="503">
        <v>2140</v>
      </c>
      <c r="C39" s="1623"/>
      <c r="D39" s="1623"/>
      <c r="E39" s="1623"/>
      <c r="F39" s="1623"/>
      <c r="G39" s="1623"/>
      <c r="H39" s="1623"/>
      <c r="I39" s="1624"/>
      <c r="J39" s="1624"/>
      <c r="K39" s="1722">
        <f t="shared" si="2"/>
        <v>0</v>
      </c>
      <c r="L39" s="1623"/>
    </row>
    <row r="40" spans="1:14" x14ac:dyDescent="0.2">
      <c r="A40" s="1319" t="s">
        <v>198</v>
      </c>
      <c r="B40" s="503">
        <v>2150</v>
      </c>
      <c r="C40" s="1623"/>
      <c r="D40" s="1623"/>
      <c r="E40" s="1623"/>
      <c r="F40" s="1623"/>
      <c r="G40" s="1623"/>
      <c r="H40" s="1623"/>
      <c r="I40" s="1624"/>
      <c r="J40" s="1624"/>
      <c r="K40" s="1722">
        <f t="shared" si="2"/>
        <v>0</v>
      </c>
      <c r="L40" s="1623"/>
    </row>
    <row r="41" spans="1:14" x14ac:dyDescent="0.2">
      <c r="A41" s="1319" t="s">
        <v>1653</v>
      </c>
      <c r="B41" s="503">
        <v>2190</v>
      </c>
      <c r="C41" s="1623">
        <v>61951</v>
      </c>
      <c r="D41" s="1623">
        <v>6346</v>
      </c>
      <c r="E41" s="1623">
        <v>1582</v>
      </c>
      <c r="F41" s="1623">
        <v>20267</v>
      </c>
      <c r="G41" s="1623">
        <v>8378</v>
      </c>
      <c r="H41" s="1623"/>
      <c r="I41" s="1624"/>
      <c r="J41" s="1624"/>
      <c r="K41" s="1722">
        <f t="shared" si="2"/>
        <v>98524</v>
      </c>
      <c r="L41" s="1623">
        <v>104128</v>
      </c>
    </row>
    <row r="42" spans="1:14" ht="12.75" customHeight="1" thickBot="1" x14ac:dyDescent="0.25">
      <c r="A42" s="1429" t="s">
        <v>556</v>
      </c>
      <c r="B42" s="1430" t="s">
        <v>711</v>
      </c>
      <c r="C42" s="1724">
        <f>SUM(C36:C41)</f>
        <v>172263</v>
      </c>
      <c r="D42" s="1724">
        <f t="shared" ref="D42:L42" si="3">SUM(D36:D41)</f>
        <v>18662</v>
      </c>
      <c r="E42" s="1724">
        <f t="shared" si="3"/>
        <v>1582</v>
      </c>
      <c r="F42" s="1724">
        <f t="shared" si="3"/>
        <v>22305</v>
      </c>
      <c r="G42" s="1724">
        <f t="shared" si="3"/>
        <v>8378</v>
      </c>
      <c r="H42" s="1724">
        <f t="shared" si="3"/>
        <v>0</v>
      </c>
      <c r="I42" s="1724">
        <f t="shared" si="3"/>
        <v>0</v>
      </c>
      <c r="J42" s="1724">
        <f t="shared" si="3"/>
        <v>0</v>
      </c>
      <c r="K42" s="1724">
        <f t="shared" si="3"/>
        <v>223190</v>
      </c>
      <c r="L42" s="1724">
        <f t="shared" si="3"/>
        <v>224925</v>
      </c>
    </row>
    <row r="43" spans="1:14" ht="15.9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94418</v>
      </c>
      <c r="D44" s="1636">
        <v>33929</v>
      </c>
      <c r="E44" s="1636">
        <v>35990</v>
      </c>
      <c r="F44" s="1636">
        <v>684</v>
      </c>
      <c r="G44" s="1636"/>
      <c r="H44" s="1636"/>
      <c r="I44" s="1624"/>
      <c r="J44" s="1624"/>
      <c r="K44" s="1728">
        <f>SUM(C44:J44)</f>
        <v>165021</v>
      </c>
      <c r="L44" s="1636">
        <v>151585</v>
      </c>
    </row>
    <row r="45" spans="1:14" x14ac:dyDescent="0.2">
      <c r="A45" s="1319" t="s">
        <v>810</v>
      </c>
      <c r="B45" s="503">
        <v>2220</v>
      </c>
      <c r="C45" s="1623"/>
      <c r="D45" s="1623"/>
      <c r="E45" s="1623"/>
      <c r="F45" s="1623">
        <v>28917</v>
      </c>
      <c r="G45" s="1623"/>
      <c r="H45" s="1623"/>
      <c r="I45" s="1624"/>
      <c r="J45" s="1624"/>
      <c r="K45" s="1728">
        <f>SUM(C45:J45)</f>
        <v>28917</v>
      </c>
      <c r="L45" s="1623">
        <v>16500</v>
      </c>
    </row>
    <row r="46" spans="1:14" x14ac:dyDescent="0.2">
      <c r="A46" s="1319" t="s">
        <v>811</v>
      </c>
      <c r="B46" s="503">
        <v>2230</v>
      </c>
      <c r="C46" s="1623"/>
      <c r="D46" s="1623"/>
      <c r="E46" s="1623"/>
      <c r="F46" s="1623"/>
      <c r="G46" s="1623"/>
      <c r="H46" s="1623"/>
      <c r="I46" s="1624"/>
      <c r="J46" s="1624"/>
      <c r="K46" s="1728">
        <f>SUM(C46:J46)</f>
        <v>0</v>
      </c>
      <c r="L46" s="1623"/>
    </row>
    <row r="47" spans="1:14" ht="12.75" customHeight="1" thickBot="1" x14ac:dyDescent="0.25">
      <c r="A47" s="1429" t="s">
        <v>557</v>
      </c>
      <c r="B47" s="1430" t="s">
        <v>32</v>
      </c>
      <c r="C47" s="1724">
        <f>SUM(C44:C46)</f>
        <v>94418</v>
      </c>
      <c r="D47" s="1724">
        <f t="shared" ref="D47:K47" si="4">SUM(D44:D46)</f>
        <v>33929</v>
      </c>
      <c r="E47" s="1724">
        <f t="shared" si="4"/>
        <v>35990</v>
      </c>
      <c r="F47" s="1724">
        <f t="shared" si="4"/>
        <v>29601</v>
      </c>
      <c r="G47" s="1724">
        <f t="shared" si="4"/>
        <v>0</v>
      </c>
      <c r="H47" s="1724">
        <f t="shared" si="4"/>
        <v>0</v>
      </c>
      <c r="I47" s="1724">
        <f t="shared" si="4"/>
        <v>0</v>
      </c>
      <c r="J47" s="1724">
        <f t="shared" si="4"/>
        <v>0</v>
      </c>
      <c r="K47" s="1724">
        <f t="shared" si="4"/>
        <v>193938</v>
      </c>
      <c r="L47" s="1724">
        <f>SUM(L44:L46)</f>
        <v>168085</v>
      </c>
    </row>
    <row r="48" spans="1:14" ht="15.9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10277</v>
      </c>
      <c r="D49" s="1636"/>
      <c r="E49" s="1636">
        <v>31658</v>
      </c>
      <c r="F49" s="1636">
        <v>3773</v>
      </c>
      <c r="G49" s="1636"/>
      <c r="H49" s="1636"/>
      <c r="I49" s="1624"/>
      <c r="J49" s="1624"/>
      <c r="K49" s="1728">
        <f>SUM(C49:J49)</f>
        <v>45708</v>
      </c>
      <c r="L49" s="1636">
        <v>49777</v>
      </c>
    </row>
    <row r="50" spans="1:14" x14ac:dyDescent="0.2">
      <c r="A50" s="1319" t="s">
        <v>813</v>
      </c>
      <c r="B50" s="503">
        <v>2320</v>
      </c>
      <c r="C50" s="1623">
        <v>55224</v>
      </c>
      <c r="D50" s="1623">
        <v>7124</v>
      </c>
      <c r="E50" s="1623">
        <v>8020</v>
      </c>
      <c r="F50" s="1623">
        <v>1803</v>
      </c>
      <c r="G50" s="1623"/>
      <c r="H50" s="1623"/>
      <c r="I50" s="1624"/>
      <c r="J50" s="1624"/>
      <c r="K50" s="1728">
        <f>SUM(C50:J50)</f>
        <v>72171</v>
      </c>
      <c r="L50" s="1623">
        <v>78300</v>
      </c>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295</v>
      </c>
      <c r="B52" s="511" t="s">
        <v>363</v>
      </c>
      <c r="C52" s="1629"/>
      <c r="D52" s="1629"/>
      <c r="E52" s="1629"/>
      <c r="F52" s="1629"/>
      <c r="G52" s="1629"/>
      <c r="H52" s="1629"/>
      <c r="I52" s="1629"/>
      <c r="J52" s="1629"/>
      <c r="K52" s="1728">
        <f>SUM(C52:J52)</f>
        <v>0</v>
      </c>
      <c r="L52" s="1629"/>
    </row>
    <row r="53" spans="1:14" ht="12.75" customHeight="1" thickBot="1" x14ac:dyDescent="0.25">
      <c r="A53" s="1429" t="s">
        <v>712</v>
      </c>
      <c r="B53" s="1430" t="s">
        <v>33</v>
      </c>
      <c r="C53" s="1724">
        <f>SUM(C49:C52)</f>
        <v>65501</v>
      </c>
      <c r="D53" s="1724">
        <f t="shared" ref="D53:L53" si="5">SUM(D49:D52)</f>
        <v>7124</v>
      </c>
      <c r="E53" s="1724">
        <f t="shared" si="5"/>
        <v>39678</v>
      </c>
      <c r="F53" s="1724">
        <f t="shared" si="5"/>
        <v>5576</v>
      </c>
      <c r="G53" s="1724">
        <f t="shared" si="5"/>
        <v>0</v>
      </c>
      <c r="H53" s="1724">
        <f t="shared" si="5"/>
        <v>0</v>
      </c>
      <c r="I53" s="1724">
        <f t="shared" si="5"/>
        <v>0</v>
      </c>
      <c r="J53" s="1724">
        <f t="shared" si="5"/>
        <v>0</v>
      </c>
      <c r="K53" s="1724">
        <f t="shared" si="5"/>
        <v>117879</v>
      </c>
      <c r="L53" s="1724">
        <f t="shared" si="5"/>
        <v>128077</v>
      </c>
    </row>
    <row r="54" spans="1:14" ht="15.9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91398</v>
      </c>
      <c r="D55" s="1636">
        <v>24857</v>
      </c>
      <c r="E55" s="1636">
        <v>9428</v>
      </c>
      <c r="F55" s="1636">
        <v>6811</v>
      </c>
      <c r="G55" s="1636"/>
      <c r="H55" s="1636">
        <v>1647</v>
      </c>
      <c r="I55" s="1624"/>
      <c r="J55" s="1624"/>
      <c r="K55" s="1728">
        <f>SUM(C55:J55)</f>
        <v>134141</v>
      </c>
      <c r="L55" s="1636">
        <v>133375</v>
      </c>
    </row>
    <row r="56" spans="1:14" ht="12.75" customHeight="1" x14ac:dyDescent="0.2">
      <c r="A56" s="1323" t="s">
        <v>373</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91398</v>
      </c>
      <c r="D57" s="1729">
        <f t="shared" ref="D57:K57" si="6">SUM(D55:D56)</f>
        <v>24857</v>
      </c>
      <c r="E57" s="1729">
        <f t="shared" si="6"/>
        <v>9428</v>
      </c>
      <c r="F57" s="1729">
        <f t="shared" si="6"/>
        <v>6811</v>
      </c>
      <c r="G57" s="1729">
        <f t="shared" si="6"/>
        <v>0</v>
      </c>
      <c r="H57" s="1729">
        <f t="shared" si="6"/>
        <v>1647</v>
      </c>
      <c r="I57" s="1729">
        <f t="shared" si="6"/>
        <v>0</v>
      </c>
      <c r="J57" s="1729">
        <f t="shared" si="6"/>
        <v>0</v>
      </c>
      <c r="K57" s="1729">
        <f t="shared" si="6"/>
        <v>134141</v>
      </c>
      <c r="L57" s="1724">
        <f>SUM(L55:L56)</f>
        <v>133375</v>
      </c>
      <c r="M57" s="501"/>
      <c r="N57" s="501"/>
    </row>
    <row r="58" spans="1:14" s="321" customFormat="1" ht="15.9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460</v>
      </c>
      <c r="B60" s="503">
        <v>2520</v>
      </c>
      <c r="C60" s="1623">
        <v>51302</v>
      </c>
      <c r="D60" s="1623">
        <v>6090</v>
      </c>
      <c r="E60" s="1623">
        <v>13125</v>
      </c>
      <c r="F60" s="1623">
        <v>785</v>
      </c>
      <c r="G60" s="1623"/>
      <c r="H60" s="1623"/>
      <c r="I60" s="1624"/>
      <c r="J60" s="1624"/>
      <c r="K60" s="1728">
        <f t="shared" si="7"/>
        <v>71302</v>
      </c>
      <c r="L60" s="1623">
        <v>60680</v>
      </c>
      <c r="M60" s="501"/>
      <c r="N60" s="501"/>
    </row>
    <row r="61" spans="1:14" s="321" customFormat="1" x14ac:dyDescent="0.2">
      <c r="A61" s="1319" t="s">
        <v>195</v>
      </c>
      <c r="B61" s="503">
        <v>2540</v>
      </c>
      <c r="C61" s="1623"/>
      <c r="D61" s="1623"/>
      <c r="E61" s="1623"/>
      <c r="F61" s="1623"/>
      <c r="G61" s="1623"/>
      <c r="H61" s="1623"/>
      <c r="I61" s="1624"/>
      <c r="J61" s="1624"/>
      <c r="K61" s="1728">
        <f t="shared" si="7"/>
        <v>0</v>
      </c>
      <c r="L61" s="1623"/>
      <c r="M61" s="501"/>
      <c r="N61" s="501"/>
    </row>
    <row r="62" spans="1:14" s="321" customFormat="1" x14ac:dyDescent="0.2">
      <c r="A62" s="1319" t="s">
        <v>947</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v>152521</v>
      </c>
      <c r="D63" s="1623">
        <v>24422</v>
      </c>
      <c r="E63" s="1623">
        <v>9752</v>
      </c>
      <c r="F63" s="1623">
        <v>99767</v>
      </c>
      <c r="G63" s="1623">
        <v>72</v>
      </c>
      <c r="H63" s="1623"/>
      <c r="I63" s="1624"/>
      <c r="J63" s="1624"/>
      <c r="K63" s="1728">
        <f t="shared" si="7"/>
        <v>286534</v>
      </c>
      <c r="L63" s="1623">
        <v>272512</v>
      </c>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714</v>
      </c>
      <c r="B65" s="1430" t="s">
        <v>35</v>
      </c>
      <c r="C65" s="1724">
        <f>SUM(C59:C64)</f>
        <v>203823</v>
      </c>
      <c r="D65" s="1724">
        <f t="shared" ref="D65:L65" si="8">SUM(D59:D64)</f>
        <v>30512</v>
      </c>
      <c r="E65" s="1724">
        <f t="shared" si="8"/>
        <v>22877</v>
      </c>
      <c r="F65" s="1724">
        <f t="shared" si="8"/>
        <v>100552</v>
      </c>
      <c r="G65" s="1724">
        <f t="shared" si="8"/>
        <v>72</v>
      </c>
      <c r="H65" s="1724">
        <f t="shared" si="8"/>
        <v>0</v>
      </c>
      <c r="I65" s="1724">
        <f t="shared" si="8"/>
        <v>0</v>
      </c>
      <c r="J65" s="1724">
        <f t="shared" si="8"/>
        <v>0</v>
      </c>
      <c r="K65" s="1724">
        <f t="shared" si="8"/>
        <v>357836</v>
      </c>
      <c r="L65" s="1724">
        <f t="shared" si="8"/>
        <v>333192</v>
      </c>
      <c r="M65" s="501"/>
      <c r="N65" s="501"/>
    </row>
    <row r="66" spans="1:14" s="321" customFormat="1" ht="15.9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c r="D69" s="1623"/>
      <c r="E69" s="1623"/>
      <c r="F69" s="1623"/>
      <c r="G69" s="1623"/>
      <c r="H69" s="1623"/>
      <c r="I69" s="1624"/>
      <c r="J69" s="1624"/>
      <c r="K69" s="1728">
        <f>SUM(C69:J69)</f>
        <v>0</v>
      </c>
      <c r="L69" s="1623"/>
      <c r="M69" s="501"/>
      <c r="N69" s="501"/>
    </row>
    <row r="70" spans="1:14" s="321" customFormat="1" x14ac:dyDescent="0.2">
      <c r="A70" s="1319" t="s">
        <v>400</v>
      </c>
      <c r="B70" s="503">
        <v>2640</v>
      </c>
      <c r="C70" s="1623"/>
      <c r="D70" s="1623"/>
      <c r="E70" s="1623"/>
      <c r="F70" s="1623"/>
      <c r="G70" s="1623"/>
      <c r="H70" s="1623"/>
      <c r="I70" s="1624"/>
      <c r="J70" s="1624"/>
      <c r="K70" s="1728">
        <f>SUM(C70:J70)</f>
        <v>0</v>
      </c>
      <c r="L70" s="1623"/>
      <c r="M70" s="501"/>
      <c r="N70" s="501"/>
    </row>
    <row r="71" spans="1:14" s="321" customFormat="1" x14ac:dyDescent="0.2">
      <c r="A71" s="1319" t="s">
        <v>401</v>
      </c>
      <c r="B71" s="503">
        <v>2660</v>
      </c>
      <c r="C71" s="1623"/>
      <c r="D71" s="1623"/>
      <c r="E71" s="1623"/>
      <c r="F71" s="1623"/>
      <c r="G71" s="1623"/>
      <c r="H71" s="1623"/>
      <c r="I71" s="1624"/>
      <c r="J71" s="1624"/>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c r="M73" s="501"/>
      <c r="N73" s="501"/>
    </row>
    <row r="74" spans="1:14" ht="12.75" customHeight="1" thickTop="1" thickBot="1" x14ac:dyDescent="0.25">
      <c r="A74" s="1429" t="s">
        <v>806</v>
      </c>
      <c r="B74" s="1433">
        <v>2000</v>
      </c>
      <c r="C74" s="1731">
        <f>SUM(C42,C47,C53,C57,C65,C72,C73)</f>
        <v>627403</v>
      </c>
      <c r="D74" s="1731">
        <f t="shared" ref="D74:K74" si="10">SUM(D42,D47,D53,D57,D65,D72,D73)</f>
        <v>115084</v>
      </c>
      <c r="E74" s="1731">
        <f t="shared" si="10"/>
        <v>109555</v>
      </c>
      <c r="F74" s="1731">
        <f t="shared" si="10"/>
        <v>164845</v>
      </c>
      <c r="G74" s="1731">
        <f t="shared" si="10"/>
        <v>8450</v>
      </c>
      <c r="H74" s="1731">
        <f t="shared" si="10"/>
        <v>1647</v>
      </c>
      <c r="I74" s="1731">
        <f t="shared" si="10"/>
        <v>0</v>
      </c>
      <c r="J74" s="1731">
        <f t="shared" si="10"/>
        <v>0</v>
      </c>
      <c r="K74" s="1731">
        <f t="shared" si="10"/>
        <v>1026984</v>
      </c>
      <c r="L74" s="1731">
        <f>SUM(L42,L47,L53,L57,L65,L72,L73)</f>
        <v>987654</v>
      </c>
    </row>
    <row r="75" spans="1:14" s="254" customFormat="1" ht="15.95" customHeight="1" thickTop="1" thickBot="1" x14ac:dyDescent="0.25">
      <c r="A75" s="1393" t="s">
        <v>47</v>
      </c>
      <c r="B75" s="1394" t="s">
        <v>571</v>
      </c>
      <c r="C75" s="1699"/>
      <c r="D75" s="1699"/>
      <c r="E75" s="1699"/>
      <c r="F75" s="1699"/>
      <c r="G75" s="1699"/>
      <c r="H75" s="1699"/>
      <c r="I75" s="1677"/>
      <c r="J75" s="1677"/>
      <c r="K75" s="1724">
        <f>SUM(C75:J75)</f>
        <v>0</v>
      </c>
      <c r="L75" s="1701"/>
      <c r="M75" s="502"/>
      <c r="N75" s="502"/>
    </row>
    <row r="76" spans="1:14" s="516" customFormat="1" ht="15.9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9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row>
    <row r="79" spans="1:14" x14ac:dyDescent="0.2">
      <c r="A79" s="1319" t="s">
        <v>301</v>
      </c>
      <c r="B79" s="503">
        <v>4120</v>
      </c>
      <c r="C79" s="1723"/>
      <c r="D79" s="1723"/>
      <c r="E79" s="1623"/>
      <c r="F79" s="1723"/>
      <c r="G79" s="1723"/>
      <c r="H79" s="1623">
        <v>113903</v>
      </c>
      <c r="I79" s="1632"/>
      <c r="J79" s="1632"/>
      <c r="K79" s="1722">
        <f t="shared" si="11"/>
        <v>113903</v>
      </c>
      <c r="L79" s="1623">
        <v>66750</v>
      </c>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c r="F81" s="1723"/>
      <c r="G81" s="1723"/>
      <c r="H81" s="1623">
        <v>13925</v>
      </c>
      <c r="I81" s="1632"/>
      <c r="J81" s="1632"/>
      <c r="K81" s="1722">
        <f t="shared" si="11"/>
        <v>13925</v>
      </c>
      <c r="L81" s="1623"/>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c r="F83" s="1723"/>
      <c r="G83" s="1723"/>
      <c r="H83" s="1623"/>
      <c r="I83" s="1632"/>
      <c r="J83" s="1632"/>
      <c r="K83" s="1722">
        <f t="shared" si="11"/>
        <v>0</v>
      </c>
      <c r="L83" s="1623"/>
    </row>
    <row r="84" spans="1:12" ht="13.5" thickBot="1" x14ac:dyDescent="0.25">
      <c r="A84" s="1429" t="s">
        <v>1471</v>
      </c>
      <c r="B84" s="1434">
        <v>4100</v>
      </c>
      <c r="C84" s="1723"/>
      <c r="D84" s="1723"/>
      <c r="E84" s="1724">
        <f>SUM(E78:E83)</f>
        <v>0</v>
      </c>
      <c r="F84" s="1723"/>
      <c r="G84" s="1723"/>
      <c r="H84" s="1724">
        <f>SUM(H78:H83)</f>
        <v>127828</v>
      </c>
      <c r="I84" s="1632"/>
      <c r="J84" s="1632"/>
      <c r="K84" s="1724">
        <f>SUM(K78:K83)</f>
        <v>127828</v>
      </c>
      <c r="L84" s="1724">
        <f>SUM(L78:L83)</f>
        <v>66750</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694</v>
      </c>
      <c r="B86" s="518">
        <v>4220</v>
      </c>
      <c r="C86" s="1723"/>
      <c r="D86" s="1723"/>
      <c r="E86" s="1734"/>
      <c r="F86" s="1723"/>
      <c r="G86" s="1723"/>
      <c r="H86" s="1624"/>
      <c r="I86" s="1632"/>
      <c r="J86" s="1632"/>
      <c r="K86" s="1731">
        <f t="shared" ref="K86:K98" si="12">H86</f>
        <v>0</v>
      </c>
      <c r="L86" s="1676"/>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75" customHeight="1" thickTop="1" thickBot="1" x14ac:dyDescent="0.25">
      <c r="A88" s="1328" t="s">
        <v>760</v>
      </c>
      <c r="B88" s="519">
        <v>4240</v>
      </c>
      <c r="C88" s="1723"/>
      <c r="D88" s="1723"/>
      <c r="E88" s="1734"/>
      <c r="F88" s="1723"/>
      <c r="G88" s="1723"/>
      <c r="H88" s="1624">
        <v>5700</v>
      </c>
      <c r="I88" s="1632"/>
      <c r="J88" s="1632"/>
      <c r="K88" s="1731">
        <f t="shared" si="12"/>
        <v>5700</v>
      </c>
      <c r="L88" s="1676">
        <v>20000</v>
      </c>
    </row>
    <row r="89" spans="1:12" ht="12.75" customHeight="1" thickTop="1" thickBot="1" x14ac:dyDescent="0.25">
      <c r="A89" s="1328" t="s">
        <v>696</v>
      </c>
      <c r="B89" s="519">
        <v>4270</v>
      </c>
      <c r="C89" s="1723"/>
      <c r="D89" s="1723"/>
      <c r="E89" s="1734"/>
      <c r="F89" s="1723"/>
      <c r="G89" s="1723"/>
      <c r="H89" s="1624"/>
      <c r="I89" s="1632"/>
      <c r="J89" s="1632"/>
      <c r="K89" s="1731">
        <f t="shared" si="12"/>
        <v>0</v>
      </c>
      <c r="L89" s="1676"/>
    </row>
    <row r="90" spans="1:12" ht="12.75" customHeight="1" thickTop="1" thickBot="1" x14ac:dyDescent="0.25">
      <c r="A90" s="1328" t="s">
        <v>681</v>
      </c>
      <c r="B90" s="519">
        <v>4280</v>
      </c>
      <c r="C90" s="1723"/>
      <c r="D90" s="1723"/>
      <c r="E90" s="1734"/>
      <c r="F90" s="1723"/>
      <c r="G90" s="1723"/>
      <c r="H90" s="1624"/>
      <c r="I90" s="1632"/>
      <c r="J90" s="1632"/>
      <c r="K90" s="1731">
        <f t="shared" si="12"/>
        <v>0</v>
      </c>
      <c r="L90" s="1676"/>
    </row>
    <row r="91" spans="1:12" ht="12.7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5700</v>
      </c>
      <c r="I92" s="1632"/>
      <c r="J92" s="1632"/>
      <c r="K92" s="1731">
        <f t="shared" si="12"/>
        <v>5700</v>
      </c>
      <c r="L92" s="1724">
        <f>SUM(L85:L91)</f>
        <v>20000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7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7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75" customHeight="1" thickTop="1" thickBot="1" x14ac:dyDescent="0.25">
      <c r="A102" s="1429" t="s">
        <v>1473</v>
      </c>
      <c r="B102" s="1434">
        <v>4000</v>
      </c>
      <c r="C102" s="1723"/>
      <c r="D102" s="1723"/>
      <c r="E102" s="1731">
        <f>SUM(E84,E92,E100,E101)</f>
        <v>0</v>
      </c>
      <c r="F102" s="1723"/>
      <c r="G102" s="1723"/>
      <c r="H102" s="1731">
        <f>SUM(H84,H92,H100,H101)</f>
        <v>133528</v>
      </c>
      <c r="I102" s="1632"/>
      <c r="J102" s="1632"/>
      <c r="K102" s="1731">
        <f>SUM(K84,K92,K100,K101)</f>
        <v>133528</v>
      </c>
      <c r="L102" s="1731">
        <f>SUM(L84,L92,L100,L101)</f>
        <v>86750</v>
      </c>
    </row>
    <row r="103" spans="1:14" s="516" customFormat="1" ht="15.9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9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95" customHeight="1" thickTop="1" thickBot="1" x14ac:dyDescent="0.25">
      <c r="A113" s="1389" t="s">
        <v>511</v>
      </c>
      <c r="B113" s="1396" t="s">
        <v>856</v>
      </c>
      <c r="C113" s="1726"/>
      <c r="D113" s="1726"/>
      <c r="E113" s="1723"/>
      <c r="F113" s="1723"/>
      <c r="G113" s="1723"/>
      <c r="H113" s="1726"/>
      <c r="I113" s="1625"/>
      <c r="J113" s="1625"/>
      <c r="K113" s="1726"/>
      <c r="L113" s="1677">
        <v>40000</v>
      </c>
      <c r="M113" s="502"/>
      <c r="N113" s="502"/>
    </row>
    <row r="114" spans="1:14" ht="12.75" customHeight="1" thickTop="1" thickBot="1" x14ac:dyDescent="0.25">
      <c r="A114" s="1429" t="s">
        <v>48</v>
      </c>
      <c r="B114" s="1437"/>
      <c r="C114" s="1724">
        <f>SUM(C33,C74,C75,C102,C112,C113)</f>
        <v>2549982</v>
      </c>
      <c r="D114" s="1724">
        <f t="shared" ref="D114:K114" si="13">SUM(D33,D74,D75,D102,D112,D113)</f>
        <v>427610</v>
      </c>
      <c r="E114" s="1724">
        <f t="shared" si="13"/>
        <v>197359</v>
      </c>
      <c r="F114" s="1724">
        <f t="shared" si="13"/>
        <v>312559</v>
      </c>
      <c r="G114" s="1724">
        <f t="shared" si="13"/>
        <v>32003</v>
      </c>
      <c r="H114" s="1724">
        <f>SUM(H33,H74,H75,H102,H112,H113)</f>
        <v>148576</v>
      </c>
      <c r="I114" s="1724">
        <f t="shared" si="13"/>
        <v>0</v>
      </c>
      <c r="J114" s="1724">
        <f t="shared" si="13"/>
        <v>0</v>
      </c>
      <c r="K114" s="1724">
        <f t="shared" si="13"/>
        <v>3668089</v>
      </c>
      <c r="L114" s="1724">
        <f>SUM(L33,L74,L75,L102,L112,L113)</f>
        <v>3602597</v>
      </c>
    </row>
    <row r="115" spans="1:14" ht="13.5" thickTop="1" x14ac:dyDescent="0.2">
      <c r="A115" s="2361" t="s">
        <v>989</v>
      </c>
      <c r="B115" s="2362"/>
      <c r="C115" s="1725"/>
      <c r="D115" s="1725"/>
      <c r="E115" s="1725"/>
      <c r="F115" s="1725"/>
      <c r="G115" s="1725"/>
      <c r="H115" s="1725"/>
      <c r="I115" s="1725"/>
      <c r="J115" s="1725"/>
      <c r="K115" s="1739">
        <f>'Revenues 9-14'!C268-'Expenditures 15-22'!K114</f>
        <v>54858</v>
      </c>
      <c r="L115" s="1725"/>
    </row>
    <row r="116" spans="1:14" s="175" customFormat="1" ht="9.1999999999999993"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9" t="s">
        <v>293</v>
      </c>
      <c r="B117" s="2340"/>
      <c r="C117" s="1741"/>
      <c r="D117" s="1742"/>
      <c r="E117" s="1742"/>
      <c r="F117" s="1742"/>
      <c r="G117" s="1742"/>
      <c r="H117" s="1742"/>
      <c r="I117" s="1742"/>
      <c r="J117" s="1742"/>
      <c r="K117" s="1742"/>
      <c r="L117" s="1743"/>
      <c r="M117" s="170"/>
      <c r="N117" s="170"/>
    </row>
    <row r="118" spans="1:14" ht="15.95" customHeight="1" x14ac:dyDescent="0.2">
      <c r="A118" s="1397" t="s">
        <v>1028</v>
      </c>
      <c r="B118" s="1398" t="s">
        <v>565</v>
      </c>
      <c r="C118" s="1723"/>
      <c r="D118" s="1723"/>
      <c r="E118" s="1723"/>
      <c r="F118" s="1723"/>
      <c r="G118" s="1723"/>
      <c r="H118" s="1723"/>
      <c r="I118" s="1723"/>
      <c r="J118" s="1723"/>
      <c r="K118" s="1723"/>
      <c r="L118" s="1723"/>
    </row>
    <row r="119" spans="1:14" ht="15.9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c r="D120" s="1623"/>
      <c r="E120" s="1623"/>
      <c r="F120" s="1623"/>
      <c r="G120" s="1623"/>
      <c r="H120" s="1623"/>
      <c r="I120" s="1624"/>
      <c r="J120" s="1624"/>
      <c r="K120" s="1722">
        <f>SUM(C120:J120)</f>
        <v>0</v>
      </c>
      <c r="L120" s="1623"/>
    </row>
    <row r="121" spans="1:14" ht="15.9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v>164816</v>
      </c>
      <c r="D124" s="1623">
        <v>22737</v>
      </c>
      <c r="E124" s="1623">
        <v>129131</v>
      </c>
      <c r="F124" s="1623">
        <v>104761</v>
      </c>
      <c r="G124" s="1623">
        <v>97993</v>
      </c>
      <c r="H124" s="1623"/>
      <c r="I124" s="1624"/>
      <c r="J124" s="1624"/>
      <c r="K124" s="1724">
        <f>SUM(C124:J124)</f>
        <v>519438</v>
      </c>
      <c r="L124" s="1623">
        <v>455864</v>
      </c>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714</v>
      </c>
      <c r="B127" s="1430" t="s">
        <v>35</v>
      </c>
      <c r="C127" s="1724">
        <f>SUM(C122:C126)</f>
        <v>164816</v>
      </c>
      <c r="D127" s="1724">
        <f t="shared" ref="D127:L127" si="14">SUM(D122:D126)</f>
        <v>22737</v>
      </c>
      <c r="E127" s="1724">
        <f t="shared" si="14"/>
        <v>129131</v>
      </c>
      <c r="F127" s="1724">
        <f t="shared" si="14"/>
        <v>104761</v>
      </c>
      <c r="G127" s="1724">
        <f t="shared" si="14"/>
        <v>97993</v>
      </c>
      <c r="H127" s="1724">
        <f t="shared" si="14"/>
        <v>0</v>
      </c>
      <c r="I127" s="1724">
        <f t="shared" si="14"/>
        <v>0</v>
      </c>
      <c r="J127" s="1724">
        <f t="shared" si="14"/>
        <v>0</v>
      </c>
      <c r="K127" s="1724">
        <f t="shared" si="14"/>
        <v>519438</v>
      </c>
      <c r="L127" s="1724">
        <f t="shared" si="14"/>
        <v>455864</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row>
    <row r="129" spans="1:14" ht="12.75" customHeight="1" thickBot="1" x14ac:dyDescent="0.25">
      <c r="A129" s="1438" t="s">
        <v>806</v>
      </c>
      <c r="B129" s="1439" t="s">
        <v>565</v>
      </c>
      <c r="C129" s="1731">
        <f>SUM(C120,C127,C128)</f>
        <v>164816</v>
      </c>
      <c r="D129" s="1731">
        <f t="shared" ref="D129:L129" si="15">SUM(D120,D127,D128)</f>
        <v>22737</v>
      </c>
      <c r="E129" s="1731">
        <f t="shared" si="15"/>
        <v>129131</v>
      </c>
      <c r="F129" s="1731">
        <f t="shared" si="15"/>
        <v>104761</v>
      </c>
      <c r="G129" s="1731">
        <f t="shared" si="15"/>
        <v>97993</v>
      </c>
      <c r="H129" s="1731">
        <f t="shared" si="15"/>
        <v>0</v>
      </c>
      <c r="I129" s="1731">
        <f t="shared" si="15"/>
        <v>0</v>
      </c>
      <c r="J129" s="1731">
        <f t="shared" si="15"/>
        <v>0</v>
      </c>
      <c r="K129" s="1731">
        <f t="shared" si="15"/>
        <v>519438</v>
      </c>
      <c r="L129" s="1731">
        <f t="shared" si="15"/>
        <v>455864</v>
      </c>
    </row>
    <row r="130" spans="1:14" ht="15.9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9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c r="I135" s="1632"/>
      <c r="J135" s="1723"/>
      <c r="K135" s="1728">
        <f>SUM(E135,H135)</f>
        <v>0</v>
      </c>
      <c r="L135" s="1623"/>
    </row>
    <row r="136" spans="1:14" x14ac:dyDescent="0.2">
      <c r="A136" s="1323" t="s">
        <v>693</v>
      </c>
      <c r="B136" s="512">
        <v>4190</v>
      </c>
      <c r="C136" s="1723"/>
      <c r="D136" s="1723"/>
      <c r="E136" s="1624"/>
      <c r="F136" s="1723"/>
      <c r="G136" s="1723"/>
      <c r="H136" s="1623"/>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95" customHeight="1" thickTop="1" x14ac:dyDescent="0.2">
      <c r="A140" s="1395" t="s">
        <v>1030</v>
      </c>
      <c r="B140" s="1396" t="s">
        <v>489</v>
      </c>
      <c r="C140" s="1723"/>
      <c r="D140" s="1723"/>
      <c r="E140" s="1734"/>
      <c r="F140" s="1734"/>
      <c r="G140" s="1734"/>
      <c r="H140" s="1733"/>
      <c r="I140" s="1632"/>
      <c r="J140" s="1734"/>
      <c r="K140" s="1733"/>
      <c r="L140" s="1733"/>
    </row>
    <row r="141" spans="1:14" ht="15.9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75" customHeight="1" x14ac:dyDescent="0.2">
      <c r="A146" s="1319" t="s">
        <v>615</v>
      </c>
      <c r="B146" s="503" t="s">
        <v>614</v>
      </c>
      <c r="C146" s="1723"/>
      <c r="D146" s="1723"/>
      <c r="E146" s="1723"/>
      <c r="F146" s="1723"/>
      <c r="G146" s="1723"/>
      <c r="H146" s="1623"/>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95" customHeight="1" thickTop="1" x14ac:dyDescent="0.2">
      <c r="A148" s="535" t="s">
        <v>1096</v>
      </c>
      <c r="B148" s="536" t="s">
        <v>38</v>
      </c>
      <c r="C148" s="1723"/>
      <c r="D148" s="1723"/>
      <c r="E148" s="1723"/>
      <c r="F148" s="1723"/>
      <c r="G148" s="1723"/>
      <c r="H148" s="1634"/>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95" customHeight="1" thickTop="1" thickBot="1" x14ac:dyDescent="0.25">
      <c r="A150" s="1389" t="s">
        <v>1031</v>
      </c>
      <c r="B150" s="1396" t="s">
        <v>856</v>
      </c>
      <c r="C150" s="1723"/>
      <c r="D150" s="1723"/>
      <c r="E150" s="1723"/>
      <c r="F150" s="1723"/>
      <c r="G150" s="1723"/>
      <c r="H150" s="1748"/>
      <c r="I150" s="1667"/>
      <c r="J150" s="1723"/>
      <c r="K150" s="1726"/>
      <c r="L150" s="1699">
        <v>20000</v>
      </c>
    </row>
    <row r="151" spans="1:14" ht="12.75" customHeight="1" thickTop="1" thickBot="1" x14ac:dyDescent="0.25">
      <c r="A151" s="2351" t="s">
        <v>616</v>
      </c>
      <c r="B151" s="2333"/>
      <c r="C151" s="1724">
        <f>SUM(C129,C130,C139,C149,C150)</f>
        <v>164816</v>
      </c>
      <c r="D151" s="1724">
        <f t="shared" ref="D151:K151" si="16">SUM(D129,D130,D139,D149,D150)</f>
        <v>22737</v>
      </c>
      <c r="E151" s="1724">
        <f t="shared" si="16"/>
        <v>129131</v>
      </c>
      <c r="F151" s="1724">
        <f t="shared" si="16"/>
        <v>104761</v>
      </c>
      <c r="G151" s="1724">
        <f t="shared" si="16"/>
        <v>97993</v>
      </c>
      <c r="H151" s="1724">
        <f t="shared" si="16"/>
        <v>0</v>
      </c>
      <c r="I151" s="1724">
        <f t="shared" si="16"/>
        <v>0</v>
      </c>
      <c r="J151" s="1724">
        <f t="shared" si="16"/>
        <v>0</v>
      </c>
      <c r="K151" s="1724">
        <f t="shared" si="16"/>
        <v>519438</v>
      </c>
      <c r="L151" s="1724">
        <f>SUM(L129,L130,L139,L149,L150)</f>
        <v>475864</v>
      </c>
    </row>
    <row r="152" spans="1:14" ht="12.75" customHeight="1" thickTop="1" x14ac:dyDescent="0.2">
      <c r="A152" s="2354" t="s">
        <v>1170</v>
      </c>
      <c r="B152" s="2355"/>
      <c r="C152" s="1725"/>
      <c r="D152" s="1725"/>
      <c r="E152" s="1725"/>
      <c r="F152" s="1725"/>
      <c r="G152" s="1725"/>
      <c r="H152" s="1725"/>
      <c r="I152" s="1725"/>
      <c r="J152" s="1723"/>
      <c r="K152" s="1739">
        <f>'Revenues 9-14'!D268-'Expenditures 15-22'!K151</f>
        <v>49090</v>
      </c>
      <c r="L152" s="1725"/>
    </row>
    <row r="153" spans="1:14" s="540" customFormat="1" ht="9.1999999999999993"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9" t="s">
        <v>617</v>
      </c>
      <c r="B154" s="2341"/>
      <c r="C154" s="1741"/>
      <c r="D154" s="1742"/>
      <c r="E154" s="1742"/>
      <c r="F154" s="1742"/>
      <c r="G154" s="1742"/>
      <c r="H154" s="1742"/>
      <c r="I154" s="1742"/>
      <c r="J154" s="1742"/>
      <c r="K154" s="1742"/>
      <c r="L154" s="1743"/>
      <c r="M154" s="541"/>
      <c r="N154" s="541"/>
    </row>
    <row r="155" spans="1:14" s="506" customFormat="1" ht="15.9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9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c r="I159" s="1723"/>
      <c r="J159" s="1723"/>
      <c r="K159" s="1722">
        <f>H159</f>
        <v>0</v>
      </c>
      <c r="L159" s="1624"/>
      <c r="M159" s="505"/>
      <c r="N159" s="505"/>
    </row>
    <row r="160" spans="1:14" s="506" customFormat="1" ht="15.9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9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9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v>10553</v>
      </c>
    </row>
    <row r="167" spans="1:14" ht="12.7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10553</v>
      </c>
    </row>
    <row r="169" spans="1:14" ht="15.95" customHeight="1" thickTop="1" x14ac:dyDescent="0.2">
      <c r="A169" s="543" t="s">
        <v>83</v>
      </c>
      <c r="B169" s="544" t="s">
        <v>38</v>
      </c>
      <c r="C169" s="1723"/>
      <c r="D169" s="1723"/>
      <c r="E169" s="1723"/>
      <c r="F169" s="1723"/>
      <c r="G169" s="1723"/>
      <c r="H169" s="1745">
        <v>32128</v>
      </c>
      <c r="I169" s="1723"/>
      <c r="J169" s="1723"/>
      <c r="K169" s="1722">
        <f>SUM(C169:H169)</f>
        <v>32128</v>
      </c>
      <c r="L169" s="1745">
        <v>121575</v>
      </c>
    </row>
    <row r="170" spans="1:14" ht="33.950000000000003" customHeight="1" x14ac:dyDescent="0.2">
      <c r="A170" s="543" t="s">
        <v>1654</v>
      </c>
      <c r="B170" s="545" t="s">
        <v>31</v>
      </c>
      <c r="C170" s="1723"/>
      <c r="D170" s="1723"/>
      <c r="E170" s="1723"/>
      <c r="F170" s="1723"/>
      <c r="G170" s="1723"/>
      <c r="H170" s="1696">
        <v>100000</v>
      </c>
      <c r="I170" s="1723"/>
      <c r="J170" s="1723"/>
      <c r="K170" s="1722">
        <f>SUM(C170:J170)</f>
        <v>100000</v>
      </c>
      <c r="L170" s="1696"/>
    </row>
    <row r="171" spans="1:14" ht="15.95" customHeight="1" x14ac:dyDescent="0.2">
      <c r="A171" s="507" t="s">
        <v>761</v>
      </c>
      <c r="B171" s="546" t="s">
        <v>84</v>
      </c>
      <c r="C171" s="1723"/>
      <c r="D171" s="1723"/>
      <c r="E171" s="1623"/>
      <c r="F171" s="1723"/>
      <c r="G171" s="1723"/>
      <c r="H171" s="1696">
        <v>1000</v>
      </c>
      <c r="I171" s="1632"/>
      <c r="J171" s="1723"/>
      <c r="K171" s="1722">
        <f>SUM(C171:J171)</f>
        <v>1000</v>
      </c>
      <c r="L171" s="1696">
        <v>1000</v>
      </c>
    </row>
    <row r="172" spans="1:14" ht="12.75" customHeight="1" thickBot="1" x14ac:dyDescent="0.25">
      <c r="A172" s="1429" t="s">
        <v>633</v>
      </c>
      <c r="B172" s="1430" t="s">
        <v>489</v>
      </c>
      <c r="C172" s="1723"/>
      <c r="D172" s="1723"/>
      <c r="E172" s="1731">
        <f>SUM(E168,E169,E170,E171)</f>
        <v>0</v>
      </c>
      <c r="F172" s="1723"/>
      <c r="G172" s="1723"/>
      <c r="H172" s="1731">
        <f>SUM(H168,H169,H170,H171)</f>
        <v>133128</v>
      </c>
      <c r="I172" s="1734"/>
      <c r="J172" s="1723"/>
      <c r="K172" s="1731">
        <f>SUM(K168,K169,K170,K171)</f>
        <v>133128</v>
      </c>
      <c r="L172" s="1731">
        <f>SUM(L168,L169,L170,L171)</f>
        <v>133128</v>
      </c>
    </row>
    <row r="173" spans="1:14" ht="15.9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133128</v>
      </c>
      <c r="I174" s="1734"/>
      <c r="J174" s="1723"/>
      <c r="K174" s="1731">
        <f>SUM(K160,K172,K173)</f>
        <v>133128</v>
      </c>
      <c r="L174" s="1731">
        <f>SUM(L160,L172,L173)</f>
        <v>133128</v>
      </c>
    </row>
    <row r="175" spans="1:14" ht="13.5" thickTop="1" x14ac:dyDescent="0.2">
      <c r="A175" s="2361" t="s">
        <v>989</v>
      </c>
      <c r="B175" s="2362"/>
      <c r="C175" s="1723"/>
      <c r="D175" s="1723"/>
      <c r="E175" s="1723"/>
      <c r="F175" s="1723"/>
      <c r="G175" s="1723"/>
      <c r="H175" s="1725"/>
      <c r="I175" s="1723"/>
      <c r="J175" s="1723"/>
      <c r="K175" s="1739">
        <f>'Revenues 9-14'!E268-'Expenditures 15-22'!K174</f>
        <v>161348</v>
      </c>
      <c r="L175" s="1725"/>
    </row>
    <row r="176" spans="1:14" s="540" customFormat="1" ht="9.1999999999999993"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9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9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c r="D180" s="1623"/>
      <c r="E180" s="1623"/>
      <c r="F180" s="1623"/>
      <c r="G180" s="1623"/>
      <c r="H180" s="1623"/>
      <c r="I180" s="1624"/>
      <c r="J180" s="1624"/>
      <c r="K180" s="1722">
        <f>SUM(C180:J180)</f>
        <v>0</v>
      </c>
      <c r="L180" s="1623"/>
    </row>
    <row r="181" spans="1:14" ht="15.9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197726</v>
      </c>
      <c r="D182" s="1623">
        <v>9041</v>
      </c>
      <c r="E182" s="1623">
        <v>18476</v>
      </c>
      <c r="F182" s="1623">
        <v>46886</v>
      </c>
      <c r="G182" s="1623">
        <v>75998</v>
      </c>
      <c r="H182" s="1623"/>
      <c r="I182" s="1624"/>
      <c r="J182" s="1624"/>
      <c r="K182" s="1722">
        <f>SUM(C182:J182)</f>
        <v>348127</v>
      </c>
      <c r="L182" s="1623">
        <v>344267</v>
      </c>
    </row>
    <row r="183" spans="1:14" ht="12.75" customHeight="1" thickBot="1" x14ac:dyDescent="0.25">
      <c r="A183" s="1324" t="s">
        <v>973</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806</v>
      </c>
      <c r="B184" s="1430" t="s">
        <v>565</v>
      </c>
      <c r="C184" s="1731">
        <f>SUM(C180,C182,C183)</f>
        <v>197726</v>
      </c>
      <c r="D184" s="1731">
        <f t="shared" ref="D184:J184" si="17">SUM(D180,D182,D183)</f>
        <v>9041</v>
      </c>
      <c r="E184" s="1731">
        <f t="shared" si="17"/>
        <v>18476</v>
      </c>
      <c r="F184" s="1731">
        <f t="shared" si="17"/>
        <v>46886</v>
      </c>
      <c r="G184" s="1731">
        <f t="shared" si="17"/>
        <v>75998</v>
      </c>
      <c r="H184" s="1731">
        <f t="shared" si="17"/>
        <v>0</v>
      </c>
      <c r="I184" s="1731">
        <f t="shared" si="17"/>
        <v>0</v>
      </c>
      <c r="J184" s="1731">
        <f t="shared" si="17"/>
        <v>0</v>
      </c>
      <c r="K184" s="1731">
        <f>SUM(K180,K182,K183)</f>
        <v>348127</v>
      </c>
      <c r="L184" s="1731">
        <f>SUM(L180, L182:L183)</f>
        <v>344267</v>
      </c>
    </row>
    <row r="185" spans="1:14" ht="15.9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9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9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95" customHeight="1" thickTop="1" x14ac:dyDescent="0.2">
      <c r="A195" s="543" t="s">
        <v>92</v>
      </c>
      <c r="B195" s="552" t="s">
        <v>925</v>
      </c>
      <c r="C195" s="1723"/>
      <c r="D195" s="1723"/>
      <c r="E195" s="1745"/>
      <c r="F195" s="1723"/>
      <c r="G195" s="1723"/>
      <c r="H195" s="1745"/>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9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9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9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1655</v>
      </c>
      <c r="B206" s="546" t="s">
        <v>31</v>
      </c>
      <c r="C206" s="1723"/>
      <c r="D206" s="1723"/>
      <c r="E206" s="1723"/>
      <c r="F206" s="1723"/>
      <c r="G206" s="1723"/>
      <c r="H206" s="1623"/>
      <c r="I206" s="1723"/>
      <c r="J206" s="1723"/>
      <c r="K206" s="1722">
        <f>SUM(H206)</f>
        <v>0</v>
      </c>
      <c r="L206" s="1623"/>
    </row>
    <row r="207" spans="1:14" ht="15.95" customHeight="1" x14ac:dyDescent="0.2">
      <c r="A207" s="507" t="s">
        <v>761</v>
      </c>
      <c r="B207" s="546" t="s">
        <v>84</v>
      </c>
      <c r="C207" s="1723"/>
      <c r="D207" s="1723"/>
      <c r="E207" s="1723"/>
      <c r="F207" s="1723"/>
      <c r="G207" s="1723"/>
      <c r="H207" s="1624"/>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95" customHeight="1" thickTop="1" thickBot="1" x14ac:dyDescent="0.25">
      <c r="A209" s="1389" t="s">
        <v>867</v>
      </c>
      <c r="B209" s="1396" t="s">
        <v>856</v>
      </c>
      <c r="C209" s="1726"/>
      <c r="D209" s="1726"/>
      <c r="E209" s="1726"/>
      <c r="F209" s="1726"/>
      <c r="G209" s="1726"/>
      <c r="H209" s="1726"/>
      <c r="I209" s="1723"/>
      <c r="J209" s="1723"/>
      <c r="K209" s="1726"/>
      <c r="L209" s="1701">
        <v>10000</v>
      </c>
    </row>
    <row r="210" spans="1:14" ht="12.75" customHeight="1" thickTop="1" thickBot="1" x14ac:dyDescent="0.25">
      <c r="A210" s="1443" t="s">
        <v>275</v>
      </c>
      <c r="B210" s="1444"/>
      <c r="C210" s="1724">
        <f>SUM(C184,C185)</f>
        <v>197726</v>
      </c>
      <c r="D210" s="1724">
        <f>SUM(D184,D185)</f>
        <v>9041</v>
      </c>
      <c r="E210" s="1724">
        <f>SUM(E184,E185,E196)</f>
        <v>18476</v>
      </c>
      <c r="F210" s="1724">
        <f>SUM(F184,F185)</f>
        <v>46886</v>
      </c>
      <c r="G210" s="1724">
        <f>SUM(G184,G185)</f>
        <v>75998</v>
      </c>
      <c r="H210" s="1724">
        <f>SUM(H184,H185,H196,H208,H209)</f>
        <v>0</v>
      </c>
      <c r="I210" s="1724">
        <f>SUM(I184,I185)</f>
        <v>0</v>
      </c>
      <c r="J210" s="1724">
        <f>SUM(J184,J185)</f>
        <v>0</v>
      </c>
      <c r="K210" s="1722">
        <f>SUM(K184,K185,K196,K208,K209)</f>
        <v>348127</v>
      </c>
      <c r="L210" s="1724">
        <f>SUM(L184,L185,L196,L208,L209)</f>
        <v>354267</v>
      </c>
    </row>
    <row r="211" spans="1:14" ht="13.5" thickTop="1" x14ac:dyDescent="0.2">
      <c r="A211" s="2361" t="s">
        <v>989</v>
      </c>
      <c r="B211" s="2362"/>
      <c r="C211" s="1725"/>
      <c r="D211" s="1725"/>
      <c r="E211" s="1725"/>
      <c r="F211" s="1725"/>
      <c r="G211" s="1725"/>
      <c r="H211" s="1725"/>
      <c r="I211" s="1723"/>
      <c r="J211" s="1723"/>
      <c r="K211" s="1739">
        <f>'Revenues 9-14'!F268-'Expenditures 15-22'!K210</f>
        <v>36898</v>
      </c>
      <c r="L211" s="1725"/>
    </row>
    <row r="212" spans="1:14" s="540" customFormat="1" ht="9.1999999999999993"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6" t="s">
        <v>959</v>
      </c>
      <c r="B213" s="2357"/>
      <c r="C213" s="1753"/>
      <c r="D213" s="1754"/>
      <c r="E213" s="1754"/>
      <c r="F213" s="1754"/>
      <c r="G213" s="1754"/>
      <c r="H213" s="1754"/>
      <c r="I213" s="1754"/>
      <c r="J213" s="1754"/>
      <c r="K213" s="1754"/>
      <c r="L213" s="1755"/>
      <c r="M213" s="501"/>
      <c r="N213" s="501"/>
    </row>
    <row r="214" spans="1:14" s="548" customFormat="1" ht="15.9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29153</v>
      </c>
      <c r="E215" s="1723"/>
      <c r="F215" s="1723"/>
      <c r="G215" s="1723"/>
      <c r="H215" s="1723"/>
      <c r="I215" s="1723"/>
      <c r="J215" s="1723"/>
      <c r="K215" s="1722">
        <f>D215</f>
        <v>29153</v>
      </c>
      <c r="L215" s="1623">
        <v>32069</v>
      </c>
    </row>
    <row r="216" spans="1:14" x14ac:dyDescent="0.2">
      <c r="A216" s="1319" t="s">
        <v>162</v>
      </c>
      <c r="B216" s="503" t="s">
        <v>961</v>
      </c>
      <c r="C216" s="1723"/>
      <c r="D216" s="1624">
        <v>6325</v>
      </c>
      <c r="E216" s="1723"/>
      <c r="F216" s="1723"/>
      <c r="G216" s="1723"/>
      <c r="H216" s="1723"/>
      <c r="I216" s="1723"/>
      <c r="J216" s="1723"/>
      <c r="K216" s="1722">
        <f t="shared" ref="K216:K228" si="19">D216</f>
        <v>6325</v>
      </c>
      <c r="L216" s="1623">
        <v>5468</v>
      </c>
    </row>
    <row r="217" spans="1:14" x14ac:dyDescent="0.2">
      <c r="A217" s="1319" t="s">
        <v>163</v>
      </c>
      <c r="B217" s="503">
        <v>1200</v>
      </c>
      <c r="C217" s="1723"/>
      <c r="D217" s="1623">
        <v>11630</v>
      </c>
      <c r="E217" s="1723"/>
      <c r="F217" s="1723"/>
      <c r="G217" s="1723"/>
      <c r="H217" s="1723"/>
      <c r="I217" s="1723"/>
      <c r="J217" s="1723"/>
      <c r="K217" s="1722">
        <f t="shared" si="19"/>
        <v>11630</v>
      </c>
      <c r="L217" s="1623">
        <v>13113</v>
      </c>
    </row>
    <row r="218" spans="1:14" x14ac:dyDescent="0.2">
      <c r="A218" s="1319" t="s">
        <v>276</v>
      </c>
      <c r="B218" s="503" t="s">
        <v>962</v>
      </c>
      <c r="C218" s="1723"/>
      <c r="D218" s="1624"/>
      <c r="E218" s="1723"/>
      <c r="F218" s="1723"/>
      <c r="G218" s="1723"/>
      <c r="H218" s="1723"/>
      <c r="I218" s="1723"/>
      <c r="J218" s="1723"/>
      <c r="K218" s="1722">
        <f t="shared" si="19"/>
        <v>0</v>
      </c>
      <c r="L218" s="1623"/>
    </row>
    <row r="219" spans="1:14" x14ac:dyDescent="0.2">
      <c r="A219" s="1319" t="s">
        <v>277</v>
      </c>
      <c r="B219" s="503">
        <v>1250</v>
      </c>
      <c r="C219" s="1723"/>
      <c r="D219" s="1623">
        <v>10641</v>
      </c>
      <c r="E219" s="1723"/>
      <c r="F219" s="1723"/>
      <c r="G219" s="1723"/>
      <c r="H219" s="1723"/>
      <c r="I219" s="1723"/>
      <c r="J219" s="1723"/>
      <c r="K219" s="1722">
        <f t="shared" si="19"/>
        <v>10641</v>
      </c>
      <c r="L219" s="1623">
        <v>6383</v>
      </c>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v>2107</v>
      </c>
      <c r="E222" s="1723"/>
      <c r="F222" s="1723"/>
      <c r="G222" s="1723"/>
      <c r="H222" s="1723"/>
      <c r="I222" s="1723"/>
      <c r="J222" s="1723"/>
      <c r="K222" s="1722">
        <f t="shared" si="19"/>
        <v>2107</v>
      </c>
      <c r="L222" s="1623">
        <v>2730</v>
      </c>
    </row>
    <row r="223" spans="1:14" x14ac:dyDescent="0.2">
      <c r="A223" s="1319" t="s">
        <v>957</v>
      </c>
      <c r="B223" s="503">
        <v>1500</v>
      </c>
      <c r="C223" s="1723"/>
      <c r="D223" s="1623">
        <v>4377</v>
      </c>
      <c r="E223" s="1723"/>
      <c r="F223" s="1723"/>
      <c r="G223" s="1723"/>
      <c r="H223" s="1723"/>
      <c r="I223" s="1723"/>
      <c r="J223" s="1723"/>
      <c r="K223" s="1722">
        <f t="shared" si="19"/>
        <v>4377</v>
      </c>
      <c r="L223" s="1623">
        <v>5574</v>
      </c>
    </row>
    <row r="224" spans="1:14" x14ac:dyDescent="0.2">
      <c r="A224" s="1319" t="s">
        <v>958</v>
      </c>
      <c r="B224" s="503">
        <v>1600</v>
      </c>
      <c r="C224" s="1723"/>
      <c r="D224" s="1623"/>
      <c r="E224" s="1723"/>
      <c r="F224" s="1723"/>
      <c r="G224" s="1723"/>
      <c r="H224" s="1723"/>
      <c r="I224" s="1723"/>
      <c r="J224" s="1723"/>
      <c r="K224" s="1722">
        <f t="shared" si="19"/>
        <v>0</v>
      </c>
      <c r="L224" s="1623"/>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v>427</v>
      </c>
      <c r="E226" s="1723"/>
      <c r="F226" s="1723"/>
      <c r="G226" s="1723"/>
      <c r="H226" s="1723"/>
      <c r="I226" s="1723"/>
      <c r="J226" s="1723"/>
      <c r="K226" s="1722">
        <f t="shared" si="19"/>
        <v>427</v>
      </c>
      <c r="L226" s="1623">
        <v>436</v>
      </c>
    </row>
    <row r="227" spans="1:12" x14ac:dyDescent="0.2">
      <c r="A227" s="1319" t="s">
        <v>1080</v>
      </c>
      <c r="B227" s="503">
        <v>1800</v>
      </c>
      <c r="C227" s="1723"/>
      <c r="D227" s="1623"/>
      <c r="E227" s="1723"/>
      <c r="F227" s="1723"/>
      <c r="G227" s="1723"/>
      <c r="H227" s="1723"/>
      <c r="I227" s="1723"/>
      <c r="J227" s="1723"/>
      <c r="K227" s="1722">
        <f t="shared" si="19"/>
        <v>0</v>
      </c>
      <c r="L227" s="1623"/>
    </row>
    <row r="228" spans="1:12" x14ac:dyDescent="0.2">
      <c r="A228" s="1319" t="s">
        <v>1081</v>
      </c>
      <c r="B228" s="503">
        <v>1900</v>
      </c>
      <c r="C228" s="1723"/>
      <c r="D228" s="1623"/>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64660</v>
      </c>
      <c r="E229" s="1723"/>
      <c r="F229" s="1723"/>
      <c r="G229" s="1723"/>
      <c r="H229" s="1723"/>
      <c r="I229" s="1723"/>
      <c r="J229" s="1723"/>
      <c r="K229" s="1724">
        <f>SUM(K215:K228)</f>
        <v>64660</v>
      </c>
      <c r="L229" s="1724">
        <f>SUM(L215:L228)</f>
        <v>65773</v>
      </c>
    </row>
    <row r="230" spans="1:12" ht="15.95" customHeight="1" thickTop="1" x14ac:dyDescent="0.2">
      <c r="A230" s="1395" t="s">
        <v>869</v>
      </c>
      <c r="B230" s="1396" t="s">
        <v>565</v>
      </c>
      <c r="C230" s="1723"/>
      <c r="D230" s="1723"/>
      <c r="E230" s="1723"/>
      <c r="F230" s="1723"/>
      <c r="G230" s="1723"/>
      <c r="H230" s="1723"/>
      <c r="I230" s="1723"/>
      <c r="J230" s="1723"/>
      <c r="K230" s="1723"/>
      <c r="L230" s="1723"/>
    </row>
    <row r="231" spans="1:12" ht="15.9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c r="E232" s="1723"/>
      <c r="F232" s="1723"/>
      <c r="G232" s="1723"/>
      <c r="H232" s="1723"/>
      <c r="I232" s="1723"/>
      <c r="J232" s="1723"/>
      <c r="K232" s="1722">
        <f t="shared" ref="K232:K237" si="20">D232</f>
        <v>0</v>
      </c>
      <c r="L232" s="1623"/>
    </row>
    <row r="233" spans="1:12" x14ac:dyDescent="0.2">
      <c r="A233" s="1319" t="s">
        <v>1083</v>
      </c>
      <c r="B233" s="503">
        <v>2120</v>
      </c>
      <c r="C233" s="1723"/>
      <c r="D233" s="1623">
        <v>1011</v>
      </c>
      <c r="E233" s="1723"/>
      <c r="F233" s="1723"/>
      <c r="G233" s="1723"/>
      <c r="H233" s="1723"/>
      <c r="I233" s="1723"/>
      <c r="J233" s="1723"/>
      <c r="K233" s="1722">
        <f t="shared" si="20"/>
        <v>1011</v>
      </c>
      <c r="L233" s="1623">
        <v>1032</v>
      </c>
    </row>
    <row r="234" spans="1:12" x14ac:dyDescent="0.2">
      <c r="A234" s="1319" t="s">
        <v>196</v>
      </c>
      <c r="B234" s="503">
        <v>2130</v>
      </c>
      <c r="C234" s="1723"/>
      <c r="D234" s="1623">
        <v>7582</v>
      </c>
      <c r="E234" s="1723"/>
      <c r="F234" s="1723"/>
      <c r="G234" s="1723"/>
      <c r="H234" s="1723"/>
      <c r="I234" s="1723"/>
      <c r="J234" s="1723"/>
      <c r="K234" s="1722">
        <f t="shared" si="20"/>
        <v>7582</v>
      </c>
      <c r="L234" s="1623">
        <v>6153</v>
      </c>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c r="E236" s="1723"/>
      <c r="F236" s="1723"/>
      <c r="G236" s="1723"/>
      <c r="H236" s="1723"/>
      <c r="I236" s="1723"/>
      <c r="J236" s="1723"/>
      <c r="K236" s="1722">
        <f t="shared" si="20"/>
        <v>0</v>
      </c>
      <c r="L236" s="1623"/>
    </row>
    <row r="237" spans="1:12" x14ac:dyDescent="0.2">
      <c r="A237" s="1319" t="s">
        <v>164</v>
      </c>
      <c r="B237" s="503">
        <v>2190</v>
      </c>
      <c r="C237" s="1723"/>
      <c r="D237" s="1623">
        <v>11670</v>
      </c>
      <c r="E237" s="1723"/>
      <c r="F237" s="1723"/>
      <c r="G237" s="1723"/>
      <c r="H237" s="1723"/>
      <c r="I237" s="1723"/>
      <c r="J237" s="1723"/>
      <c r="K237" s="1722">
        <f t="shared" si="20"/>
        <v>11670</v>
      </c>
      <c r="L237" s="1623">
        <v>11805</v>
      </c>
    </row>
    <row r="238" spans="1:12" ht="12.75" customHeight="1" thickBot="1" x14ac:dyDescent="0.25">
      <c r="A238" s="1429" t="s">
        <v>556</v>
      </c>
      <c r="B238" s="1432" t="s">
        <v>711</v>
      </c>
      <c r="C238" s="1723"/>
      <c r="D238" s="1724">
        <f>SUM(D232:D237)</f>
        <v>20263</v>
      </c>
      <c r="E238" s="1723"/>
      <c r="F238" s="1723"/>
      <c r="G238" s="1723"/>
      <c r="H238" s="1723"/>
      <c r="I238" s="1723"/>
      <c r="J238" s="1723"/>
      <c r="K238" s="1724">
        <f>SUM(K232:K237)</f>
        <v>20263</v>
      </c>
      <c r="L238" s="1724">
        <f>SUM(L232:L237)</f>
        <v>18990</v>
      </c>
    </row>
    <row r="239" spans="1:12" ht="15.9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5609</v>
      </c>
      <c r="E240" s="1723"/>
      <c r="F240" s="1723"/>
      <c r="G240" s="1723"/>
      <c r="H240" s="1723"/>
      <c r="I240" s="1723"/>
      <c r="J240" s="1723"/>
      <c r="K240" s="1728">
        <f>D240</f>
        <v>5609</v>
      </c>
      <c r="L240" s="1636">
        <v>5679</v>
      </c>
    </row>
    <row r="241" spans="1:12" x14ac:dyDescent="0.2">
      <c r="A241" s="1319" t="s">
        <v>810</v>
      </c>
      <c r="B241" s="503">
        <v>2220</v>
      </c>
      <c r="C241" s="1723"/>
      <c r="D241" s="1623"/>
      <c r="E241" s="1723"/>
      <c r="F241" s="1723"/>
      <c r="G241" s="1723"/>
      <c r="H241" s="1723"/>
      <c r="I241" s="1723"/>
      <c r="J241" s="1723"/>
      <c r="K241" s="1728">
        <f>D241</f>
        <v>0</v>
      </c>
      <c r="L241" s="1623"/>
    </row>
    <row r="242" spans="1:12" x14ac:dyDescent="0.2">
      <c r="A242" s="1319" t="s">
        <v>811</v>
      </c>
      <c r="B242" s="503">
        <v>2230</v>
      </c>
      <c r="C242" s="1723"/>
      <c r="D242" s="1623"/>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5609</v>
      </c>
      <c r="E243" s="1723"/>
      <c r="F243" s="1723"/>
      <c r="G243" s="1723"/>
      <c r="H243" s="1723"/>
      <c r="I243" s="1723"/>
      <c r="J243" s="1723"/>
      <c r="K243" s="1724">
        <f>SUM(K240:K242)</f>
        <v>5609</v>
      </c>
      <c r="L243" s="1724">
        <f>SUM(L240:L242)</f>
        <v>5679</v>
      </c>
    </row>
    <row r="244" spans="1:12" ht="15.9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786</v>
      </c>
      <c r="E245" s="1723"/>
      <c r="F245" s="1723"/>
      <c r="G245" s="1723"/>
      <c r="H245" s="1723"/>
      <c r="I245" s="1723"/>
      <c r="J245" s="1723"/>
      <c r="K245" s="1728">
        <f>D245</f>
        <v>786</v>
      </c>
      <c r="L245" s="1636">
        <v>801</v>
      </c>
    </row>
    <row r="246" spans="1:12" x14ac:dyDescent="0.2">
      <c r="A246" s="1319" t="s">
        <v>813</v>
      </c>
      <c r="B246" s="503">
        <v>2320</v>
      </c>
      <c r="C246" s="1723"/>
      <c r="D246" s="1623">
        <v>801</v>
      </c>
      <c r="E246" s="1723"/>
      <c r="F246" s="1723"/>
      <c r="G246" s="1723"/>
      <c r="H246" s="1723"/>
      <c r="I246" s="1723"/>
      <c r="J246" s="1723"/>
      <c r="K246" s="1728">
        <f t="shared" ref="K246:K256" si="21">D246</f>
        <v>801</v>
      </c>
      <c r="L246" s="1623">
        <v>820</v>
      </c>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1785</v>
      </c>
      <c r="B249" s="557" t="s">
        <v>280</v>
      </c>
      <c r="C249" s="1723"/>
      <c r="D249" s="1629"/>
      <c r="E249" s="1723"/>
      <c r="F249" s="1723"/>
      <c r="G249" s="1723"/>
      <c r="H249" s="1723"/>
      <c r="I249" s="1723"/>
      <c r="J249" s="1723"/>
      <c r="K249" s="1728">
        <f t="shared" si="21"/>
        <v>0</v>
      </c>
      <c r="L249" s="1623"/>
    </row>
    <row r="250" spans="1:12" x14ac:dyDescent="0.2">
      <c r="A250" s="1320" t="s">
        <v>1786</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c r="E252" s="1723"/>
      <c r="F252" s="1723"/>
      <c r="G252" s="1723"/>
      <c r="H252" s="1723"/>
      <c r="I252" s="1723"/>
      <c r="J252" s="1723"/>
      <c r="K252" s="1728">
        <f t="shared" si="21"/>
        <v>0</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c r="E254" s="1723"/>
      <c r="F254" s="1723"/>
      <c r="G254" s="1723"/>
      <c r="H254" s="1723"/>
      <c r="I254" s="1723"/>
      <c r="J254" s="1723"/>
      <c r="K254" s="1728">
        <f t="shared" si="21"/>
        <v>0</v>
      </c>
      <c r="L254" s="1623"/>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1587</v>
      </c>
      <c r="E257" s="1723"/>
      <c r="F257" s="1723"/>
      <c r="G257" s="1723"/>
      <c r="H257" s="1723"/>
      <c r="I257" s="1723"/>
      <c r="J257" s="1723"/>
      <c r="K257" s="1724">
        <f>SUM(K245:K256)</f>
        <v>1587</v>
      </c>
      <c r="L257" s="1724">
        <f>SUM(L245:L256)</f>
        <v>1621</v>
      </c>
    </row>
    <row r="258" spans="1:14" ht="15.9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9106</v>
      </c>
      <c r="E259" s="1723"/>
      <c r="F259" s="1723"/>
      <c r="G259" s="1723"/>
      <c r="H259" s="1723"/>
      <c r="I259" s="1723"/>
      <c r="J259" s="1723"/>
      <c r="K259" s="1728">
        <f>D259</f>
        <v>9106</v>
      </c>
      <c r="L259" s="1636">
        <v>9206</v>
      </c>
    </row>
    <row r="260" spans="1:14" s="493" customFormat="1" x14ac:dyDescent="0.2">
      <c r="A260" s="1337" t="s">
        <v>1784</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9106</v>
      </c>
      <c r="E261" s="1723"/>
      <c r="F261" s="1723"/>
      <c r="G261" s="1723"/>
      <c r="H261" s="1723"/>
      <c r="I261" s="1723"/>
      <c r="J261" s="1723"/>
      <c r="K261" s="1724">
        <f>SUM(K259:K260)</f>
        <v>9106</v>
      </c>
      <c r="L261" s="1724">
        <f>SUM(L259:L260)</f>
        <v>9206</v>
      </c>
    </row>
    <row r="262" spans="1:14" ht="15.9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row>
    <row r="264" spans="1:14" x14ac:dyDescent="0.2">
      <c r="A264" s="1319" t="s">
        <v>460</v>
      </c>
      <c r="B264" s="559">
        <v>2520</v>
      </c>
      <c r="C264" s="1723"/>
      <c r="D264" s="1623">
        <v>9645</v>
      </c>
      <c r="E264" s="1723"/>
      <c r="F264" s="1723"/>
      <c r="G264" s="1723"/>
      <c r="H264" s="1723"/>
      <c r="I264" s="1723"/>
      <c r="J264" s="1723"/>
      <c r="K264" s="1728">
        <f t="shared" ref="K264:K269" si="22">D264</f>
        <v>9645</v>
      </c>
      <c r="L264" s="1623">
        <v>9760</v>
      </c>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v>30134</v>
      </c>
      <c r="E266" s="1723"/>
      <c r="F266" s="1723"/>
      <c r="G266" s="1723"/>
      <c r="H266" s="1723"/>
      <c r="I266" s="1723"/>
      <c r="J266" s="1723"/>
      <c r="K266" s="1728">
        <f t="shared" si="22"/>
        <v>30134</v>
      </c>
      <c r="L266" s="1623">
        <v>30517</v>
      </c>
    </row>
    <row r="267" spans="1:14" x14ac:dyDescent="0.2">
      <c r="A267" s="1319" t="s">
        <v>947</v>
      </c>
      <c r="B267" s="503">
        <v>2550</v>
      </c>
      <c r="C267" s="1723"/>
      <c r="D267" s="1623">
        <v>28247</v>
      </c>
      <c r="E267" s="1723"/>
      <c r="F267" s="1723"/>
      <c r="G267" s="1723"/>
      <c r="H267" s="1723"/>
      <c r="I267" s="1723"/>
      <c r="J267" s="1723"/>
      <c r="K267" s="1728">
        <f t="shared" si="22"/>
        <v>28247</v>
      </c>
      <c r="L267" s="1623">
        <v>28422</v>
      </c>
    </row>
    <row r="268" spans="1:14" x14ac:dyDescent="0.2">
      <c r="A268" s="1319" t="s">
        <v>100</v>
      </c>
      <c r="B268" s="503">
        <v>2560</v>
      </c>
      <c r="C268" s="1723"/>
      <c r="D268" s="1623">
        <v>27722</v>
      </c>
      <c r="E268" s="1723"/>
      <c r="F268" s="1723"/>
      <c r="G268" s="1723"/>
      <c r="H268" s="1723"/>
      <c r="I268" s="1723"/>
      <c r="J268" s="1723"/>
      <c r="K268" s="1728">
        <f t="shared" si="22"/>
        <v>27722</v>
      </c>
      <c r="L268" s="1623">
        <v>23610</v>
      </c>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95748</v>
      </c>
      <c r="E270" s="1723"/>
      <c r="F270" s="1723"/>
      <c r="G270" s="1723"/>
      <c r="H270" s="1723"/>
      <c r="I270" s="1723"/>
      <c r="J270" s="1723"/>
      <c r="K270" s="1724">
        <f>SUM(K263:K269)</f>
        <v>95748</v>
      </c>
      <c r="L270" s="1724">
        <f>SUM(L263:L269)</f>
        <v>92309</v>
      </c>
    </row>
    <row r="271" spans="1:14" ht="15.9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c r="E275" s="1723"/>
      <c r="F275" s="1723"/>
      <c r="G275" s="1723"/>
      <c r="H275" s="1723"/>
      <c r="I275" s="1723"/>
      <c r="J275" s="1723"/>
      <c r="K275" s="1728">
        <f>D275</f>
        <v>0</v>
      </c>
      <c r="L275" s="1623"/>
    </row>
    <row r="276" spans="1:12" x14ac:dyDescent="0.2">
      <c r="A276" s="1319" t="s">
        <v>401</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132313</v>
      </c>
      <c r="E279" s="1723"/>
      <c r="F279" s="1723"/>
      <c r="G279" s="1723"/>
      <c r="H279" s="1723"/>
      <c r="I279" s="1723"/>
      <c r="J279" s="1723"/>
      <c r="K279" s="1731">
        <f>SUM(K238,K243,K257,K261,K270,K277,K278)</f>
        <v>132313</v>
      </c>
      <c r="L279" s="1731">
        <f>SUM(L238,L243,L257,L261,L270,L277,L278)</f>
        <v>127805</v>
      </c>
    </row>
    <row r="280" spans="1:12" ht="15.95" customHeight="1" thickTop="1" thickBot="1" x14ac:dyDescent="0.25">
      <c r="A280" s="1407" t="s">
        <v>870</v>
      </c>
      <c r="B280" s="1396">
        <v>3000</v>
      </c>
      <c r="C280" s="1723"/>
      <c r="D280" s="1701"/>
      <c r="E280" s="1723"/>
      <c r="F280" s="1723"/>
      <c r="G280" s="1723"/>
      <c r="H280" s="1723"/>
      <c r="I280" s="1723"/>
      <c r="J280" s="1723"/>
      <c r="K280" s="1737">
        <f>D280</f>
        <v>0</v>
      </c>
      <c r="L280" s="1701"/>
    </row>
    <row r="281" spans="1:12" ht="15.95" customHeight="1" thickTop="1" x14ac:dyDescent="0.2">
      <c r="A281" s="1397" t="s">
        <v>141</v>
      </c>
      <c r="B281" s="1398" t="s">
        <v>855</v>
      </c>
      <c r="C281" s="1723"/>
      <c r="D281" s="1695"/>
      <c r="E281" s="1723"/>
      <c r="F281" s="1723"/>
      <c r="G281" s="1723"/>
      <c r="H281" s="1723"/>
      <c r="I281" s="1723"/>
      <c r="J281" s="1723"/>
      <c r="K281" s="1723"/>
      <c r="L281" s="1723"/>
    </row>
    <row r="282" spans="1:12" ht="15.95" customHeight="1" x14ac:dyDescent="0.2">
      <c r="A282" s="1515" t="s">
        <v>493</v>
      </c>
      <c r="B282" s="562" t="s">
        <v>1819</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95" customHeight="1" thickTop="1" x14ac:dyDescent="0.2">
      <c r="A286" s="1395" t="s">
        <v>871</v>
      </c>
      <c r="B286" s="1392" t="s">
        <v>489</v>
      </c>
      <c r="C286" s="1723"/>
      <c r="D286" s="1723"/>
      <c r="E286" s="1723"/>
      <c r="F286" s="1723"/>
      <c r="G286" s="1723"/>
      <c r="H286" s="1723"/>
      <c r="I286" s="1723"/>
      <c r="J286" s="1723"/>
      <c r="K286" s="1723"/>
      <c r="L286" s="1723"/>
    </row>
    <row r="287" spans="1:12" ht="15.9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9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352" t="s">
        <v>502</v>
      </c>
      <c r="B295" s="2353"/>
      <c r="C295" s="1723"/>
      <c r="D295" s="1724">
        <f>SUM(D229,D279,D280,D285)</f>
        <v>196973</v>
      </c>
      <c r="E295" s="1723"/>
      <c r="F295" s="1723"/>
      <c r="G295" s="1723"/>
      <c r="H295" s="1724">
        <f>H293</f>
        <v>0</v>
      </c>
      <c r="I295" s="1723"/>
      <c r="J295" s="1723"/>
      <c r="K295" s="1724">
        <f>SUM(K229,K279,K280,K285,K293,K294)</f>
        <v>196973</v>
      </c>
      <c r="L295" s="1724">
        <f>SUM(L229,L279,L280,L285,L293,L294)</f>
        <v>193578</v>
      </c>
    </row>
    <row r="296" spans="1:14" ht="13.5" thickTop="1" x14ac:dyDescent="0.2">
      <c r="A296" s="2361" t="s">
        <v>989</v>
      </c>
      <c r="B296" s="2362"/>
      <c r="C296" s="1723"/>
      <c r="D296" s="1725"/>
      <c r="E296" s="1723"/>
      <c r="F296" s="1723"/>
      <c r="G296" s="1723"/>
      <c r="H296" s="1757"/>
      <c r="I296" s="1723"/>
      <c r="J296" s="1723"/>
      <c r="K296" s="1739">
        <f>'Revenues 9-14'!G268-'Expenditures 15-22'!K295</f>
        <v>23293</v>
      </c>
      <c r="L296" s="1757"/>
    </row>
    <row r="297" spans="1:14" s="540" customFormat="1" ht="9.1999999999999993"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44" t="s">
        <v>142</v>
      </c>
      <c r="B298" s="2338"/>
      <c r="C298" s="1753"/>
      <c r="D298" s="1754"/>
      <c r="E298" s="1754"/>
      <c r="F298" s="1754"/>
      <c r="G298" s="1754"/>
      <c r="H298" s="1754"/>
      <c r="I298" s="1754"/>
      <c r="J298" s="1754"/>
      <c r="K298" s="1754"/>
      <c r="L298" s="1755"/>
    </row>
    <row r="299" spans="1:14" ht="15.95" customHeight="1" x14ac:dyDescent="0.2">
      <c r="A299" s="1395" t="s">
        <v>143</v>
      </c>
      <c r="B299" s="1398" t="s">
        <v>565</v>
      </c>
      <c r="C299" s="1723"/>
      <c r="D299" s="1723"/>
      <c r="E299" s="1723"/>
      <c r="F299" s="1723"/>
      <c r="G299" s="1723"/>
      <c r="H299" s="1723"/>
      <c r="I299" s="1723"/>
      <c r="J299" s="1723"/>
      <c r="K299" s="1723"/>
      <c r="L299" s="1723"/>
    </row>
    <row r="300" spans="1:14" ht="15.9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v>248455</v>
      </c>
      <c r="F301" s="1623"/>
      <c r="G301" s="1623"/>
      <c r="H301" s="1623"/>
      <c r="I301" s="1624"/>
      <c r="J301" s="1624"/>
      <c r="K301" s="1722">
        <f>SUM(C301:J301)</f>
        <v>248455</v>
      </c>
      <c r="L301" s="1624">
        <v>300000</v>
      </c>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248455</v>
      </c>
      <c r="F303" s="1731">
        <f t="shared" si="23"/>
        <v>0</v>
      </c>
      <c r="G303" s="1731">
        <f t="shared" si="23"/>
        <v>0</v>
      </c>
      <c r="H303" s="1731">
        <f t="shared" si="23"/>
        <v>0</v>
      </c>
      <c r="I303" s="1731">
        <f t="shared" si="23"/>
        <v>0</v>
      </c>
      <c r="J303" s="1731">
        <f t="shared" si="23"/>
        <v>0</v>
      </c>
      <c r="K303" s="1731">
        <f t="shared" si="23"/>
        <v>248455</v>
      </c>
      <c r="L303" s="1731">
        <f t="shared" si="23"/>
        <v>300000</v>
      </c>
    </row>
    <row r="304" spans="1:14" ht="15.95" customHeight="1" thickTop="1" x14ac:dyDescent="0.2">
      <c r="A304" s="1395" t="s">
        <v>144</v>
      </c>
      <c r="B304" s="1396" t="s">
        <v>855</v>
      </c>
      <c r="C304" s="1723"/>
      <c r="D304" s="1723"/>
      <c r="E304" s="1723"/>
      <c r="F304" s="1723"/>
      <c r="G304" s="1723"/>
      <c r="H304" s="1723"/>
      <c r="I304" s="1723"/>
      <c r="J304" s="1723"/>
      <c r="K304" s="1723"/>
      <c r="L304" s="1723"/>
    </row>
    <row r="305" spans="1:14" ht="15.9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75" customHeight="1" x14ac:dyDescent="0.2">
      <c r="A309" s="1323" t="s">
        <v>693</v>
      </c>
      <c r="B309" s="512">
        <v>4190</v>
      </c>
      <c r="C309" s="1723"/>
      <c r="D309" s="1723"/>
      <c r="E309" s="1624"/>
      <c r="F309" s="1723"/>
      <c r="G309" s="1723"/>
      <c r="H309" s="1624"/>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9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349" t="s">
        <v>275</v>
      </c>
      <c r="B312" s="2350"/>
      <c r="C312" s="1724">
        <f>SUM(C303)</f>
        <v>0</v>
      </c>
      <c r="D312" s="1724">
        <f>SUM(D303)</f>
        <v>0</v>
      </c>
      <c r="E312" s="1724">
        <f>SUM(E303,E310)</f>
        <v>248455</v>
      </c>
      <c r="F312" s="1724">
        <f>SUM(F303)</f>
        <v>0</v>
      </c>
      <c r="G312" s="1724">
        <f>SUM(G303)</f>
        <v>0</v>
      </c>
      <c r="H312" s="1724">
        <f>SUM(H303,H310)</f>
        <v>0</v>
      </c>
      <c r="I312" s="1724">
        <f>SUM(I303)</f>
        <v>0</v>
      </c>
      <c r="J312" s="1724">
        <f>SUM(J303)</f>
        <v>0</v>
      </c>
      <c r="K312" s="1724">
        <f>SUM(K303,K310,K311)</f>
        <v>248455</v>
      </c>
      <c r="L312" s="1724">
        <f>SUM(L303,L310,L311)</f>
        <v>300000</v>
      </c>
      <c r="M312" s="539"/>
      <c r="N312" s="539"/>
    </row>
    <row r="313" spans="1:14" ht="13.5" thickTop="1" x14ac:dyDescent="0.2">
      <c r="A313" s="2345" t="s">
        <v>989</v>
      </c>
      <c r="B313" s="2346"/>
      <c r="C313" s="1727"/>
      <c r="D313" s="1727"/>
      <c r="E313" s="1727"/>
      <c r="F313" s="1727"/>
      <c r="G313" s="1727"/>
      <c r="H313" s="1727"/>
      <c r="I313" s="1727"/>
      <c r="J313" s="1727"/>
      <c r="K313" s="1746">
        <f>'Revenues 9-14'!H268-'Expenditures 15-22'!K312</f>
        <v>-248327</v>
      </c>
      <c r="L313" s="1727"/>
    </row>
    <row r="314" spans="1:14" s="540" customFormat="1" ht="9.1999999999999993"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8" t="s">
        <v>148</v>
      </c>
      <c r="B315" s="2359"/>
      <c r="C315" s="1759"/>
      <c r="D315" s="1760"/>
      <c r="E315" s="1760"/>
      <c r="F315" s="1760"/>
      <c r="G315" s="1760"/>
      <c r="H315" s="1760"/>
      <c r="I315" s="1760"/>
      <c r="J315" s="1760"/>
      <c r="K315" s="1760"/>
      <c r="L315" s="1761"/>
    </row>
    <row r="316" spans="1:14" s="548" customFormat="1" ht="9.1999999999999993"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60" t="s">
        <v>892</v>
      </c>
      <c r="B317" s="2359"/>
      <c r="C317" s="1759"/>
      <c r="D317" s="1760"/>
      <c r="E317" s="1760"/>
      <c r="F317" s="1760"/>
      <c r="G317" s="1760"/>
      <c r="H317" s="1760"/>
      <c r="I317" s="1760"/>
      <c r="J317" s="1760"/>
      <c r="K317" s="1760"/>
      <c r="L317" s="1761"/>
    </row>
    <row r="318" spans="1:14" s="548" customFormat="1" ht="15.9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v>250</v>
      </c>
      <c r="M319" s="539"/>
      <c r="N319" s="539"/>
    </row>
    <row r="320" spans="1:14" s="548" customFormat="1" x14ac:dyDescent="0.2">
      <c r="A320" s="1338" t="s">
        <v>1785</v>
      </c>
      <c r="B320" s="568" t="s">
        <v>280</v>
      </c>
      <c r="C320" s="1624"/>
      <c r="D320" s="1624"/>
      <c r="E320" s="1624">
        <v>36431</v>
      </c>
      <c r="F320" s="1624"/>
      <c r="G320" s="1624"/>
      <c r="H320" s="1624"/>
      <c r="I320" s="1624"/>
      <c r="J320" s="1624"/>
      <c r="K320" s="1722">
        <f t="shared" ref="K320:K327" si="24">SUM(C320:J320)</f>
        <v>36431</v>
      </c>
      <c r="L320" s="1624">
        <v>36500</v>
      </c>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c r="M321" s="539"/>
      <c r="N321" s="539"/>
    </row>
    <row r="322" spans="1:14" s="548" customFormat="1" x14ac:dyDescent="0.2">
      <c r="A322" s="1334" t="s">
        <v>236</v>
      </c>
      <c r="B322" s="567" t="s">
        <v>282</v>
      </c>
      <c r="C322" s="1624"/>
      <c r="D322" s="1624"/>
      <c r="E322" s="1624">
        <v>28399</v>
      </c>
      <c r="F322" s="1624"/>
      <c r="G322" s="1624"/>
      <c r="H322" s="1624"/>
      <c r="I322" s="1624"/>
      <c r="J322" s="1624"/>
      <c r="K322" s="1722">
        <f t="shared" si="24"/>
        <v>28399</v>
      </c>
      <c r="L322" s="1624">
        <v>37250</v>
      </c>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c r="D325" s="1624"/>
      <c r="E325" s="1624">
        <v>4925</v>
      </c>
      <c r="F325" s="1624"/>
      <c r="G325" s="1624"/>
      <c r="H325" s="1624"/>
      <c r="I325" s="1624"/>
      <c r="J325" s="1624"/>
      <c r="K325" s="1722">
        <f t="shared" si="24"/>
        <v>4925</v>
      </c>
      <c r="L325" s="1624">
        <v>650</v>
      </c>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v>3394</v>
      </c>
      <c r="F327" s="1624"/>
      <c r="G327" s="1624"/>
      <c r="H327" s="1624"/>
      <c r="I327" s="1624"/>
      <c r="J327" s="1624"/>
      <c r="K327" s="1722">
        <f t="shared" si="24"/>
        <v>3394</v>
      </c>
      <c r="L327" s="1624">
        <v>5000</v>
      </c>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73149</v>
      </c>
      <c r="F330" s="1724">
        <f t="shared" si="25"/>
        <v>0</v>
      </c>
      <c r="G330" s="1724">
        <f t="shared" si="25"/>
        <v>0</v>
      </c>
      <c r="H330" s="1724">
        <f t="shared" si="25"/>
        <v>0</v>
      </c>
      <c r="I330" s="1724">
        <f t="shared" si="25"/>
        <v>0</v>
      </c>
      <c r="J330" s="1724">
        <f t="shared" si="25"/>
        <v>0</v>
      </c>
      <c r="K330" s="1724">
        <f>SUM(K319:K329)</f>
        <v>73149</v>
      </c>
      <c r="L330" s="1724">
        <f>SUM(L319:L329)</f>
        <v>79650</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95" customHeight="1" thickTop="1" x14ac:dyDescent="0.2">
      <c r="A335" s="1399" t="s">
        <v>893</v>
      </c>
      <c r="B335" s="1390" t="s">
        <v>489</v>
      </c>
      <c r="C335" s="1723"/>
      <c r="D335" s="1723"/>
      <c r="E335" s="1723"/>
      <c r="F335" s="1723"/>
      <c r="G335" s="1723"/>
      <c r="H335" s="1723"/>
      <c r="I335" s="1723"/>
      <c r="J335" s="1723"/>
      <c r="K335" s="1723"/>
      <c r="L335" s="1723"/>
    </row>
    <row r="336" spans="1:14" ht="15.9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7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9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0</v>
      </c>
      <c r="D342" s="1724">
        <f>SUM(D330)</f>
        <v>0</v>
      </c>
      <c r="E342" s="1724">
        <f>SUM(E330)</f>
        <v>73149</v>
      </c>
      <c r="F342" s="1724">
        <f>SUM(F330)</f>
        <v>0</v>
      </c>
      <c r="G342" s="1724">
        <f>SUM(G330)</f>
        <v>0</v>
      </c>
      <c r="H342" s="1724">
        <f>SUM(H330,H334,H340)</f>
        <v>0</v>
      </c>
      <c r="I342" s="1724">
        <f>SUM(I330)</f>
        <v>0</v>
      </c>
      <c r="J342" s="1724">
        <f>SUM(J330)</f>
        <v>0</v>
      </c>
      <c r="K342" s="1724">
        <f>SUM(K330,K334,K340)</f>
        <v>73149</v>
      </c>
      <c r="L342" s="1731">
        <f>SUM(L330,L334,L340,L341)</f>
        <v>79650</v>
      </c>
    </row>
    <row r="343" spans="1:14" ht="12.75" customHeight="1" thickTop="1" x14ac:dyDescent="0.2">
      <c r="A343" s="2347" t="s">
        <v>989</v>
      </c>
      <c r="B343" s="2348"/>
      <c r="C343" s="1723"/>
      <c r="D343" s="1723"/>
      <c r="E343" s="1723"/>
      <c r="F343" s="1723"/>
      <c r="G343" s="1723"/>
      <c r="H343" s="1723"/>
      <c r="I343" s="1723"/>
      <c r="J343" s="1723"/>
      <c r="K343" s="1739">
        <f>'Revenues 9-14'!J268-'Expenditures 15-22'!K342</f>
        <v>2121</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7" t="s">
        <v>960</v>
      </c>
      <c r="B345" s="2338"/>
      <c r="C345" s="1753"/>
      <c r="D345" s="1754"/>
      <c r="E345" s="1754"/>
      <c r="F345" s="1754"/>
      <c r="G345" s="1754"/>
      <c r="H345" s="1754"/>
      <c r="I345" s="1754"/>
      <c r="J345" s="1754"/>
      <c r="K345" s="1754"/>
      <c r="L345" s="1755"/>
      <c r="M345" s="541"/>
      <c r="N345" s="541"/>
    </row>
    <row r="346" spans="1:14" s="321" customFormat="1" ht="15.95" customHeight="1" x14ac:dyDescent="0.2">
      <c r="A346" s="1406" t="s">
        <v>839</v>
      </c>
      <c r="B346" s="1398" t="s">
        <v>565</v>
      </c>
      <c r="C346" s="1723"/>
      <c r="D346" s="1723"/>
      <c r="E346" s="1723"/>
      <c r="F346" s="1723"/>
      <c r="G346" s="1723"/>
      <c r="H346" s="1723"/>
      <c r="I346" s="1723"/>
      <c r="J346" s="1723"/>
      <c r="K346" s="1723"/>
      <c r="L346" s="1723"/>
      <c r="M346" s="501"/>
      <c r="N346" s="501"/>
    </row>
    <row r="347" spans="1:14" ht="15.9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v>995527</v>
      </c>
      <c r="F348" s="1623"/>
      <c r="G348" s="1623"/>
      <c r="H348" s="1623"/>
      <c r="I348" s="1624"/>
      <c r="J348" s="1624"/>
      <c r="K348" s="1722">
        <f>SUM(C348:J348)</f>
        <v>995527</v>
      </c>
      <c r="L348" s="1623">
        <v>875000</v>
      </c>
    </row>
    <row r="349" spans="1:14" x14ac:dyDescent="0.2">
      <c r="A349" s="1319" t="s">
        <v>195</v>
      </c>
      <c r="B349" s="503">
        <v>2540</v>
      </c>
      <c r="C349" s="1623"/>
      <c r="D349" s="1623"/>
      <c r="E349" s="1623"/>
      <c r="F349" s="1623"/>
      <c r="G349" s="1623"/>
      <c r="H349" s="1623"/>
      <c r="I349" s="1624"/>
      <c r="J349" s="1624"/>
      <c r="K349" s="1722">
        <f>SUM(C349:J349)</f>
        <v>0</v>
      </c>
      <c r="L349" s="1623"/>
    </row>
    <row r="350" spans="1:14" ht="12.75" customHeight="1" thickBot="1" x14ac:dyDescent="0.25">
      <c r="A350" s="1429" t="s">
        <v>714</v>
      </c>
      <c r="B350" s="1430" t="s">
        <v>35</v>
      </c>
      <c r="C350" s="1724">
        <f>SUM(C348:C349)</f>
        <v>0</v>
      </c>
      <c r="D350" s="1724">
        <f t="shared" ref="D350:L350" si="26">SUM(D348:D349)</f>
        <v>0</v>
      </c>
      <c r="E350" s="1724">
        <f t="shared" si="26"/>
        <v>995527</v>
      </c>
      <c r="F350" s="1724">
        <f t="shared" si="26"/>
        <v>0</v>
      </c>
      <c r="G350" s="1724">
        <f t="shared" si="26"/>
        <v>0</v>
      </c>
      <c r="H350" s="1724">
        <f t="shared" si="26"/>
        <v>0</v>
      </c>
      <c r="I350" s="1724">
        <f t="shared" si="26"/>
        <v>0</v>
      </c>
      <c r="J350" s="1724">
        <f t="shared" si="26"/>
        <v>0</v>
      </c>
      <c r="K350" s="1724">
        <f t="shared" si="26"/>
        <v>995527</v>
      </c>
      <c r="L350" s="1724">
        <f t="shared" si="26"/>
        <v>875000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995527</v>
      </c>
      <c r="F352" s="1724">
        <f t="shared" si="27"/>
        <v>0</v>
      </c>
      <c r="G352" s="1724">
        <f t="shared" si="27"/>
        <v>0</v>
      </c>
      <c r="H352" s="1724">
        <f t="shared" si="27"/>
        <v>0</v>
      </c>
      <c r="I352" s="1724">
        <f t="shared" si="27"/>
        <v>0</v>
      </c>
      <c r="J352" s="1724">
        <f t="shared" si="27"/>
        <v>0</v>
      </c>
      <c r="K352" s="1724">
        <f t="shared" si="27"/>
        <v>995527</v>
      </c>
      <c r="L352" s="1724">
        <f t="shared" si="27"/>
        <v>875000</v>
      </c>
    </row>
    <row r="353" spans="1:14" s="321" customFormat="1" ht="15.9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c r="I354" s="1766"/>
      <c r="J354" s="1723"/>
      <c r="K354" s="1763">
        <f>H354</f>
        <v>0</v>
      </c>
      <c r="L354" s="1627"/>
    </row>
    <row r="355" spans="1:14" ht="12.75" customHeight="1" x14ac:dyDescent="0.2">
      <c r="A355" s="1328" t="s">
        <v>1828</v>
      </c>
      <c r="B355" s="562" t="s">
        <v>1821</v>
      </c>
      <c r="C355" s="1723"/>
      <c r="D355" s="1723"/>
      <c r="E355" s="1723"/>
      <c r="F355" s="1723"/>
      <c r="G355" s="1723"/>
      <c r="H355" s="1624"/>
      <c r="I355" s="1766"/>
      <c r="J355" s="1723"/>
      <c r="K355" s="1657">
        <f>H355</f>
        <v>0</v>
      </c>
      <c r="L355" s="1624"/>
    </row>
    <row r="356" spans="1:14" ht="12.75" customHeight="1" x14ac:dyDescent="0.2">
      <c r="A356" s="1518" t="s">
        <v>693</v>
      </c>
      <c r="B356" s="557" t="s">
        <v>554</v>
      </c>
      <c r="C356" s="1723"/>
      <c r="D356" s="1723"/>
      <c r="E356" s="1723"/>
      <c r="F356" s="1723"/>
      <c r="G356" s="1723"/>
      <c r="H356" s="1634"/>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9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9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615</v>
      </c>
      <c r="B361" s="494" t="s">
        <v>614</v>
      </c>
      <c r="C361" s="1723"/>
      <c r="D361" s="1723"/>
      <c r="E361" s="1723"/>
      <c r="F361" s="1723"/>
      <c r="G361" s="1723"/>
      <c r="H361" s="1624"/>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9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9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995527</v>
      </c>
      <c r="F367" s="1724">
        <f t="shared" si="28"/>
        <v>0</v>
      </c>
      <c r="G367" s="1724">
        <f t="shared" si="28"/>
        <v>0</v>
      </c>
      <c r="H367" s="1724">
        <f t="shared" si="28"/>
        <v>0</v>
      </c>
      <c r="I367" s="1724">
        <f t="shared" si="28"/>
        <v>0</v>
      </c>
      <c r="J367" s="1724">
        <f t="shared" si="28"/>
        <v>0</v>
      </c>
      <c r="K367" s="1724">
        <f t="shared" si="28"/>
        <v>995527</v>
      </c>
      <c r="L367" s="1724">
        <f t="shared" si="28"/>
        <v>875000</v>
      </c>
    </row>
    <row r="368" spans="1:14" ht="13.5" thickTop="1" x14ac:dyDescent="0.2">
      <c r="A368" s="2361" t="s">
        <v>989</v>
      </c>
      <c r="B368" s="2362"/>
      <c r="C368" s="1744"/>
      <c r="D368" s="1744"/>
      <c r="E368" s="1727"/>
      <c r="F368" s="1727"/>
      <c r="G368" s="1727"/>
      <c r="H368" s="1727"/>
      <c r="I368" s="1727"/>
      <c r="J368" s="1726"/>
      <c r="K368" s="1722">
        <f>'Revenues 9-14'!K268-'Expenditures 15-22'!K367</f>
        <v>-920717</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&amp;F&amp;RThe notes  to the financial statements are an integral part of this statement.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http://schemas.microsoft.com/office/2006/documentManagement/types"/>
    <ds:schemaRef ds:uri="4d435f69-8686-490b-bd6d-b153bf22ab50"/>
    <ds:schemaRef ds:uri="http://purl.org/dc/elements/1.1/"/>
    <ds:schemaRef ds:uri="http://schemas.microsoft.com/office/2006/metadata/properties"/>
    <ds:schemaRef ds:uri="http://schemas.openxmlformats.org/package/2006/metadata/core-properties"/>
    <ds:schemaRef ds:uri="http://schemas.microsoft.com/sharepoint/v3"/>
    <ds:schemaRef ds:uri="6ce3111e-7420-4802-b50a-75d4e9a0b980"/>
    <ds:schemaRef ds:uri="http://www.w3.org/XML/1998/namespace"/>
    <ds:schemaRef ds:uri="http://schemas.microsoft.com/office/infopath/2007/PartnerControls"/>
    <ds:schemaRef ds:uri="d21dc803-237d-4c68-8692-8d731fd29118"/>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16</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 </vt:lpstr>
      <vt:lpstr>SF&amp;QC Sec-2 (2)</vt:lpstr>
      <vt:lpstr>SF&amp;QC Sec-2 (3)</vt:lpstr>
      <vt:lpstr>SF&amp;QC Sec-2 (4)</vt:lpstr>
      <vt:lpstr>SF&amp;QC Sec-2 (5)</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2020-11-09T21:46:12Z</cp:lastPrinted>
  <dcterms:created xsi:type="dcterms:W3CDTF">2003-10-29T19:06:34Z</dcterms:created>
  <dcterms:modified xsi:type="dcterms:W3CDTF">2020-11-11T01:02:22Z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