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1B8CE62-0743-4C36-B5BC-B33EA45BAE86}" xr6:coauthVersionLast="36" xr6:coauthVersionMax="36" xr10:uidLastSave="{00000000-0000-0000-0000-000000000000}"/>
  <bookViews>
    <workbookView xWindow="7200" yWindow="111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8" r:id="rId30"/>
    <sheet name="SEFA NOTES" sheetId="173" r:id="rId31"/>
    <sheet name="SF&amp;QC Sec-1" sheetId="174" r:id="rId32"/>
    <sheet name="SF&amp;QC Sec-2" sheetId="175" r:id="rId33"/>
    <sheet name="SF&amp;QC Sec-2 (2)" sheetId="186" r:id="rId34"/>
    <sheet name="SF&amp;QC Sec-2 (3)" sheetId="187"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 i="185" l="1"/>
  <c r="L27" i="188"/>
  <c r="L26" i="188"/>
  <c r="L25" i="188"/>
  <c r="L24" i="188"/>
  <c r="L23" i="188"/>
  <c r="L22" i="188"/>
  <c r="L21" i="188"/>
  <c r="L20" i="188"/>
  <c r="L19" i="188"/>
  <c r="I9" i="188"/>
  <c r="G9" i="188"/>
  <c r="F9" i="188"/>
  <c r="E9" i="188"/>
  <c r="J8" i="188"/>
  <c r="H8" i="188"/>
  <c r="C10" i="187"/>
  <c r="C10" i="186"/>
  <c r="L27" i="185"/>
  <c r="L26" i="185"/>
  <c r="L25" i="185"/>
  <c r="L24" i="185"/>
  <c r="L23" i="185"/>
  <c r="L22" i="185"/>
  <c r="L21" i="185"/>
  <c r="L20" i="185"/>
  <c r="L19" i="185"/>
  <c r="L17" i="185"/>
  <c r="L16" i="185"/>
  <c r="L15" i="185"/>
  <c r="L14" i="185"/>
  <c r="L13" i="185"/>
  <c r="L12" i="185"/>
  <c r="L11" i="185"/>
  <c r="I9" i="185"/>
  <c r="G9" i="185"/>
  <c r="F9" i="185"/>
  <c r="E9" i="185"/>
  <c r="J8" i="185"/>
  <c r="H8" i="185"/>
  <c r="K5" i="5" l="1"/>
  <c r="E325" i="29"/>
  <c r="I5" i="5"/>
  <c r="D215" i="29"/>
  <c r="D267" i="29"/>
  <c r="D266" i="29"/>
  <c r="G8" i="5"/>
  <c r="G5" i="5"/>
  <c r="H170" i="29"/>
  <c r="H169" i="29"/>
  <c r="E5" i="5"/>
  <c r="D5" i="29"/>
  <c r="C5" i="29"/>
  <c r="E5" i="29"/>
  <c r="H79" i="29"/>
  <c r="F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8"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8" s="1"/>
  <c r="A7" i="169"/>
  <c r="B1" i="188"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5"/>
  <c r="B2" i="179"/>
  <c r="B2" i="186"/>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L22" i="37"/>
  <c r="F68" i="34" l="1"/>
  <c r="F50" i="34"/>
  <c r="D14" i="4"/>
  <c r="B2570" i="106" s="1"/>
  <c r="D2570" i="106" s="1"/>
  <c r="I129" i="29"/>
  <c r="B7037" i="106" s="1"/>
  <c r="D7037" i="106" s="1"/>
  <c r="H76" i="4"/>
  <c r="B3298" i="106" s="1"/>
  <c r="D3298" i="106" s="1"/>
  <c r="B2724" i="106"/>
  <c r="D2724" i="106" s="1"/>
  <c r="D24" i="37"/>
  <c r="B4270" i="106" s="1"/>
  <c r="D4270" i="106" s="1"/>
  <c r="F56" i="34"/>
  <c r="B7832" i="106" s="1"/>
  <c r="D7832" i="106" s="1"/>
  <c r="H365" i="29"/>
  <c r="B7242" i="106" s="1"/>
  <c r="D7242" i="106" s="1"/>
  <c r="D69" i="36"/>
  <c r="C342" i="29"/>
  <c r="B7216" i="106" s="1"/>
  <c r="D7216" i="106" s="1"/>
  <c r="B1274" i="106"/>
  <c r="D1274" i="106" s="1"/>
  <c r="B6995" i="106"/>
  <c r="D6995" i="106" s="1"/>
  <c r="B6289" i="106"/>
  <c r="D6289" i="106" s="1"/>
  <c r="F70" i="34"/>
  <c r="B2836" i="106"/>
  <c r="D2836" i="106" s="1"/>
  <c r="H33" i="118"/>
  <c r="H15" i="184"/>
  <c r="F34" i="34"/>
  <c r="B7826" i="106" s="1"/>
  <c r="D7826" i="106" s="1"/>
  <c r="B7705" i="106"/>
  <c r="D7705" i="106" s="1"/>
  <c r="E67" i="184"/>
  <c r="N6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C352" i="29"/>
  <c r="B3621" i="106" s="1"/>
  <c r="D3621" i="106" s="1"/>
  <c r="H12" i="184"/>
  <c r="J129" i="29"/>
  <c r="B7038" i="106" s="1"/>
  <c r="D7038" i="106" s="1"/>
  <c r="C129" i="29"/>
  <c r="B1225" i="106" s="1"/>
  <c r="D1225" i="106" s="1"/>
  <c r="D31" i="108"/>
  <c r="E16" i="184"/>
  <c r="H16" i="184" s="1"/>
  <c r="B7198" i="106"/>
  <c r="D7198" i="106" s="1"/>
  <c r="E65" i="184"/>
  <c r="N65" i="184" s="1"/>
  <c r="B7180" i="106"/>
  <c r="D7180" i="106" s="1"/>
  <c r="E63" i="184"/>
  <c r="N63" i="184" s="1"/>
  <c r="B7162" i="106"/>
  <c r="D7162" i="106" s="1"/>
  <c r="E61" i="184"/>
  <c r="N61" i="184" s="1"/>
  <c r="B7126" i="106"/>
  <c r="D7126" i="106" s="1"/>
  <c r="E57"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H77" i="4"/>
  <c r="B3299" i="106" s="1"/>
  <c r="D3299" i="106" s="1"/>
  <c r="B1328" i="106"/>
  <c r="D1328" i="106" s="1"/>
  <c r="H151" i="29"/>
  <c r="B1273" i="106" s="1"/>
  <c r="D1273" i="106" s="1"/>
  <c r="L114" i="29"/>
  <c r="B5527" i="106"/>
  <c r="D5527" i="106" s="1"/>
  <c r="D44" i="36"/>
  <c r="N23" i="3"/>
  <c r="B284" i="106" s="1"/>
  <c r="D284" i="106" s="1"/>
  <c r="J16" i="4"/>
  <c r="B6226" i="106" s="1"/>
  <c r="D6226" i="106" s="1"/>
  <c r="L16" i="11"/>
  <c r="B2061" i="106" s="1"/>
  <c r="D2061" i="106" s="1"/>
  <c r="B7215" i="106"/>
  <c r="D7215" i="106" s="1"/>
  <c r="B7220" i="106"/>
  <c r="D7220" i="106" s="1"/>
  <c r="F75" i="34"/>
  <c r="B7886" i="106" s="1"/>
  <c r="D7886" i="106" s="1"/>
  <c r="B7222" i="106"/>
  <c r="D7222" i="106" s="1"/>
  <c r="F76" i="34"/>
  <c r="B7887" i="106" s="1"/>
  <c r="D7887" i="106" s="1"/>
  <c r="N57" i="184"/>
  <c r="N68" i="184" s="1"/>
  <c r="E68" i="184"/>
  <c r="H19" i="184"/>
  <c r="L20" i="184" s="1"/>
  <c r="E19" i="184"/>
  <c r="E367" i="29"/>
  <c r="B3636" i="106" s="1"/>
  <c r="D3636" i="106" s="1"/>
  <c r="B3635" i="106"/>
  <c r="C151" i="29"/>
  <c r="B1226" i="106" s="1"/>
  <c r="D122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7" i="106" l="1"/>
  <c r="D6227" i="106" s="1"/>
  <c r="K17" i="4"/>
  <c r="B3575" i="106" s="1"/>
  <c r="D3575" i="106" s="1"/>
  <c r="B6223" i="106"/>
  <c r="D6223"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<sst xmlns="http://schemas.openxmlformats.org/spreadsheetml/2006/main" count="5465" uniqueCount="2194">
  <si>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</si>
  <si>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</si>
  <si>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</si>
  <si>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</si>
  <si>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</si>
  <si>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</si>
  <si>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</si>
  <si>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</si>
  <si>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</si>
  <si>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</si>
  <si>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</si>
  <si>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</si>
  <si>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</si>
  <si>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</si>
  <si>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</si>
  <si>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</si>
  <si>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</si>
  <si>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</si>
  <si>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</si>
  <si>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</si>
  <si>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</si>
  <si>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</si>
  <si>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</si>
  <si>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</si>
  <si>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</si>
  <si>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</si>
  <si>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</si>
  <si>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</si>
  <si>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</si>
  <si>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</si>
  <si>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</si>
  <si>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</si>
  <si>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</si>
  <si>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</si>
  <si>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</si>
  <si>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</si>
  <si>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</si>
  <si>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</si>
  <si>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</si>
  <si>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</si>
  <si>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</si>
  <si>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</si>
  <si>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</si>
  <si>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</si>
  <si>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</si>
  <si>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</si>
  <si>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</si>
  <si>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</si>
  <si>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</si>
  <si>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</si>
  <si>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</si>
  <si>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</si>
  <si>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</si>
  <si>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</si>
  <si>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</si>
  <si>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</si>
  <si>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</si>
  <si>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</si>
  <si>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</si>
  <si>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</si>
  <si>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</si>
  <si>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</si>
  <si>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</si>
  <si>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</si>
  <si>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</si>
  <si>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</si>
  <si>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</si>
  <si>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</si>
  <si>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</si>
  <si>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</si>
  <si>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</si>
  <si>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</si>
  <si>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</si>
  <si>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</si>
  <si>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</si>
  <si>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</si>
  <si>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</si>
  <si>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</si>
  <si>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</si>
  <si>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</si>
  <si>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</si>
  <si>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</si>
  <si>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</si>
  <si>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</si>
  <si>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</si>
  <si>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</si>
  <si>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</si>
  <si>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</si>
  <si>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</si>
  <si>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</si>
  <si>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</si>
  <si>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</si>
  <si>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</si>
  <si>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</si>
  <si>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</si>
  <si>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</si>
  <si>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</si>
  <si>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</si>
  <si>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</si>
  <si>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</si>
  <si>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</si>
  <si>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</si>
  <si>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</si>
  <si>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</si>
  <si>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</si>
  <si>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</si>
  <si>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</si>
  <si>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</si>
  <si>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</si>
  <si>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</si>
  <si>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</si>
  <si>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</si>
  <si>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</si>
  <si>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</si>
  <si>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</si>
  <si>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</si>
  <si>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</si>
  <si>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</si>
  <si>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</si>
  <si>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</si>
  <si>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</si>
  <si>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</si>
  <si>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</si>
  <si>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</si>
  <si>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</si>
  <si>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</si>
  <si>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</si>
  <si>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</si>
  <si>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</si>
  <si>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</si>
  <si>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</si>
  <si>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</si>
  <si>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</si>
  <si>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</si>
  <si>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</si>
  <si>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</si>
  <si>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</si>
  <si>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</si>
  <si>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</si>
  <si>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</si>
  <si>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</si>
  <si>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</si>
  <si>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</si>
  <si>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</si>
  <si>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</si>
  <si>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</si>
  <si>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</si>
  <si>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</si>
  <si>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</si>
  <si>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</si>
  <si>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</si>
  <si>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</si>
  <si>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</si>
  <si>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</si>
  <si>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</si>
  <si>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</si>
  <si>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</si>
  <si>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</si>
  <si>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</si>
  <si>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</si>
  <si>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</si>
  <si>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</si>
  <si>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</si>
  <si>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</si>
  <si>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</si>
  <si>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</si>
  <si>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</si>
  <si>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</si>
  <si>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</si>
  <si>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</si>
  <si>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</si>
  <si>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</si>
  <si>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</si>
  <si>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</si>
  <si>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</si>
  <si>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</si>
  <si>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</si>
  <si>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</si>
  <si>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</si>
  <si>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</si>
  <si>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</si>
  <si>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</si>
  <si>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</si>
  <si>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</si>
  <si>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</si>
  <si>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</si>
  <si>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</si>
  <si>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</si>
  <si>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</si>
  <si>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</si>
  <si>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</si>
  <si>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</si>
  <si>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</si>
  <si>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</si>
  <si>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</si>
  <si>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</si>
  <si>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</si>
  <si>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</si>
  <si>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</si>
  <si>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</si>
  <si>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</si>
  <si>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</si>
  <si>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</si>
  <si>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</si>
  <si>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</si>
  <si>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</si>
  <si>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</si>
  <si>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</si>
  <si>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</si>
  <si>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</si>
  <si>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</si>
  <si>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</si>
  <si>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</si>
  <si>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</si>
  <si>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</si>
  <si>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</si>
  <si>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</si>
  <si>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</si>
  <si>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</si>
  <si>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</si>
  <si>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</si>
  <si>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</si>
  <si>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</si>
  <si>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</si>
  <si>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</si>
  <si>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</si>
  <si>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</si>
  <si>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</si>
  <si>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</si>
  <si>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</si>
  <si>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</si>
  <si>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</si>
  <si>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</si>
  <si>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</si>
  <si>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</si>
  <si>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</si>
  <si>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</si>
  <si>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</si>
  <si>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</si>
  <si>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</si>
  <si>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</si>
  <si>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</si>
  <si>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</si>
  <si>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</si>
  <si>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</si>
  <si>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</si>
  <si>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</si>
  <si>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</si>
  <si>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</si>
  <si>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</si>
  <si>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</si>
  <si>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</si>
  <si>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</si>
  <si>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</si>
  <si>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</si>
  <si>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</si>
  <si>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</si>
  <si>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</si>
  <si>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</si>
  <si>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</si>
  <si>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</si>
  <si>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</si>
  <si>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</si>
  <si>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</si>
  <si>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</si>
  <si>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</si>
  <si>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</si>
  <si>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</si>
  <si>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</si>
  <si>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</si>
  <si>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</si>
  <si>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</si>
  <si>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</si>
  <si>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</si>
  <si>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</si>
  <si>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</si>
  <si>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</si>
  <si>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</si>
  <si>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</si>
  <si>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</si>
  <si>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</si>
  <si>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</si>
  <si>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</si>
  <si>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</si>
  <si>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</si>
  <si>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</si>
  <si>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</si>
  <si>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</si>
  <si>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</si>
  <si>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</si>
  <si>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</si>
  <si>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</si>
  <si>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</si>
  <si>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</si>
  <si>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</si>
  <si>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</si>
  <si>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</si>
  <si>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</si>
  <si>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</si>
  <si>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</si>
  <si>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</si>
  <si>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</si>
  <si>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</si>
  <si>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</si>
  <si>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</si>
  <si>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</si>
  <si>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</si>
  <si>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</si>
  <si>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</si>
  <si>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</si>
  <si>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</si>
  <si>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</si>
  <si>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</si>
  <si>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</si>
  <si>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</si>
  <si>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</si>
  <si>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</si>
  <si>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</si>
  <si>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</si>
  <si>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</si>
  <si>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</si>
  <si>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</si>
  <si>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</si>
  <si>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</si>
  <si>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</si>
  <si>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</si>
  <si>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</si>
  <si>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</si>
  <si>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</si>
  <si>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</si>
  <si>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</si>
  <si>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</si>
  <si>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</si>
  <si>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</si>
  <si>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</si>
  <si>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</si>
  <si>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</si>
  <si>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</si>
  <si>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</si>
  <si>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</si>
  <si>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</si>
  <si>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</si>
  <si>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</si>
  <si>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</si>
  <si>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</si>
  <si>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</si>
  <si>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</si>
  <si>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</si>
  <si>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</si>
  <si>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</si>
  <si>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</si>
  <si>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</si>
  <si>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</si>
  <si>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</si>
  <si>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</si>
  <si>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</si>
  <si>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</si>
  <si>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</si>
  <si>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</si>
  <si>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</si>
  <si>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</si>
  <si>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</si>
  <si>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</si>
  <si>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</si>
  <si>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</si>
  <si>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</si>
  <si>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</si>
  <si>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</si>
  <si>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</si>
  <si>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</si>
  <si>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</si>
  <si>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</si>
  <si>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</si>
  <si>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</si>
  <si>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</si>
  <si>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</si>
  <si>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</si>
  <si>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</si>
  <si>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</si>
  <si>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</si>
  <si>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</si>
  <si>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</si>
  <si>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</si>
  <si>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</si>
  <si>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</si>
  <si>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</si>
  <si>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</si>
  <si>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</si>
  <si>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</si>
  <si>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</si>
  <si>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</si>
  <si>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</si>
  <si>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</si>
  <si>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</si>
  <si>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</si>
  <si>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</si>
  <si>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</si>
  <si>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</si>
  <si>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</si>
  <si>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</si>
  <si>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</si>
  <si>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</si>
  <si>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</si>
  <si>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</si>
  <si>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</si>
  <si>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</si>
  <si>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</si>
  <si>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</si>
  <si>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</si>
  <si>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</si>
  <si>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</si>
  <si>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</si>
  <si>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</si>
  <si>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</si>
  <si>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</si>
  <si>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</si>
  <si>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</si>
  <si>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</si>
  <si>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</si>
  <si>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</si>
  <si>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</si>
  <si>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</si>
  <si>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</si>
  <si>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</si>
  <si>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</si>
  <si>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</si>
  <si>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</si>
  <si>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</si>
  <si>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</si>
  <si>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</si>
  <si>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</si>
  <si>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</si>
  <si>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</si>
  <si>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</si>
  <si>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</si>
  <si>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</si>
  <si>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</si>
  <si>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</si>
  <si>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</si>
  <si>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</si>
  <si>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</si>
  <si>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</si>
  <si>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</si>
  <si>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</si>
  <si>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</si>
  <si>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</si>
  <si>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</si>
  <si>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</si>
  <si>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</si>
  <si>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</si>
  <si>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</si>
  <si>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</si>
  <si>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</si>
  <si>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</si>
  <si>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</si>
  <si>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</si>
  <si>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</si>
  <si>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</si>
  <si>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</si>
  <si>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</si>
  <si>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</si>
  <si>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</si>
  <si>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</si>
  <si>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</si>
  <si>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</si>
  <si>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</si>
  <si>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</si>
  <si>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</si>
  <si>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</si>
  <si>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</si>
  <si>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</si>
  <si>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</si>
  <si>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</si>
  <si>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</si>
  <si>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</si>
  <si>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</si>
  <si>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</si>
  <si>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</si>
  <si>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</si>
  <si>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</si>
  <si>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</si>
  <si>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</si>
  <si>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</si>
  <si>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</si>
  <si>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</si>
  <si>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</si>
  <si>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</si>
  <si>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</si>
  <si>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</si>
  <si>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</si>
  <si>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</si>
  <si>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</si>
  <si>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</si>
  <si>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</si>
  <si>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</si>
  <si>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</si>
  <si>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</si>
  <si>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</si>
  <si>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</si>
  <si>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</si>
  <si>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</si>
  <si>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</si>
  <si>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</si>
  <si>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</si>
  <si>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</si>
  <si>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</si>
  <si>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</si>
  <si>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</si>
  <si>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</si>
  <si>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</si>
  <si>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</si>
  <si>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</si>
  <si>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</si>
  <si>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</si>
  <si>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</si>
  <si>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</si>
  <si>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</si>
  <si>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</si>
  <si>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</si>
  <si>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</si>
  <si>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</si>
  <si>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</si>
  <si>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</si>
  <si>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</si>
  <si>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</si>
  <si>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</si>
  <si>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</si>
  <si>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</si>
  <si>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</si>
  <si>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</si>
  <si>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</si>
  <si>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</si>
  <si>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</si>
  <si>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</si>
  <si>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</si>
  <si>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</si>
  <si>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</si>
  <si>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</si>
  <si>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</si>
  <si>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</si>
  <si>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</si>
  <si>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</si>
  <si>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</si>
  <si>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</si>
  <si>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</si>
  <si>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</si>
  <si>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</si>
  <si>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</si>
  <si>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</si>
  <si>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</si>
  <si>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</si>
  <si>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</si>
  <si>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</si>
  <si>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</si>
  <si>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</si>
  <si>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</si>
  <si>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</si>
  <si>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</si>
  <si>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</si>
  <si>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</si>
  <si>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</si>
  <si>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</si>
  <si>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</si>
  <si>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</si>
  <si>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</si>
  <si>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</si>
  <si>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</si>
  <si>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</si>
  <si>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</si>
  <si>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</si>
  <si>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</si>
  <si>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</si>
  <si>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</si>
  <si>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</si>
  <si>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</si>
  <si>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</si>
  <si>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</si>
  <si>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</si>
  <si>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</si>
  <si>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</si>
  <si>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</si>
  <si>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</si>
  <si>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</si>
  <si>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</si>
  <si>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</si>
  <si>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</si>
  <si>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</si>
  <si>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</si>
  <si>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</si>
  <si>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</si>
  <si>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</si>
  <si>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</si>
  <si>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</si>
  <si>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</si>
  <si>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</si>
  <si>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</si>
  <si>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</si>
  <si>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</si>
  <si>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</si>
  <si>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</si>
  <si>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</si>
  <si>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</si>
  <si>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</si>
  <si>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</si>
  <si>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</si>
  <si>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</si>
  <si>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</si>
  <si>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</si>
  <si>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</si>
  <si>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</si>
  <si>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</si>
  <si>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</si>
  <si>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</si>
  <si>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</si>
  <si>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</si>
  <si>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</si>
  <si>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</si>
  <si>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</si>
  <si>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</si>
  <si>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</si>
  <si>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</si>
  <si>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</si>
  <si>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</si>
  <si>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</si>
  <si>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</si>
  <si>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</si>
  <si>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</si>
  <si>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</si>
  <si>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</si>
  <si>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</si>
  <si>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</si>
  <si>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</si>
  <si>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</si>
  <si>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</si>
  <si>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</si>
  <si>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</si>
  <si>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</si>
  <si>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</si>
  <si>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</si>
  <si>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</si>
  <si>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</si>
  <si>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</si>
  <si>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</si>
  <si>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</si>
  <si>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</si>
  <si>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</si>
  <si>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</si>
  <si>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</si>
  <si>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</si>
  <si>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</si>
  <si>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</si>
  <si>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</si>
  <si>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</si>
  <si>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</si>
  <si>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</si>
  <si>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</si>
  <si>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</si>
  <si>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</si>
  <si>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</si>
  <si>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</si>
  <si>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</si>
  <si>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</si>
  <si>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</si>
  <si>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</si>
  <si>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</si>
  <si>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</si>
  <si>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</si>
  <si>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</si>
  <si>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</si>
  <si>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</si>
  <si>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</si>
  <si>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</si>
  <si>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</si>
  <si>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</si>
  <si>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</si>
  <si>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</si>
  <si>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</si>
  <si>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</si>
  <si>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</si>
  <si>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</si>
  <si>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</si>
  <si>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</si>
  <si>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</si>
  <si>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</si>
  <si>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</si>
  <si>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</si>
  <si>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</si>
  <si>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</si>
  <si>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</si>
  <si>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</si>
  <si>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</si>
  <si>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</si>
  <si>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</si>
  <si>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</si>
  <si>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</si>
  <si>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</si>
  <si>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</si>
  <si>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</si>
  <si>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</si>
  <si>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</si>
  <si>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</si>
  <si>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</si>
  <si>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</si>
  <si>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</si>
  <si>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</si>
  <si>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</si>
  <si>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</si>
  <si>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</si>
  <si>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</si>
  <si>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</si>
  <si>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</si>
  <si>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</si>
  <si>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</si>
  <si>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</si>
  <si>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</si>
  <si>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</si>
  <si>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</si>
  <si>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</si>
  <si>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</si>
  <si>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</si>
  <si>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</si>
  <si>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</si>
  <si>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</si>
  <si>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</si>
  <si>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</si>
  <si>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</si>
  <si>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</si>
  <si>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</si>
  <si>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</si>
  <si>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</si>
  <si>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</si>
  <si>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</si>
  <si>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</si>
  <si>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</si>
  <si>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</si>
  <si>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</si>
  <si>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</si>
  <si>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</si>
  <si>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</si>
  <si>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</si>
  <si>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</si>
  <si>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</si>
  <si>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</si>
  <si>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</si>
  <si>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</si>
  <si>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</si>
  <si>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</si>
  <si>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</si>
  <si>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</si>
  <si>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</si>
  <si>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</si>
  <si>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</si>
  <si>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</si>
  <si>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</si>
  <si>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</si>
  <si>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</si>
  <si>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</si>
  <si>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</si>
  <si>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</si>
  <si>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</si>
  <si>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</si>
  <si>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</si>
  <si>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</si>
  <si>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</si>
  <si>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</si>
  <si>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</si>
  <si>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</si>
  <si>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</si>
  <si>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</si>
  <si>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</si>
  <si>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</si>
  <si>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</si>
  <si>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</si>
  <si>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</si>
  <si>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</si>
  <si>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</si>
  <si>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</si>
  <si>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</si>
  <si>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</si>
  <si>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</si>
  <si>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</si>
  <si>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</si>
  <si>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</si>
  <si>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</si>
  <si>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</si>
  <si>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</si>
  <si>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</si>
  <si>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</si>
  <si>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</si>
  <si>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</si>
  <si>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</si>
  <si>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</si>
  <si>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</si>
  <si>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</si>
  <si>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</si>
  <si>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</si>
  <si>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</si>
  <si>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</si>
  <si>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</si>
  <si>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</si>
  <si>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</si>
  <si>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</si>
  <si>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</si>
  <si>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</si>
  <si>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</si>
  <si>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</si>
  <si>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</si>
  <si>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</si>
  <si>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</si>
  <si>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</si>
  <si>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</si>
  <si>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</si>
  <si>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</si>
  <si>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</si>
  <si>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</si>
  <si>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</si>
  <si>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</si>
  <si>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</si>
  <si>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</si>
  <si>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</si>
  <si>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</si>
  <si>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</si>
  <si>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</si>
  <si>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</si>
  <si>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</si>
  <si>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</si>
  <si>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</si>
  <si>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</si>
  <si>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</si>
  <si>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</si>
  <si>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</si>
  <si>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</si>
  <si>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</si>
  <si>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</si>
  <si>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</si>
  <si>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</si>
  <si>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</si>
  <si>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</si>
  <si>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</si>
  <si>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</si>
  <si>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</si>
  <si>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</si>
  <si>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</si>
  <si>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</si>
  <si>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</si>
  <si>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</si>
  <si>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</si>
  <si>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</si>
  <si>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</si>
  <si>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</si>
  <si>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</si>
  <si>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</si>
  <si>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</si>
  <si>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</si>
  <si>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</si>
  <si>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</si>
  <si>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</si>
  <si>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</si>
  <si>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</si>
  <si>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</si>
  <si>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</si>
  <si>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</si>
  <si>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</si>
  <si>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</si>
  <si>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</si>
  <si>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</si>
  <si>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</si>
  <si>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</si>
  <si>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</si>
  <si>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</si>
  <si>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</si>
  <si>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</si>
  <si>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</si>
  <si>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</si>
  <si>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</si>
  <si>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</si>
  <si>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</si>
  <si>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</si>
  <si>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</si>
  <si>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</si>
  <si>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</si>
  <si>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</si>
  <si>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</si>
  <si>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</si>
  <si>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</si>
  <si>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</si>
  <si>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</si>
  <si>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</si>
  <si>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</si>
  <si>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</si>
  <si>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</si>
  <si>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</si>
  <si>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</si>
  <si>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</si>
  <si>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</si>
  <si>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</si>
  <si>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</si>
  <si>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</si>
  <si>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</si>
  <si>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</si>
  <si>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</si>
  <si>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</si>
  <si>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</si>
  <si>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</si>
  <si>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</si>
  <si>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</si>
  <si>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</si>
  <si>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</si>
  <si>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</si>
  <si>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</si>
  <si>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</si>
  <si>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</si>
  <si>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</si>
  <si>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</si>
  <si>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</si>
  <si>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</si>
  <si>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</si>
  <si>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</si>
  <si>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</si>
  <si>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</si>
  <si>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</si>
  <si>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</si>
  <si>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</si>
  <si>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</si>
  <si>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</si>
  <si>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</si>
  <si>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</si>
  <si>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</si>
  <si>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</si>
  <si>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</si>
  <si>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</si>
  <si>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</si>
  <si>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</si>
  <si>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</si>
  <si>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</si>
  <si>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</si>
  <si>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</si>
  <si>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</si>
  <si>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</si>
  <si>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</si>
  <si>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</si>
  <si>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</si>
  <si>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</si>
  <si>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</si>
  <si>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</si>
  <si>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</si>
  <si>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</si>
  <si>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</si>
  <si>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</si>
  <si>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</si>
  <si>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</si>
  <si>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</si>
  <si>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</si>
  <si>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</si>
  <si>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</si>
  <si>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</si>
  <si>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</si>
  <si>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</si>
  <si>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</si>
  <si>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</si>
  <si>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</si>
  <si>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</si>
  <si>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</si>
  <si>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</si>
  <si>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</si>
  <si>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</si>
  <si>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</si>
  <si>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</si>
  <si>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</si>
  <si>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</si>
  <si>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</si>
  <si>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</si>
  <si>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</si>
  <si>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</si>
  <si>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</si>
  <si>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</si>
  <si>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</si>
  <si>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</si>
  <si>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</si>
  <si>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</si>
  <si>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</si>
  <si>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</si>
  <si>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</si>
  <si>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</si>
  <si>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</si>
  <si>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</si>
  <si>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</si>
  <si>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</si>
  <si>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</si>
  <si>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</si>
  <si>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</si>
  <si>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</si>
  <si>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</si>
  <si>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</si>
  <si>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</si>
  <si>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</si>
  <si>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</si>
  <si>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</si>
  <si>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</si>
  <si>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</si>
  <si>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</si>
  <si>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</si>
  <si>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</si>
  <si>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</si>
  <si>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</si>
  <si>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</si>
  <si>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</si>
  <si>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</si>
  <si>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</si>
  <si>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</si>
  <si>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</si>
  <si>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</si>
  <si>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</si>
  <si>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</si>
  <si>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</si>
  <si>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</si>
  <si>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</si>
  <si>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</si>
  <si>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</si>
  <si>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</si>
  <si>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</si>
  <si>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</si>
  <si>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</si>
  <si>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</si>
  <si>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</si>
  <si>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</si>
  <si>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</si>
  <si>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</si>
  <si>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</si>
  <si>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</si>
  <si>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</si>
  <si>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</si>
  <si>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</si>
  <si>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</si>
  <si>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</si>
  <si>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</si>
  <si>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</si>
  <si>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</si>
  <si>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</si>
  <si>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</si>
  <si>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</si>
  <si>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</si>
  <si>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</si>
  <si>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</si>
  <si>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</si>
  <si>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</si>
  <si>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</si>
  <si>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</si>
  <si>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</si>
  <si>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</si>
  <si>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</si>
  <si>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</si>
  <si>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</si>
  <si>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</si>
  <si>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</si>
  <si>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</si>
  <si>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</si>
  <si>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</si>
  <si>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</si>
  <si>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</si>
  <si>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</si>
  <si>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</si>
  <si>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</si>
  <si>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</si>
  <si>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</si>
  <si>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</si>
  <si>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</si>
  <si>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</si>
  <si>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</si>
  <si>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</si>
  <si>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</si>
  <si>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</si>
  <si>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</si>
  <si>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</si>
  <si>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</si>
  <si>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</si>
  <si>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</si>
  <si>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</si>
  <si>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</si>
  <si>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</si>
  <si>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</si>
  <si>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</si>
  <si>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</si>
  <si>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</si>
  <si>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</si>
  <si>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</si>
  <si>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</si>
  <si>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</si>
  <si>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</si>
  <si>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</si>
  <si>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</si>
  <si>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</si>
  <si>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</si>
  <si>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</si>
  <si>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</si>
  <si>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</si>
  <si>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</si>
  <si>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</si>
  <si>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</si>
  <si>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</si>
  <si>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</si>
  <si>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</si>
  <si>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</si>
  <si>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</si>
  <si>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</si>
  <si>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</si>
  <si>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</si>
  <si>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</si>
  <si>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</si>
  <si>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</si>
  <si>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</si>
  <si>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</si>
  <si>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</si>
  <si>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</si>
  <si>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</si>
  <si>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</si>
  <si>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</si>
  <si>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</si>
  <si>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</si>
  <si>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</si>
  <si>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</si>
  <si>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</si>
  <si>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</si>
  <si>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</si>
  <si>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</si>
  <si>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</si>
  <si>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</si>
  <si>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</si>
  <si>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</si>
  <si>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</si>
  <si>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</si>
  <si>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</si>
  <si>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</si>
  <si>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</si>
  <si>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</si>
  <si>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</si>
  <si>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</si>
  <si>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</si>
  <si>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</si>
  <si>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</si>
  <si>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</si>
  <si>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</si>
  <si>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</si>
  <si>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</si>
  <si>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</si>
  <si>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</si>
  <si>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</si>
  <si>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</si>
  <si>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</si>
  <si>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</si>
  <si>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</si>
  <si>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</si>
  <si>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</si>
  <si>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</si>
  <si>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</si>
  <si>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</si>
  <si>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</si>
  <si>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</si>
  <si>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</si>
  <si>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</si>
  <si>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</si>
  <si>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</si>
  <si>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</si>
  <si>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</si>
  <si>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</si>
  <si>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</si>
  <si>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</si>
  <si>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</si>
  <si>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</si>
  <si>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</si>
  <si>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</si>
  <si>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</si>
  <si>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</si>
  <si>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</si>
  <si>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</si>
  <si>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</si>
  <si>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</si>
  <si>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</si>
  <si>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</si>
  <si>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</si>
  <si>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</si>
  <si>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</si>
  <si>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</si>
  <si>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</si>
  <si>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</si>
  <si>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</si>
  <si>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</si>
  <si>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</si>
  <si>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</si>
  <si>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</si>
  <si>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</si>
  <si>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</si>
  <si>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</si>
  <si>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</si>
  <si>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</si>
  <si>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</si>
  <si>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</si>
  <si>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</si>
  <si>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</si>
  <si>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</si>
  <si>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</si>
  <si>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</si>
  <si>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</si>
  <si>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</si>
  <si>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</si>
  <si>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</si>
  <si>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</si>
  <si>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</si>
  <si>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</si>
  <si>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</si>
  <si>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</si>
  <si>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</si>
  <si>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</si>
  <si>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</si>
  <si>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</si>
  <si>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</si>
  <si>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</si>
  <si>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</si>
  <si>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</si>
  <si>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</si>
  <si>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</si>
  <si>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</si>
  <si>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</si>
  <si>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</si>
  <si>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</si>
  <si>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</si>
  <si>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</si>
  <si>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</si>
  <si>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</si>
  <si>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</si>
  <si>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</si>
  <si>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</si>
  <si>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</si>
  <si>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</si>
  <si>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</si>
  <si>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</si>
  <si>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</si>
  <si>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</si>
  <si>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</si>
  <si>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</si>
  <si>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</si>
  <si>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</si>
  <si>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</si>
  <si>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</si>
  <si>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</si>
  <si>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</si>
  <si>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</si>
  <si>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</si>
  <si>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</si>
  <si>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</si>
  <si>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</si>
  <si>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</si>
  <si>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</si>
  <si>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</si>
  <si>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</si>
  <si>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</si>
  <si>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</si>
  <si>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</si>
  <si>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</si>
  <si>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</si>
  <si>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</si>
  <si>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</si>
  <si>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</si>
  <si>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</si>
  <si>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</si>
  <si>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</si>
  <si>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</si>
  <si>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</si>
  <si>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</si>
  <si>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</si>
  <si>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</si>
  <si>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</si>
  <si>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</si>
  <si>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</si>
  <si>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</si>
  <si>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</si>
  <si>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</si>
  <si>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</si>
  <si>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</si>
  <si>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</si>
  <si>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</si>
  <si>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</si>
  <si>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</si>
  <si>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</si>
  <si>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</si>
  <si>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</si>
  <si>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</si>
  <si>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</si>
  <si>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</si>
  <si>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</si>
  <si>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</si>
  <si>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</si>
  <si>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</si>
  <si>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</si>
  <si>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</si>
  <si>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</si>
  <si>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</si>
  <si>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</si>
  <si>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</si>
  <si>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</si>
  <si>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</si>
  <si>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</si>
  <si>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</si>
  <si>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</si>
  <si>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</si>
  <si>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</si>
  <si>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</si>
  <si>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</si>
  <si>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</si>
  <si>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</si>
  <si>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</si>
  <si>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</si>
  <si>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</si>
  <si>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</si>
  <si>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</si>
  <si>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</si>
  <si>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</si>
  <si>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</si>
  <si>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</si>
  <si>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</si>
  <si>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</si>
  <si>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</si>
  <si>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</si>
  <si>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</si>
  <si>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</si>
  <si>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</si>
  <si>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</si>
  <si>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</si>
  <si>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</si>
  <si>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</si>
  <si>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</si>
  <si>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</si>
  <si>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</si>
  <si>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</si>
  <si>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</si>
  <si>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</si>
  <si>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</si>
  <si>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</si>
  <si>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</si>
  <si>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</si>
  <si>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</si>
  <si>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</si>
  <si>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</si>
  <si>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</si>
  <si>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</si>
  <si>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</si>
  <si>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</si>
  <si>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</si>
  <si>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</si>
  <si>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</si>
  <si>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</si>
  <si>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</si>
  <si>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</si>
  <si>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</si>
  <si>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</si>
  <si>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</si>
  <si>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</si>
  <si>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</si>
  <si>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</si>
  <si>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</si>
  <si>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</si>
  <si>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</si>
  <si>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</si>
  <si>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</si>
  <si>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</si>
  <si>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</si>
  <si>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</si>
  <si>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</si>
  <si>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</si>
  <si>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</si>
  <si>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</si>
  <si>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</si>
  <si>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</si>
  <si>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</si>
  <si>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</si>
  <si>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</si>
  <si>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</si>
  <si>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</si>
  <si>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</si>
  <si>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</si>
  <si>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</si>
  <si>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</si>
  <si>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</si>
  <si>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</si>
  <si>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</si>
  <si>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</si>
  <si>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</si>
  <si>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</si>
  <si>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</si>
  <si>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</si>
  <si>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</si>
  <si>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</si>
  <si>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</si>
  <si>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</si>
  <si>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</si>
  <si>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</si>
  <si>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</si>
  <si>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</si>
  <si>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</si>
  <si>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</si>
  <si>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</si>
  <si>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</si>
  <si>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</si>
  <si>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</si>
  <si>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</si>
  <si>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</si>
  <si>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</si>
  <si>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</si>
  <si>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</si>
  <si>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</si>
  <si>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</si>
  <si>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</si>
  <si>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</si>
  <si>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</si>
  <si>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</si>
  <si>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</si>
  <si>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</si>
  <si>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</si>
  <si>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</si>
  <si>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</si>
  <si>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</si>
  <si>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</si>
  <si>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</si>
  <si>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</si>
  <si>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</si>
  <si>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</si>
  <si>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</si>
  <si>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</si>
  <si>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</si>
  <si>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</si>
  <si>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</si>
  <si>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</si>
  <si>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</si>
  <si>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</si>
  <si>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</si>
  <si>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</si>
  <si>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</si>
  <si>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</si>
  <si>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</si>
  <si>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</si>
  <si>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</si>
  <si>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</si>
  <si>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</si>
  <si>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</si>
  <si>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</si>
  <si>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</si>
  <si>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</si>
  <si>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</si>
  <si>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</si>
  <si>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</si>
  <si>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</si>
  <si>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</si>
  <si>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</si>
  <si>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</si>
  <si>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</si>
  <si>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</si>
  <si>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</si>
  <si>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</si>
  <si>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</si>
  <si>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</si>
  <si>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</si>
  <si>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</si>
  <si>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</si>
  <si>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</si>
  <si>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</si>
  <si>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</si>
  <si>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</si>
  <si>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</si>
  <si>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</si>
  <si>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</si>
  <si>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</si>
  <si>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</si>
  <si>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</si>
  <si>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</si>
  <si>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</si>
  <si>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</si>
  <si>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</si>
  <si>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</si>
  <si>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</si>
  <si>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</si>
  <si>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</si>
  <si>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</si>
  <si>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</si>
  <si>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</si>
  <si>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</si>
  <si>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</si>
  <si>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</si>
  <si>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</si>
  <si>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</si>
  <si>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</si>
  <si>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</si>
  <si>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</si>
  <si>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</si>
  <si>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</si>
  <si>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</si>
  <si>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</si>
  <si>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</si>
  <si>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</si>
  <si>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</si>
  <si>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</si>
  <si>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</si>
  <si>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</si>
  <si>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</si>
  <si>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</si>
  <si>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</si>
  <si>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</si>
  <si>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</si>
  <si>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</si>
  <si>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</si>
  <si>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</si>
  <si>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</si>
  <si>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</si>
  <si>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</si>
  <si>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</si>
  <si>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</si>
  <si>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</si>
  <si>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</si>
  <si>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</si>
  <si>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</si>
  <si>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</si>
  <si>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</si>
  <si>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</si>
  <si>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</si>
  <si>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</si>
  <si>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</si>
  <si>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</si>
  <si>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</si>
  <si>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</si>
  <si>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</si>
  <si>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</si>
  <si>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</si>
  <si>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</si>
  <si>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</si>
  <si>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</si>
  <si>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</si>
  <si>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</si>
  <si>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</si>
  <si>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</si>
  <si>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</si>
  <si>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</si>
  <si>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</si>
  <si>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</si>
  <si>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</si>
  <si>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</si>
  <si>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</si>
  <si>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</si>
  <si>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</si>
  <si>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</si>
  <si>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</si>
  <si>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</si>
  <si>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</si>
  <si>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</si>
  <si>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</si>
  <si>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</si>
  <si>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</si>
  <si>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</si>
  <si>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</si>
  <si>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</si>
  <si>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</si>
  <si>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</si>
  <si>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</si>
  <si>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</si>
  <si>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</si>
  <si>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</si>
  <si>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</si>
  <si>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</si>
  <si>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</si>
  <si>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</si>
  <si>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</si>
  <si>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</si>
  <si>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</si>
  <si>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</si>
  <si>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</si>
  <si>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</si>
  <si>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</si>
  <si>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</si>
  <si>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</si>
  <si>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</si>
  <si>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</si>
  <si>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</si>
  <si>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</si>
  <si>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</si>
  <si>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</si>
  <si>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</si>
  <si>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</si>
  <si>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</si>
  <si>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</si>
  <si>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</si>
  <si>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</si>
  <si>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</si>
  <si>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</si>
  <si>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</si>
  <si>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</si>
  <si>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</si>
  <si>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</si>
  <si>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</si>
  <si>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</si>
  <si>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</si>
  <si>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</si>
  <si>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</si>
  <si>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</si>
  <si>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</si>
  <si>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</si>
  <si>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</si>
  <si>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</si>
  <si>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</si>
  <si>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</si>
  <si>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</si>
  <si>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</si>
  <si>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</si>
  <si>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</si>
  <si>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</si>
  <si>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</si>
  <si>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</si>
  <si>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</si>
  <si>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</si>
  <si>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</si>
  <si>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</si>
  <si>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</si>
  <si>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</si>
  <si>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</si>
  <si>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</si>
  <si>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</si>
  <si>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</si>
  <si>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</si>
  <si>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</si>
  <si>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</si>
  <si>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</si>
  <si>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</si>
  <si>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</si>
  <si>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</si>
  <si>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</si>
  <si>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</si>
  <si>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</si>
  <si>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</si>
  <si>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</si>
  <si>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</si>
  <si>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</si>
  <si>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</si>
  <si>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</si>
  <si>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</si>
  <si>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</si>
  <si>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</si>
  <si>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</si>
  <si>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</si>
  <si>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</si>
  <si>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</si>
  <si>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</si>
  <si>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</si>
  <si>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</si>
  <si>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</si>
  <si>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</si>
  <si>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</si>
  <si>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</si>
  <si>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</si>
  <si>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</si>
  <si>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</si>
  <si>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</si>
  <si>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</si>
  <si>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</si>
  <si>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</si>
  <si>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</si>
  <si>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</si>
  <si>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</si>
  <si>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</si>
  <si>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</si>
  <si>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</si>
  <si>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</si>
  <si>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</si>
  <si>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</si>
  <si>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</si>
  <si>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</si>
  <si>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</si>
  <si>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</si>
  <si>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</si>
  <si>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</si>
  <si>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</si>
  <si>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</si>
  <si>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</si>
  <si>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</si>
  <si>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</si>
  <si>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</si>
  <si>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</si>
  <si>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</si>
  <si>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</si>
  <si>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</si>
  <si>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</si>
  <si>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</si>
  <si>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</si>
  <si>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</si>
  <si>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</si>
  <si>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</si>
  <si>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</si>
  <si>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</si>
  <si>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</si>
  <si>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</si>
  <si>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</si>
  <si>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</si>
  <si>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</si>
  <si>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</si>
  <si>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</si>
  <si>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</si>
  <si>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</si>
  <si>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</si>
  <si>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</si>
  <si>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</si>
  <si>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</si>
  <si>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</si>
  <si>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</si>
  <si>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</si>
  <si>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</si>
  <si>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</si>
  <si>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</si>
  <si>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</si>
  <si>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</si>
  <si>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</si>
  <si>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</si>
  <si>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</si>
  <si>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</si>
  <si>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</si>
  <si>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</si>
  <si>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</si>
  <si>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</si>
  <si>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</si>
  <si>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</si>
  <si>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</si>
  <si>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</si>
  <si>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</si>
  <si>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</si>
  <si>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</si>
  <si>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</si>
  <si>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</si>
  <si>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</si>
  <si>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</si>
  <si>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</si>
  <si>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</si>
  <si>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</si>
  <si>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</si>
  <si>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</si>
  <si>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</si>
  <si>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</si>
  <si>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</si>
  <si>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</si>
  <si>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</si>
  <si>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</si>
  <si>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</si>
  <si>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</si>
  <si>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</si>
  <si>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</si>
  <si>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</si>
  <si>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</si>
  <si>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</si>
  <si>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</si>
  <si>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</si>
  <si>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</si>
  <si>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</si>
  <si>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</si>
  <si>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</si>
  <si>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</si>
  <si>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</si>
  <si>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</si>
  <si>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</si>
  <si>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</si>
  <si>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</si>
  <si>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</si>
  <si>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</si>
  <si>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</si>
  <si>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</si>
  <si>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</si>
  <si>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</si>
  <si>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</si>
  <si>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</si>
  <si>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</si>
  <si>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</si>
  <si>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</si>
  <si>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</si>
  <si>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</si>
  <si>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</si>
  <si>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</si>
  <si>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</si>
  <si>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</si>
  <si>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</si>
  <si>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</si>
  <si>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</si>
  <si>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</si>
  <si>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</si>
  <si>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</si>
  <si>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</si>
  <si>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</si>
  <si>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</si>
  <si>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</si>
  <si>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</si>
  <si>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</si>
  <si>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</si>
  <si>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</si>
  <si>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</si>
  <si>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</si>
  <si>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</si>
  <si>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</si>
  <si>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</si>
  <si>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</si>
  <si>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</si>
  <si>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</si>
  <si>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</si>
  <si>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</si>
  <si>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</si>
  <si>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</si>
  <si>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</si>
  <si>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</si>
  <si>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</si>
  <si>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</si>
  <si>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</si>
  <si>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</si>
  <si>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</si>
  <si>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</si>
  <si>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</si>
  <si>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</si>
  <si>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</si>
  <si>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</si>
  <si>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</si>
  <si>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</si>
  <si>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</si>
  <si>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</si>
  <si>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</si>
  <si>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</si>
  <si>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</si>
  <si>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</si>
  <si>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</si>
  <si>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</si>
  <si>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</si>
  <si>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</si>
  <si>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</si>
  <si>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</si>
  <si>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</si>
  <si>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</si>
  <si>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</si>
  <si>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</si>
  <si>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</si>
  <si>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</si>
  <si>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</si>
  <si>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</si>
  <si>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</si>
  <si>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</si>
  <si>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</si>
  <si>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</si>
  <si>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</si>
  <si>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</si>
  <si>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</si>
  <si>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</si>
  <si>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</si>
  <si>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</si>
  <si>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</si>
  <si>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</si>
  <si>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</si>
  <si>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</si>
  <si>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</si>
  <si>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</si>
  <si>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</si>
  <si>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</si>
  <si>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</si>
  <si>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</si>
  <si>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</si>
  <si>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</si>
  <si>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</si>
  <si>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</si>
  <si>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</si>
  <si>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</si>
  <si>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</si>
  <si>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</si>
  <si>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</si>
  <si>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</si>
  <si>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</si>
  <si>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</si>
  <si>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</si>
  <si>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</si>
  <si>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</si>
  <si>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</si>
  <si>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</si>
  <si>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</si>
  <si>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</si>
  <si>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</si>
  <si>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</si>
  <si>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</si>
  <si>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</si>
  <si>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</si>
  <si>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</si>
  <si>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</si>
  <si>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</si>
  <si>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</si>
  <si>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</si>
  <si>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</si>
  <si>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</si>
  <si>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</si>
  <si>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</si>
  <si>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</si>
  <si>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</si>
  <si>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</si>
  <si>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</si>
  <si>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</si>
  <si>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</si>
  <si>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</si>
  <si>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</si>
  <si>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</si>
  <si>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</si>
  <si>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</si>
  <si>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</si>
  <si>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</si>
  <si>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</si>
  <si>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</si>
  <si>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</si>
  <si>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</si>
  <si>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</si>
  <si>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</si>
  <si>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</si>
  <si>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</si>
  <si>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</si>
  <si>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</si>
  <si>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</si>
  <si>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</si>
  <si>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</si>
  <si>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</si>
  <si>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</si>
  <si>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</si>
  <si>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</si>
  <si>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</si>
  <si>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</si>
  <si>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</si>
  <si>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</si>
  <si>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</si>
  <si>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</si>
  <si>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</si>
  <si>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</si>
  <si>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</si>
  <si>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</si>
  <si>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</si>
  <si>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</si>
  <si>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</si>
  <si>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</si>
  <si>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</si>
  <si>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</si>
  <si>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</si>
  <si>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</si>
  <si>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</si>
  <si>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</si>
  <si>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</si>
  <si>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</si>
  <si>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</si>
  <si>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</si>
  <si>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</si>
  <si>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</si>
  <si>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</si>
  <si>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</si>
  <si>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</si>
  <si>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</si>
  <si>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</si>
  <si>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</si>
  <si>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</si>
  <si>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</si>
  <si>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</si>
  <si>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</si>
  <si>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</si>
  <si>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</si>
  <si>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</si>
  <si>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</si>
  <si>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</si>
  <si>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</si>
  <si>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</si>
  <si>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</si>
  <si>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</si>
  <si>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</si>
  <si>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</si>
  <si>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</si>
  <si>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</si>
  <si>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</si>
  <si>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</si>
  <si>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</si>
  <si>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</si>
  <si>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</si>
  <si>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</si>
  <si>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</si>
  <si>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</si>
  <si>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</si>
  <si>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</si>
  <si>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</si>
  <si>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</si>
  <si>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</si>
  <si>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</si>
  <si>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</si>
  <si>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</si>
  <si>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</si>
  <si>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</si>
  <si>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</si>
  <si>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</si>
  <si>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</si>
  <si>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</si>
  <si>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</si>
  <si>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</si>
  <si>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</si>
  <si>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</si>
  <si>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</si>
  <si>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</si>
  <si>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</si>
  <si>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</si>
  <si>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</si>
  <si>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</si>
  <si>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</si>
  <si>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</si>
  <si>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</si>
  <si>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</si>
  <si>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</si>
  <si>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</si>
  <si>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</si>
  <si>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</si>
  <si>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</si>
  <si>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</si>
  <si>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</si>
  <si>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</si>
  <si>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</si>
  <si>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</si>
  <si>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</si>
  <si>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</si>
  <si>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</si>
  <si>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</si>
  <si>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</si>
  <si>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</si>
  <si>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</si>
  <si>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</si>
  <si>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</si>
  <si>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</si>
  <si>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</si>
  <si>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</si>
  <si>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</si>
  <si>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</si>
  <si>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</si>
  <si>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</si>
  <si>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</si>
  <si>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</si>
  <si>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</si>
  <si>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</si>
  <si>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</si>
  <si>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</si>
  <si>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</si>
  <si>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</si>
  <si>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</si>
  <si>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</si>
  <si>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</si>
  <si>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</si>
  <si>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</si>
  <si>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</si>
  <si>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</si>
  <si>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KNOX</t>
  </si>
  <si>
    <t>809 EAST MAIN STREET</t>
  </si>
  <si>
    <t xml:space="preserve">KNOXVILLE </t>
  </si>
  <si>
    <t>X</t>
  </si>
  <si>
    <t>joeburgess@bluebullets.org</t>
  </si>
  <si>
    <t>JOE BURGESS, JR</t>
  </si>
  <si>
    <t>309-289-2328</t>
  </si>
  <si>
    <t>309-289-9614</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</si>
  <si>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</si>
  <si>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</si>
  <si>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</si>
  <si>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</si>
  <si>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</si>
  <si>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</si>
  <si>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</si>
  <si>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</si>
  <si>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</si>
  <si>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</si>
  <si>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</si>
  <si>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</si>
  <si>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</si>
  <si>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This amount includes $ 7,090,000 of General Obligation Bonds (Alternative Revenue Bonds) debt.  These bonds will not be repaid with levied tax monies and should not be used in calculating the District's legal debt margin.  The debt will be paid off with County School Facility Occupation Tax proceeds, not levied tax monies.</t>
  </si>
  <si>
    <t>Blucker, Kneer &amp; Associates, Ltd.</t>
  </si>
  <si>
    <t>Western Area Purchasing</t>
  </si>
  <si>
    <t>Prairie State Insurance Cooperative</t>
  </si>
  <si>
    <t>Knox-Warren Special Education Cooperative</t>
  </si>
  <si>
    <t>Delabar / Carl Sandburg College</t>
  </si>
  <si>
    <t>2011 G.O. DEBT CERTIFICATES</t>
  </si>
  <si>
    <t>G.O. DEBT CERTIFICATES</t>
  </si>
  <si>
    <t>2012 G.O. ALTERNATIVE REVENUE SOURCE</t>
  </si>
  <si>
    <t>2014 G.O. FUNDING/REFUNDING BONDS</t>
  </si>
  <si>
    <t>2017 G.O. REFUNDING SCHOOL BONDS</t>
  </si>
  <si>
    <t>G.O. Alterative Revenue Source-Co Facility tax</t>
  </si>
  <si>
    <t>None</t>
  </si>
  <si>
    <t>Constellation New Energy / Engie Energy / Nextera Energy</t>
  </si>
  <si>
    <t>Education Fund</t>
  </si>
  <si>
    <t>page 10-Acct #1829 - $3000 sales from PE uniforms</t>
  </si>
  <si>
    <t>page 11-Acct #1993-  $1180 HS Parking lot Fees</t>
  </si>
  <si>
    <t>page 11-Acct #1999-  $3172 Knoxville Community Foundation Mini Grant</t>
  </si>
  <si>
    <t>page 11-Acct #3299-  $14,419 os Ag supply funding.</t>
  </si>
  <si>
    <t>page 14-Acct #4998 - $5418 Healthcare and Family Services</t>
  </si>
  <si>
    <t>page 15-Acct #2190 - $1760 Salary for Crossing Guards</t>
  </si>
  <si>
    <t>Debt Service Fund</t>
  </si>
  <si>
    <t>page 18-Acct #5400 - $1500 is debt agent charges</t>
  </si>
  <si>
    <t>page 11-Acct #1999 - $28,377 is bus rentals</t>
  </si>
  <si>
    <t>Page 25- Schedule of Restricted Local Tax Levies and Selected Revenue Sources</t>
  </si>
  <si>
    <t>Debt Service Other - $1500 is debt agent charges</t>
  </si>
  <si>
    <t>Duties of the school district personnel are to be segregrated to reduce the risk of fraud so that no one individual controls all key aspects of a transaction.  By doing this, the district ensures reliable financial reporting, effective operations, and compliance reviews accounting processes.</t>
  </si>
  <si>
    <t>The District Bookkeeper has substanital control over key aspects of the transactions and events within the internal control system.  Duties have been segregated as much as possible due to the size of the available staff.  The Superintentent and the Board of Education reviews accounting processes.</t>
  </si>
  <si>
    <t>The above condition is an ongoing issue for the school district.</t>
  </si>
  <si>
    <t>Transactions could be altered by District personnel in error or in an effort to commit fraud.</t>
  </si>
  <si>
    <t>The number of personnel performing accounting functions limit the ability of the district to have adequate segregation of duties over accounting transactions.</t>
  </si>
  <si>
    <t>This type of weakness is common among school districts of this size and number of employees.  The findings could be eliminated by hiring additional staff and separating accounting duties.  However, this is not practical under current budget constraints.</t>
  </si>
  <si>
    <t>This is an ongoing issue that will be continually monitored through review of financial information by the Superintendent and the Board of Education including development of additional segregation of duties among existing staff.</t>
  </si>
  <si>
    <t>Financial Statements are the responsibiltiey of the client and should be prepared by them including footnotes.</t>
  </si>
  <si>
    <t>The District does not have an internal control system available  or the personnel with the needed expertise and knowledge to prepare the financial statements.  The auditors draft the financial statements and notes.  The district's management reviews the draft financial statements.</t>
  </si>
  <si>
    <t>Management or employees in the normal course of performing their assigned functions may not prevent or detect financial statement misstatement in a timely manner.</t>
  </si>
  <si>
    <t>The District has no one with the necessary experise to prepare the financial statements and footsnotes.</t>
  </si>
  <si>
    <t>The District should retain an employee capable of preparing the financial statements and required footnotes.</t>
  </si>
  <si>
    <t>Due to the size of the District, it is the decision of management to accept this deficiency in light of the costs and other consideration.</t>
  </si>
  <si>
    <t>Per Illinois Compiled Statutes, total fund expenditures may not legally exceed the District's budgeted amounts.</t>
  </si>
  <si>
    <t>For the year ending June 30, 2020 actual expenditures for the Operation and Maintenance fund and Tort funds exceeded the budget.</t>
  </si>
  <si>
    <t>The approved budget established the authorized expenditures limitation in each fund.</t>
  </si>
  <si>
    <t>Actual expenditures exceeded the budget in the above named funds.</t>
  </si>
  <si>
    <t>Actual expenditures exceeded the budgeted amounts for the year.</t>
  </si>
  <si>
    <t>A closer review of expenditures needs to be maintained and reflected in the amended budget.</t>
  </si>
  <si>
    <t xml:space="preserve">The District will implement a better monitoring system between the budget and actual expenditures to ensure more oversight. </t>
  </si>
  <si>
    <t>2020-001</t>
  </si>
  <si>
    <t>Lack of Segregation of Duties</t>
  </si>
  <si>
    <t>Repeating Finding- Corrective Action is not practical</t>
  </si>
  <si>
    <t>in the current ecomonic times.</t>
  </si>
  <si>
    <t>2020-002</t>
  </si>
  <si>
    <t xml:space="preserve">Preparation of Financial Statements and </t>
  </si>
  <si>
    <t>Footnotes</t>
  </si>
  <si>
    <t>2020-003</t>
  </si>
  <si>
    <t>Expenditures in excess of Budget amounts</t>
  </si>
  <si>
    <t>Repeating Finding- Corrective Action was implemented</t>
  </si>
  <si>
    <t>resulting in a reduction in the excess of expenditures</t>
  </si>
  <si>
    <t>over budget.</t>
  </si>
  <si>
    <t>Unmodified</t>
  </si>
  <si>
    <t>U.S Department of Agriculture:</t>
  </si>
  <si>
    <t xml:space="preserve">  Flow-Through From Illinos State Board of Education</t>
  </si>
  <si>
    <t xml:space="preserve">    Child Nutrition Cluster:</t>
  </si>
  <si>
    <t>2019-4210</t>
  </si>
  <si>
    <t>n/a</t>
  </si>
  <si>
    <t>2020-4210</t>
  </si>
  <si>
    <t>2020-4999</t>
  </si>
  <si>
    <t xml:space="preserve">                            Total CFDA 10.555</t>
  </si>
  <si>
    <t>2019-4215</t>
  </si>
  <si>
    <t>2020-4215</t>
  </si>
  <si>
    <t xml:space="preserve">                            Total CFDA 10.556</t>
  </si>
  <si>
    <t>2019-4220</t>
  </si>
  <si>
    <t>2020-4220</t>
  </si>
  <si>
    <t xml:space="preserve">                            Total CFDA 10.553</t>
  </si>
  <si>
    <t>2020-4225</t>
  </si>
  <si>
    <t>TOTAL U.S. Department of Agriculture</t>
  </si>
  <si>
    <t>U.S. Department of Education</t>
  </si>
  <si>
    <t xml:space="preserve">   Title I- Low Income</t>
  </si>
  <si>
    <t>84.010A</t>
  </si>
  <si>
    <t>2019-4300</t>
  </si>
  <si>
    <t>2020-4300</t>
  </si>
  <si>
    <t xml:space="preserve">   Title I- School Improvement &amp; Accountability</t>
  </si>
  <si>
    <t>2020-4331</t>
  </si>
  <si>
    <t>2019-4331</t>
  </si>
  <si>
    <t>84.424A</t>
  </si>
  <si>
    <t xml:space="preserve">                            Total CFDA 84.010A</t>
  </si>
  <si>
    <t xml:space="preserve">                            Total CFDA 84.424A</t>
  </si>
  <si>
    <t xml:space="preserve">   Special Education Cluster:</t>
  </si>
  <si>
    <t>84.027A</t>
  </si>
  <si>
    <t>2019-4625-XC</t>
  </si>
  <si>
    <t>2020-4620-00</t>
  </si>
  <si>
    <t xml:space="preserve">                            Total CFDA 84.027A</t>
  </si>
  <si>
    <t>84.173A</t>
  </si>
  <si>
    <t>2020-4600</t>
  </si>
  <si>
    <t>Total U.S. Department of Education</t>
  </si>
  <si>
    <t>Title II-Teacher Quality</t>
  </si>
  <si>
    <t>84.367A</t>
  </si>
  <si>
    <t>2019-4932</t>
  </si>
  <si>
    <t>2020-4932</t>
  </si>
  <si>
    <t xml:space="preserve">                            Total CFDA 84.367A</t>
  </si>
  <si>
    <t>U.S. Department of Health and Human Services:</t>
  </si>
  <si>
    <t xml:space="preserve">         Flow-Through from Illinois Department of Healthcare and Family Services:</t>
  </si>
  <si>
    <t xml:space="preserve">      Medicaid Matching </t>
  </si>
  <si>
    <t>Total U.S. Department o of Health &amp; Human Services</t>
  </si>
  <si>
    <t>TOTAL FEDERSAL FUNDS</t>
  </si>
  <si>
    <t>2019-4999</t>
  </si>
  <si>
    <t xml:space="preserve">  Title IVA -Student Support &amp; Academic Enrichment Program</t>
  </si>
  <si>
    <t xml:space="preserve"> Title IVA - Student Support &amp; Academic Enrichment Program</t>
  </si>
  <si>
    <t>Special Education-IDEA Prechool  Flow Through</t>
  </si>
  <si>
    <t xml:space="preserve">   Special Education-IDEA, Room Board</t>
  </si>
  <si>
    <t xml:space="preserve">   Special Education-IDEA, Flow Through</t>
  </si>
  <si>
    <r>
      <t xml:space="preserve">The accompanying Schedule of Expenditures of Federal Awards includes the federal grant activity of Knoxville CUSD #202 and is presented on the Cash </t>
    </r>
    <r>
      <rPr>
        <b/>
        <sz val="9"/>
        <rFont val="Calibri"/>
        <family val="2"/>
        <scheme val="minor"/>
      </rPr>
      <t>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</si>
  <si>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 xml:space="preserve">         (M)  Department of Agriculture-Food Distribution</t>
  </si>
  <si>
    <t xml:space="preserve">         (M)  Department of Defense- Fresh Fruits &amp; Vegetables</t>
  </si>
  <si>
    <t xml:space="preserve">     (M)  Special Milk Program</t>
  </si>
  <si>
    <t xml:space="preserve">   (M)   School Breakfast Program</t>
  </si>
  <si>
    <t xml:space="preserve">   (M)    Summer Food Service Program</t>
  </si>
  <si>
    <t xml:space="preserve">     (M)    Special Milk Program</t>
  </si>
  <si>
    <t xml:space="preserve">       (M) National School Lunch Program</t>
  </si>
  <si>
    <t xml:space="preserve">               Non-Cash Commodities Received:</t>
  </si>
  <si>
    <r>
      <t>Of the federal expenditures presented in the schedule, Knoxville CUSD #202</t>
    </r>
    <r>
      <rPr>
        <sz val="9"/>
        <rFont val="Calibri"/>
        <family val="2"/>
        <scheme val="minor"/>
      </rPr>
      <t xml:space="preserve"> provided federal awards to subrecipients as follows:</t>
    </r>
  </si>
  <si>
    <t>10.555, 10.556,10.553, and 10.559</t>
  </si>
  <si>
    <t>Child Nutrition Cluster</t>
  </si>
  <si>
    <t>Knoxville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</si>
</sst>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58" fillId="0" borderId="78" xfId="0"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123825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304800</xdr:colOff>
          <xdr:row>9</xdr:row>
          <xdr:rowOff>123825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2001</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2049</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2053</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33048202026</v>
      </c>
      <c r="B13" s="2103"/>
      <c r="C13" s="2103"/>
      <c r="D13" s="2103"/>
      <c r="E13" s="2103"/>
      <c r="F13" s="2103"/>
      <c r="G13" s="2103"/>
      <c r="H13" s="2104"/>
      <c r="I13" s="31"/>
      <c r="J13" s="30"/>
      <c r="K13" s="28"/>
      <c r="L13" s="30"/>
      <c r="M13" s="30"/>
      <c r="N13" s="30"/>
      <c r="O13" s="30"/>
      <c r="P13" s="30"/>
      <c r="Q13" s="30"/>
      <c r="R13" s="30"/>
      <c r="S13" s="30"/>
      <c r="T13" s="2108" t="s">
        <v>2058</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2050</v>
      </c>
      <c r="B15" s="2106"/>
      <c r="C15" s="2106"/>
      <c r="D15" s="2106"/>
      <c r="E15" s="2106"/>
      <c r="F15" s="2106"/>
      <c r="G15" s="2106"/>
      <c r="H15" s="2107"/>
      <c r="T15" s="2112" t="s">
        <v>2059</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2193</v>
      </c>
      <c r="B17" s="2076"/>
      <c r="C17" s="2076"/>
      <c r="D17" s="2076"/>
      <c r="E17" s="2076"/>
      <c r="F17" s="2076"/>
      <c r="G17" s="2076"/>
      <c r="H17" s="2101"/>
      <c r="T17" s="2119" t="s">
        <v>2060</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2051</v>
      </c>
      <c r="B19" s="2061"/>
      <c r="C19" s="2061"/>
      <c r="D19" s="2061"/>
      <c r="E19" s="2061"/>
      <c r="F19" s="2061"/>
      <c r="G19" s="2061"/>
      <c r="H19" s="2041"/>
      <c r="I19" s="30"/>
      <c r="J19" s="96"/>
      <c r="K19" s="40"/>
      <c r="L19" s="38"/>
      <c r="M19" s="109" t="s">
        <v>312</v>
      </c>
      <c r="P19" s="27"/>
      <c r="Q19" s="27"/>
      <c r="R19" s="27"/>
      <c r="S19" s="31"/>
      <c r="T19" s="2105" t="s">
        <v>2061</v>
      </c>
      <c r="U19" s="2040"/>
      <c r="V19" s="2040"/>
      <c r="W19" s="2041"/>
      <c r="X19" s="2117" t="s">
        <v>2062</v>
      </c>
      <c r="Y19" s="2118"/>
      <c r="Z19" s="2115">
        <v>61401</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2052</v>
      </c>
      <c r="B21" s="2040"/>
      <c r="C21" s="2040"/>
      <c r="D21" s="2040"/>
      <c r="E21" s="2040"/>
      <c r="F21" s="2040"/>
      <c r="G21" s="2040"/>
      <c r="H21" s="2041"/>
      <c r="I21" s="2095" t="s">
        <v>673</v>
      </c>
      <c r="J21" s="2090"/>
      <c r="K21" s="2090"/>
      <c r="L21" s="2090"/>
      <c r="M21" s="2090"/>
      <c r="N21" s="2090"/>
      <c r="O21" s="2090"/>
      <c r="P21" s="2090"/>
      <c r="Q21" s="2090"/>
      <c r="R21" s="2090"/>
      <c r="S21" s="2096"/>
      <c r="T21" s="2130" t="s">
        <v>2063</v>
      </c>
      <c r="U21" s="2131"/>
      <c r="V21" s="2131"/>
      <c r="W21" s="2131"/>
      <c r="X21" s="2136" t="s">
        <v>2064</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2054</v>
      </c>
      <c r="B23" s="2093"/>
      <c r="C23" s="2093"/>
      <c r="D23" s="2093"/>
      <c r="E23" s="2093"/>
      <c r="F23" s="2093"/>
      <c r="G23" s="2093"/>
      <c r="H23" s="2094"/>
      <c r="T23" s="2075" t="s">
        <v>2065</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61448</v>
      </c>
      <c r="B25" s="2040"/>
      <c r="C25" s="2040"/>
      <c r="D25" s="2040"/>
      <c r="E25" s="2040"/>
      <c r="F25" s="2040"/>
      <c r="G25" s="2040"/>
      <c r="H25" s="2041"/>
      <c r="I25" s="110"/>
      <c r="J25" s="2064"/>
      <c r="K25" s="2064"/>
      <c r="L25" s="2064"/>
      <c r="M25" s="2064"/>
      <c r="N25" s="2064"/>
      <c r="O25" s="2064"/>
      <c r="P25" s="2064"/>
      <c r="Q25" s="2064"/>
      <c r="R25" s="2064"/>
      <c r="S25" s="2065"/>
      <c r="T25" s="2126" t="s">
        <v>2066</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t="s">
        <v>2053</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2053</v>
      </c>
      <c r="C30" s="121" t="s">
        <v>1154</v>
      </c>
      <c r="D30" s="28"/>
      <c r="E30" s="28"/>
      <c r="F30" s="136"/>
      <c r="G30" s="111"/>
      <c r="H30" s="111"/>
      <c r="I30" s="51"/>
      <c r="J30" s="99" t="s">
        <v>2053</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t="s">
        <v>2053</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2055</v>
      </c>
      <c r="B38" s="2076"/>
      <c r="C38" s="2076"/>
      <c r="D38" s="2076"/>
      <c r="E38" s="2076"/>
      <c r="F38" s="2040"/>
      <c r="G38" s="2040"/>
      <c r="H38" s="2041"/>
      <c r="I38" s="2068"/>
      <c r="J38" s="2069"/>
      <c r="K38" s="2069"/>
      <c r="L38" s="2069"/>
      <c r="M38" s="2069"/>
      <c r="N38" s="2069"/>
      <c r="O38" s="2069"/>
      <c r="P38" s="2070"/>
      <c r="Q38" s="2070"/>
      <c r="R38" s="2070"/>
      <c r="S38" s="2071"/>
      <c r="T38" s="2112" t="s">
        <v>2067</v>
      </c>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2054</v>
      </c>
      <c r="B40" s="2054"/>
      <c r="C40" s="2055"/>
      <c r="D40" s="2055"/>
      <c r="E40" s="2055"/>
      <c r="F40" s="2056"/>
      <c r="G40" s="2056"/>
      <c r="H40" s="2057"/>
      <c r="I40" s="2078"/>
      <c r="J40" s="2079"/>
      <c r="K40" s="2079"/>
      <c r="L40" s="2079"/>
      <c r="M40" s="2079"/>
      <c r="N40" s="2079"/>
      <c r="O40" s="2079"/>
      <c r="P40" s="2079"/>
      <c r="Q40" s="2079"/>
      <c r="R40" s="2079"/>
      <c r="S40" s="2080"/>
      <c r="T40" s="2078" t="s">
        <v>2068</v>
      </c>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2056</v>
      </c>
      <c r="B42" s="2059"/>
      <c r="C42" s="2060"/>
      <c r="D42" s="2058" t="s">
        <v>2057</v>
      </c>
      <c r="E42" s="2059"/>
      <c r="F42" s="2059"/>
      <c r="G42" s="2059"/>
      <c r="H42" s="2060"/>
      <c r="I42" s="2042"/>
      <c r="J42" s="2043"/>
      <c r="K42" s="2043"/>
      <c r="L42" s="2043"/>
      <c r="M42" s="2043"/>
      <c r="N42" s="2043"/>
      <c r="O42" s="2044"/>
      <c r="P42" s="2077"/>
      <c r="Q42" s="2043"/>
      <c r="R42" s="2043"/>
      <c r="S42" s="2044"/>
      <c r="T42" s="2042" t="s">
        <v>2069</v>
      </c>
      <c r="U42" s="2043"/>
      <c r="V42" s="2043"/>
      <c r="W42" s="2044"/>
      <c r="X42" s="2077" t="s">
        <v>2070</v>
      </c>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950000000000003" customHeight="1" x14ac:dyDescent="0.2">
      <c r="A1" s="1512" t="s">
        <v>104</v>
      </c>
      <c r="B1" s="307"/>
      <c r="C1" s="307"/>
      <c r="D1" s="307"/>
      <c r="E1" s="307"/>
    </row>
    <row r="2" spans="1:8" ht="39.75" customHeight="1" x14ac:dyDescent="0.2">
      <c r="A2" s="2290"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9" customHeight="1" x14ac:dyDescent="0.2">
      <c r="A4" s="579" t="s">
        <v>1145</v>
      </c>
      <c r="B4" s="1721">
        <f>'Revenues 9-14'!C5</f>
        <v>3438267</v>
      </c>
      <c r="C4" s="1722">
        <v>522218</v>
      </c>
      <c r="D4" s="1723">
        <f>B4-C4</f>
        <v>2916049</v>
      </c>
      <c r="E4" s="1722">
        <v>3327333</v>
      </c>
      <c r="F4" s="1723">
        <f>E4-C4</f>
        <v>2805115</v>
      </c>
    </row>
    <row r="5" spans="1:8" ht="13.9" customHeight="1" x14ac:dyDescent="0.2">
      <c r="A5" s="579" t="s">
        <v>865</v>
      </c>
      <c r="B5" s="1724">
        <f>'Revenues 9-14'!D5</f>
        <v>592803</v>
      </c>
      <c r="C5" s="1664">
        <v>90037</v>
      </c>
      <c r="D5" s="1725">
        <f t="shared" ref="D5:D18" si="0">B5-C5</f>
        <v>502766</v>
      </c>
      <c r="E5" s="1664">
        <v>573676</v>
      </c>
      <c r="F5" s="1725">
        <f>E5-C5</f>
        <v>483639</v>
      </c>
    </row>
    <row r="6" spans="1:8" ht="13.9" customHeight="1" x14ac:dyDescent="0.2">
      <c r="A6" s="579" t="s">
        <v>408</v>
      </c>
      <c r="B6" s="1724">
        <f>'Revenues 9-14'!E5</f>
        <v>425895</v>
      </c>
      <c r="C6" s="1664">
        <v>62583</v>
      </c>
      <c r="D6" s="1725">
        <f t="shared" si="0"/>
        <v>363312</v>
      </c>
      <c r="E6" s="1664">
        <v>398752</v>
      </c>
      <c r="F6" s="1725">
        <f t="shared" ref="F6:F18" si="1">E6-C6</f>
        <v>336169</v>
      </c>
    </row>
    <row r="7" spans="1:8" ht="13.9" customHeight="1" x14ac:dyDescent="0.2">
      <c r="A7" s="579" t="s">
        <v>154</v>
      </c>
      <c r="B7" s="1724">
        <f>'Revenues 9-14'!F5</f>
        <v>237124</v>
      </c>
      <c r="C7" s="1664">
        <v>36015</v>
      </c>
      <c r="D7" s="1725">
        <f t="shared" si="0"/>
        <v>201109</v>
      </c>
      <c r="E7" s="1664">
        <v>229471</v>
      </c>
      <c r="F7" s="1725">
        <f t="shared" si="1"/>
        <v>193456</v>
      </c>
    </row>
    <row r="8" spans="1:8" ht="13.9" customHeight="1" x14ac:dyDescent="0.2">
      <c r="A8" s="579" t="s">
        <v>1169</v>
      </c>
      <c r="B8" s="1724">
        <f>'Revenues 9-14'!G5</f>
        <v>26731</v>
      </c>
      <c r="C8" s="1664">
        <v>3924</v>
      </c>
      <c r="D8" s="1725">
        <f t="shared" si="0"/>
        <v>22807</v>
      </c>
      <c r="E8" s="1664">
        <v>25001</v>
      </c>
      <c r="F8" s="1725">
        <f t="shared" si="1"/>
        <v>21077</v>
      </c>
    </row>
    <row r="9" spans="1:8" ht="13.9" customHeight="1" x14ac:dyDescent="0.2">
      <c r="A9" s="579" t="s">
        <v>405</v>
      </c>
      <c r="B9" s="1724">
        <f>'Revenues 9-14'!H5</f>
        <v>0</v>
      </c>
      <c r="C9" s="1664"/>
      <c r="D9" s="1725">
        <f t="shared" si="0"/>
        <v>0</v>
      </c>
      <c r="E9" s="1664"/>
      <c r="F9" s="1725">
        <f t="shared" si="1"/>
        <v>0</v>
      </c>
    </row>
    <row r="10" spans="1:8" ht="13.9" customHeight="1" x14ac:dyDescent="0.2">
      <c r="A10" s="579" t="s">
        <v>404</v>
      </c>
      <c r="B10" s="1724">
        <f>'Revenues 9-14'!I5</f>
        <v>59282</v>
      </c>
      <c r="C10" s="1664">
        <v>9004</v>
      </c>
      <c r="D10" s="1725">
        <f t="shared" si="0"/>
        <v>50278</v>
      </c>
      <c r="E10" s="1664">
        <v>57368</v>
      </c>
      <c r="F10" s="1725">
        <f t="shared" si="1"/>
        <v>48364</v>
      </c>
    </row>
    <row r="11" spans="1:8" x14ac:dyDescent="0.2">
      <c r="A11" s="579" t="s">
        <v>406</v>
      </c>
      <c r="B11" s="1724">
        <f>'Revenues 9-14'!J5</f>
        <v>240543</v>
      </c>
      <c r="C11" s="1664">
        <v>35314</v>
      </c>
      <c r="D11" s="1725">
        <f t="shared" si="0"/>
        <v>205229</v>
      </c>
      <c r="E11" s="1664">
        <v>225008</v>
      </c>
      <c r="F11" s="1725">
        <f t="shared" si="1"/>
        <v>189694</v>
      </c>
    </row>
    <row r="12" spans="1:8" ht="13.9" customHeight="1" x14ac:dyDescent="0.2">
      <c r="A12" s="579" t="s">
        <v>156</v>
      </c>
      <c r="B12" s="1724">
        <f>'Revenues 9-14'!K5</f>
        <v>59282</v>
      </c>
      <c r="C12" s="1664">
        <v>9004</v>
      </c>
      <c r="D12" s="1725">
        <f t="shared" si="0"/>
        <v>50278</v>
      </c>
      <c r="E12" s="1664">
        <v>57368</v>
      </c>
      <c r="F12" s="1725">
        <f t="shared" si="1"/>
        <v>48364</v>
      </c>
    </row>
    <row r="13" spans="1:8" ht="13.9" customHeight="1" x14ac:dyDescent="0.2">
      <c r="A13" s="579" t="s">
        <v>930</v>
      </c>
      <c r="B13" s="1724">
        <f>SUM('Revenues 9-14'!C6:D6)</f>
        <v>59282</v>
      </c>
      <c r="C13" s="1664">
        <v>9004</v>
      </c>
      <c r="D13" s="1725">
        <f t="shared" si="0"/>
        <v>50278</v>
      </c>
      <c r="E13" s="1664">
        <v>57368</v>
      </c>
      <c r="F13" s="1725">
        <f t="shared" si="1"/>
        <v>48364</v>
      </c>
    </row>
    <row r="14" spans="1:8" ht="13.9" customHeight="1" x14ac:dyDescent="0.2">
      <c r="A14" s="579" t="s">
        <v>407</v>
      </c>
      <c r="B14" s="1724">
        <f>SUM('Revenues 9-14'!C7:D7,'Revenues 9-14'!F7:H7)</f>
        <v>47423</v>
      </c>
      <c r="C14" s="1664">
        <v>7203</v>
      </c>
      <c r="D14" s="1725">
        <f t="shared" si="0"/>
        <v>40220</v>
      </c>
      <c r="E14" s="1664">
        <v>45895</v>
      </c>
      <c r="F14" s="1725">
        <f t="shared" si="1"/>
        <v>38692</v>
      </c>
    </row>
    <row r="15" spans="1:8" ht="13.9" customHeight="1" x14ac:dyDescent="0.2">
      <c r="A15" s="579" t="s">
        <v>1148</v>
      </c>
      <c r="B15" s="1724">
        <f>SUM('Revenues 9-14'!D9:E9,'Revenues 9-14'!H9)</f>
        <v>0</v>
      </c>
      <c r="C15" s="1664"/>
      <c r="D15" s="1725">
        <f t="shared" si="0"/>
        <v>0</v>
      </c>
      <c r="E15" s="1664"/>
      <c r="F15" s="1725">
        <f t="shared" si="1"/>
        <v>0</v>
      </c>
    </row>
    <row r="16" spans="1:8" ht="13.9" customHeight="1" x14ac:dyDescent="0.2">
      <c r="A16" s="579" t="s">
        <v>1149</v>
      </c>
      <c r="B16" s="1724">
        <f>'Revenues 9-14'!G8</f>
        <v>26731</v>
      </c>
      <c r="C16" s="1664">
        <v>3924</v>
      </c>
      <c r="D16" s="1725">
        <f t="shared" si="0"/>
        <v>22807</v>
      </c>
      <c r="E16" s="1664">
        <v>25001</v>
      </c>
      <c r="F16" s="1725">
        <f t="shared" si="1"/>
        <v>21077</v>
      </c>
    </row>
    <row r="17" spans="1:6" ht="13.9" customHeight="1" x14ac:dyDescent="0.2">
      <c r="A17" s="579" t="s">
        <v>1150</v>
      </c>
      <c r="B17" s="1724">
        <f>'Revenues 9-14'!C10</f>
        <v>0</v>
      </c>
      <c r="C17" s="1664"/>
      <c r="D17" s="1725">
        <f t="shared" si="0"/>
        <v>0</v>
      </c>
      <c r="E17" s="1664"/>
      <c r="F17" s="1725">
        <f t="shared" si="1"/>
        <v>0</v>
      </c>
    </row>
    <row r="18" spans="1:6" ht="13.9" customHeight="1" x14ac:dyDescent="0.2">
      <c r="A18" s="579" t="s">
        <v>757</v>
      </c>
      <c r="B18" s="1724">
        <f>SUM('Revenues 9-14'!C11:K11)</f>
        <v>0</v>
      </c>
      <c r="C18" s="1664"/>
      <c r="D18" s="1725">
        <f t="shared" si="0"/>
        <v>0</v>
      </c>
      <c r="E18" s="1664"/>
      <c r="F18" s="1725">
        <f t="shared" si="1"/>
        <v>0</v>
      </c>
    </row>
    <row r="19" spans="1:6" ht="13.9" customHeight="1" thickBot="1" x14ac:dyDescent="0.25">
      <c r="A19" s="1432" t="s">
        <v>1151</v>
      </c>
      <c r="B19" s="1726">
        <f>SUM(B4:B18)</f>
        <v>5213363</v>
      </c>
      <c r="C19" s="1726">
        <f>SUM(C4:C18)</f>
        <v>788230</v>
      </c>
      <c r="D19" s="1726">
        <f>SUM(D4:D18)</f>
        <v>4425133</v>
      </c>
      <c r="E19" s="1726">
        <f>SUM(E4:E18)</f>
        <v>5022241</v>
      </c>
      <c r="F19" s="1726">
        <f>SUM(F4:F18)</f>
        <v>4234011</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K59"/>
  <sheetViews>
    <sheetView showGridLines="0" defaultGridColor="0" topLeftCell="A25"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312" t="s">
        <v>625</v>
      </c>
      <c r="B1" s="2310"/>
      <c r="C1" s="585"/>
    </row>
    <row r="2" spans="1:7" ht="33.75" x14ac:dyDescent="0.2">
      <c r="A2" s="2317" t="s">
        <v>1777</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9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9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9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9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95" customHeight="1" thickTop="1" x14ac:dyDescent="0.2">
      <c r="A24" s="2305" t="s">
        <v>2004</v>
      </c>
      <c r="B24" s="2306"/>
      <c r="C24" s="2300"/>
      <c r="D24" s="2301"/>
      <c r="E24" s="2301"/>
      <c r="F24" s="2302"/>
    </row>
    <row r="25" spans="1:11" ht="13.5" thickBot="1" x14ac:dyDescent="0.25">
      <c r="A25" s="2307" t="s">
        <v>2005</v>
      </c>
      <c r="B25" s="2308"/>
      <c r="C25" s="1656"/>
      <c r="D25" s="1656"/>
      <c r="E25" s="1656"/>
      <c r="F25" s="1732">
        <f>SUM(C25+D25)-E25</f>
        <v>0</v>
      </c>
      <c r="G25" s="473"/>
    </row>
    <row r="26" spans="1:11" ht="15.9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4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2077</v>
      </c>
      <c r="B31" s="595">
        <v>40725</v>
      </c>
      <c r="C31" s="1734">
        <v>1500000</v>
      </c>
      <c r="D31" s="1735">
        <v>7</v>
      </c>
      <c r="E31" s="1734">
        <v>135000</v>
      </c>
      <c r="F31" s="1734"/>
      <c r="G31" s="1734"/>
      <c r="H31" s="1734">
        <v>135000</v>
      </c>
      <c r="I31" s="1736">
        <f>((E31+F31)-H31)+G31</f>
        <v>0</v>
      </c>
      <c r="J31" s="1734"/>
      <c r="K31" s="596"/>
    </row>
    <row r="32" spans="1:11" ht="12" customHeight="1" x14ac:dyDescent="0.2">
      <c r="A32" s="594" t="s">
        <v>2079</v>
      </c>
      <c r="B32" s="595">
        <v>41061</v>
      </c>
      <c r="C32" s="1734">
        <v>9000000</v>
      </c>
      <c r="D32" s="1735">
        <v>8</v>
      </c>
      <c r="E32" s="1734">
        <v>7370000</v>
      </c>
      <c r="F32" s="1734"/>
      <c r="G32" s="1734"/>
      <c r="H32" s="1734">
        <v>280000</v>
      </c>
      <c r="I32" s="1736">
        <f>((E32+F32)-H32)+G32</f>
        <v>7090000</v>
      </c>
      <c r="J32" s="1734">
        <v>7077505</v>
      </c>
      <c r="K32" s="596"/>
    </row>
    <row r="33" spans="1:11" ht="12" customHeight="1" x14ac:dyDescent="0.2">
      <c r="A33" s="594" t="s">
        <v>2080</v>
      </c>
      <c r="B33" s="595">
        <v>62414</v>
      </c>
      <c r="C33" s="1734">
        <v>3625000</v>
      </c>
      <c r="D33" s="1735">
        <v>3</v>
      </c>
      <c r="E33" s="1734">
        <v>3625000</v>
      </c>
      <c r="F33" s="1734"/>
      <c r="G33" s="1734"/>
      <c r="H33" s="1734"/>
      <c r="I33" s="1736">
        <f t="shared" ref="I33:I48" si="1">((E33+F33)-H33)+G33</f>
        <v>3625000</v>
      </c>
      <c r="J33" s="1734">
        <v>3625000</v>
      </c>
      <c r="K33" s="596"/>
    </row>
    <row r="34" spans="1:11" ht="12" customHeight="1" x14ac:dyDescent="0.2">
      <c r="A34" s="594" t="s">
        <v>2081</v>
      </c>
      <c r="B34" s="595">
        <v>42996</v>
      </c>
      <c r="C34" s="1734">
        <v>1145000</v>
      </c>
      <c r="D34" s="1735">
        <v>3</v>
      </c>
      <c r="E34" s="1734">
        <v>920000</v>
      </c>
      <c r="F34" s="1734"/>
      <c r="G34" s="1734"/>
      <c r="H34" s="1734">
        <v>225000</v>
      </c>
      <c r="I34" s="1736">
        <f t="shared" si="1"/>
        <v>695000</v>
      </c>
      <c r="J34" s="1734">
        <v>695000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15270000</v>
      </c>
      <c r="D49" s="1742"/>
      <c r="E49" s="1736">
        <f t="shared" ref="E49:J49" si="2">SUM(E31:E48)</f>
        <v>12050000</v>
      </c>
      <c r="F49" s="1736">
        <f t="shared" si="2"/>
        <v>0</v>
      </c>
      <c r="G49" s="1736">
        <f t="shared" si="2"/>
        <v>0</v>
      </c>
      <c r="H49" s="1736">
        <f t="shared" si="2"/>
        <v>640000</v>
      </c>
      <c r="I49" s="1736">
        <f t="shared" si="2"/>
        <v>11410000</v>
      </c>
      <c r="J49" s="1736">
        <f t="shared" si="2"/>
        <v>11397505</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2078</v>
      </c>
      <c r="G52" s="2295"/>
      <c r="H52" s="596"/>
      <c r="I52" s="596"/>
      <c r="J52" s="600"/>
    </row>
    <row r="53" spans="1:11" ht="11.25" customHeight="1" x14ac:dyDescent="0.2">
      <c r="A53" s="604" t="s">
        <v>907</v>
      </c>
      <c r="B53" s="605" t="s">
        <v>945</v>
      </c>
      <c r="C53" s="600"/>
      <c r="D53" s="597"/>
      <c r="E53" s="603" t="s">
        <v>494</v>
      </c>
      <c r="F53" s="2296" t="s">
        <v>2082</v>
      </c>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1787</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47423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4530</v>
      </c>
    </row>
    <row r="8" spans="1:11" x14ac:dyDescent="0.2">
      <c r="A8" s="629" t="s">
        <v>342</v>
      </c>
      <c r="B8" s="630"/>
      <c r="C8" s="630"/>
      <c r="D8" s="630"/>
      <c r="E8" s="631"/>
      <c r="F8" s="622" t="s">
        <v>846</v>
      </c>
      <c r="G8" s="1753"/>
      <c r="H8" s="1753"/>
      <c r="I8" s="1753"/>
      <c r="J8" s="1745">
        <v>647504</v>
      </c>
      <c r="K8" s="1748"/>
    </row>
    <row r="9" spans="1:11" x14ac:dyDescent="0.2">
      <c r="A9" s="629" t="s">
        <v>137</v>
      </c>
      <c r="B9" s="630"/>
      <c r="C9" s="630"/>
      <c r="D9" s="630"/>
      <c r="E9" s="631"/>
      <c r="F9" s="628" t="s">
        <v>848</v>
      </c>
      <c r="G9" s="1753"/>
      <c r="H9" s="1749"/>
      <c r="I9" s="1749"/>
      <c r="J9" s="1752"/>
      <c r="K9" s="1745">
        <v>9136</v>
      </c>
    </row>
    <row r="10" spans="1:11" x14ac:dyDescent="0.2">
      <c r="A10" s="2324" t="s">
        <v>1788</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47423</v>
      </c>
      <c r="I12" s="1755">
        <f>SUM(I5:I11)</f>
        <v>0</v>
      </c>
      <c r="J12" s="1755">
        <f>SUM(J5:J11)</f>
        <v>647504</v>
      </c>
      <c r="K12" s="1755">
        <f>SUM(K5:K11)</f>
        <v>13666</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641511</v>
      </c>
      <c r="I14" s="1749"/>
      <c r="J14" s="1751"/>
      <c r="K14" s="1745">
        <v>72064</v>
      </c>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v>432351</v>
      </c>
      <c r="K18" s="1763"/>
    </row>
    <row r="19" spans="1:15" ht="21.75" customHeight="1" x14ac:dyDescent="0.2">
      <c r="A19" s="2333" t="s">
        <v>1784</v>
      </c>
      <c r="B19" s="2333"/>
      <c r="C19" s="2333"/>
      <c r="D19" s="2333"/>
      <c r="E19" s="2334"/>
      <c r="F19" s="635" t="s">
        <v>927</v>
      </c>
      <c r="G19" s="1753"/>
      <c r="H19" s="1753"/>
      <c r="I19" s="1753"/>
      <c r="J19" s="1745">
        <v>640000</v>
      </c>
      <c r="K19" s="1763"/>
    </row>
    <row r="20" spans="1:15" x14ac:dyDescent="0.2">
      <c r="A20" s="2335" t="s">
        <v>1789</v>
      </c>
      <c r="B20" s="2336"/>
      <c r="C20" s="2336"/>
      <c r="D20" s="2336"/>
      <c r="E20" s="2337"/>
      <c r="F20" s="635" t="s">
        <v>928</v>
      </c>
      <c r="G20" s="1753"/>
      <c r="H20" s="1753"/>
      <c r="I20" s="1753"/>
      <c r="J20" s="1745">
        <v>1500</v>
      </c>
      <c r="K20" s="1763"/>
    </row>
    <row r="21" spans="1:15" ht="13.5" thickBot="1" x14ac:dyDescent="0.25">
      <c r="A21" s="2354" t="s">
        <v>633</v>
      </c>
      <c r="B21" s="2354"/>
      <c r="C21" s="2354"/>
      <c r="D21" s="2354"/>
      <c r="E21" s="2354"/>
      <c r="F21" s="1434"/>
      <c r="G21" s="1760"/>
      <c r="H21" s="1764"/>
      <c r="I21" s="1764"/>
      <c r="J21" s="1765">
        <f>SUM(J18:J20)</f>
        <v>1073851</v>
      </c>
      <c r="K21" s="1761"/>
    </row>
    <row r="22" spans="1:15" ht="13.5" thickTop="1" x14ac:dyDescent="0.2">
      <c r="A22" s="2325" t="s">
        <v>1790</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641511</v>
      </c>
      <c r="I23" s="1755">
        <f>SUM(I14:I16,I21,I22)</f>
        <v>0</v>
      </c>
      <c r="J23" s="1755">
        <f>SUM(J14:J16,J21,J22)</f>
        <v>1073851</v>
      </c>
      <c r="K23" s="1755">
        <f>SUM(K14:K16,K21,K22)</f>
        <v>72064</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-594088</v>
      </c>
      <c r="I24" s="1767">
        <f>SUM(I3,I12)-I23</f>
        <v>0</v>
      </c>
      <c r="J24" s="1767">
        <f>SUM(J3,J12)-J23</f>
        <v>-426347</v>
      </c>
      <c r="K24" s="1767">
        <f>SUM(K3,K12)-K23</f>
        <v>-58398</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-594088</v>
      </c>
      <c r="I26" s="1755">
        <f>I24-I25</f>
        <v>0</v>
      </c>
      <c r="J26" s="1755">
        <f>J24-J25</f>
        <v>-426347</v>
      </c>
      <c r="K26" s="1755">
        <f>K24-K25</f>
        <v>-58398</v>
      </c>
    </row>
    <row r="27" spans="1:15" ht="5.4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7" customHeight="1" x14ac:dyDescent="0.2">
      <c r="A33" s="652" t="s">
        <v>1159</v>
      </c>
      <c r="B33" s="341"/>
      <c r="C33" s="341"/>
      <c r="D33" s="341"/>
      <c r="E33" s="341"/>
      <c r="F33" s="341"/>
      <c r="G33" s="653"/>
      <c r="H33" s="2330"/>
      <c r="I33" s="2329"/>
      <c r="J33" s="2329"/>
      <c r="K33" s="2329"/>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1873</v>
      </c>
      <c r="B1" s="2363"/>
      <c r="C1" s="2364"/>
      <c r="D1" s="666"/>
      <c r="E1" s="667"/>
      <c r="F1" s="667"/>
      <c r="G1" s="668"/>
      <c r="H1" s="669"/>
      <c r="I1" s="670"/>
      <c r="J1" s="2360"/>
      <c r="K1" s="2361"/>
      <c r="L1" s="2361"/>
    </row>
    <row r="2" spans="1:14" ht="69.9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186182</v>
      </c>
      <c r="D5" s="1770"/>
      <c r="E5" s="1770"/>
      <c r="F5" s="1765">
        <f>(C5+D5)-E5</f>
        <v>186182</v>
      </c>
      <c r="G5" s="676"/>
      <c r="H5" s="680"/>
      <c r="I5" s="680"/>
      <c r="J5" s="680"/>
      <c r="K5" s="637"/>
      <c r="L5" s="1442">
        <f>F5-K5</f>
        <v>186182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46310228</v>
      </c>
      <c r="D8" s="1771">
        <v>34750</v>
      </c>
      <c r="E8" s="1771"/>
      <c r="F8" s="1765">
        <f>(C8+D8)-E8</f>
        <v>46344978</v>
      </c>
      <c r="G8" s="681">
        <v>50</v>
      </c>
      <c r="H8" s="619">
        <v>8688789</v>
      </c>
      <c r="I8" s="619">
        <v>880612</v>
      </c>
      <c r="J8" s="619"/>
      <c r="K8" s="1442">
        <f>(H8+I8)-J8</f>
        <v>9569401</v>
      </c>
      <c r="L8" s="1442">
        <f>F8-K8</f>
        <v>36775577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146372</v>
      </c>
      <c r="D10" s="1772">
        <v>45091</v>
      </c>
      <c r="E10" s="1772"/>
      <c r="F10" s="1773">
        <f>(C10+D10)-E10</f>
        <v>191463</v>
      </c>
      <c r="G10" s="681">
        <v>20</v>
      </c>
      <c r="H10" s="683">
        <v>129759</v>
      </c>
      <c r="I10" s="683">
        <v>5388</v>
      </c>
      <c r="J10" s="683"/>
      <c r="K10" s="1442">
        <f>(H10+I10)-J10</f>
        <v>135147</v>
      </c>
      <c r="L10" s="1442">
        <f>F10-K10</f>
        <v>56316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1745388</v>
      </c>
      <c r="D12" s="1771"/>
      <c r="E12" s="1771"/>
      <c r="F12" s="1765">
        <f>(C12+D12)-E12</f>
        <v>1745388</v>
      </c>
      <c r="G12" s="681">
        <v>10</v>
      </c>
      <c r="H12" s="619">
        <v>1652383</v>
      </c>
      <c r="I12" s="619">
        <v>24597</v>
      </c>
      <c r="J12" s="619"/>
      <c r="K12" s="1442">
        <f>(H12+I12)-J12</f>
        <v>1676980</v>
      </c>
      <c r="L12" s="1442">
        <f>F12-K12</f>
        <v>68408</v>
      </c>
    </row>
    <row r="13" spans="1:14" ht="14.25" thickTop="1" thickBot="1" x14ac:dyDescent="0.25">
      <c r="A13" s="684" t="s">
        <v>1112</v>
      </c>
      <c r="B13" s="679">
        <v>252</v>
      </c>
      <c r="C13" s="1771">
        <v>986190</v>
      </c>
      <c r="D13" s="1771">
        <v>32500</v>
      </c>
      <c r="E13" s="1771">
        <v>640014</v>
      </c>
      <c r="F13" s="1765">
        <f>(C13+D13)-E13</f>
        <v>378676</v>
      </c>
      <c r="G13" s="681">
        <v>5</v>
      </c>
      <c r="H13" s="619">
        <v>973273</v>
      </c>
      <c r="I13" s="619">
        <v>14021</v>
      </c>
      <c r="J13" s="619">
        <v>640014</v>
      </c>
      <c r="K13" s="1442">
        <f>(H13+I13)-J13</f>
        <v>347280</v>
      </c>
      <c r="L13" s="1442">
        <f>F13-K13</f>
        <v>31396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28605</v>
      </c>
      <c r="E15" s="1771"/>
      <c r="F15" s="1765">
        <f>(C15+D15)-E15</f>
        <v>28605</v>
      </c>
      <c r="G15" s="685" t="s">
        <v>857</v>
      </c>
      <c r="H15" s="632"/>
      <c r="I15" s="632"/>
      <c r="J15" s="632"/>
      <c r="K15" s="632"/>
      <c r="L15" s="1442">
        <f>F15-K15</f>
        <v>28605</v>
      </c>
    </row>
    <row r="16" spans="1:14" ht="15" customHeight="1" thickTop="1" thickBot="1" x14ac:dyDescent="0.25">
      <c r="A16" s="1438" t="s">
        <v>638</v>
      </c>
      <c r="B16" s="1439">
        <v>200</v>
      </c>
      <c r="C16" s="1765">
        <f>SUM(C3,C5:C6,C8:C10,C12:C15)</f>
        <v>49374360</v>
      </c>
      <c r="D16" s="1765">
        <f>SUM(D3,D5:D6,D8:D10,D12:D15)</f>
        <v>140946</v>
      </c>
      <c r="E16" s="1765">
        <f>SUM(E3,E5:E6,E8:E10,E12:E15)</f>
        <v>640014</v>
      </c>
      <c r="F16" s="1765">
        <f>SUM(F3,F5:F6,F8:F10,F12:F15)</f>
        <v>48875292</v>
      </c>
      <c r="G16" s="681"/>
      <c r="H16" s="1435">
        <f>SUM(H3,H6,H8:H10,H12:H14,)</f>
        <v>11444204</v>
      </c>
      <c r="I16" s="1435">
        <f>SUM(I3,I6,I8:I10,I12:I14,)</f>
        <v>924618</v>
      </c>
      <c r="J16" s="1435">
        <f>SUM(J3,J6,J8:J10,J12:J14,)</f>
        <v>640014</v>
      </c>
      <c r="K16" s="1435">
        <f>(H16+I16)-J16</f>
        <v>11728808</v>
      </c>
      <c r="L16" s="1435">
        <f>F16-K16</f>
        <v>37146484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924618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I203"/>
  <sheetViews>
    <sheetView showGridLines="0" defaultGridColor="0" topLeftCell="A12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7"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4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9238356</v>
      </c>
      <c r="G8" s="701"/>
    </row>
    <row r="9" spans="1:9" x14ac:dyDescent="0.2">
      <c r="A9" s="705" t="s">
        <v>457</v>
      </c>
      <c r="B9" s="706" t="s">
        <v>1846</v>
      </c>
      <c r="C9" s="707"/>
      <c r="D9" s="705" t="s">
        <v>498</v>
      </c>
      <c r="E9" s="704"/>
      <c r="F9" s="1775">
        <f>'Expenditures 15-22'!K151</f>
        <v>736445</v>
      </c>
      <c r="G9" s="708"/>
    </row>
    <row r="10" spans="1:9" x14ac:dyDescent="0.2">
      <c r="A10" s="705" t="s">
        <v>496</v>
      </c>
      <c r="B10" s="706" t="s">
        <v>1847</v>
      </c>
      <c r="C10" s="707"/>
      <c r="D10" s="705" t="s">
        <v>498</v>
      </c>
      <c r="E10" s="704"/>
      <c r="F10" s="1775">
        <f>'Expenditures 15-22'!K174</f>
        <v>1073851</v>
      </c>
      <c r="G10" s="708"/>
    </row>
    <row r="11" spans="1:9" x14ac:dyDescent="0.2">
      <c r="A11" s="705" t="s">
        <v>458</v>
      </c>
      <c r="B11" s="706" t="s">
        <v>1848</v>
      </c>
      <c r="C11" s="707"/>
      <c r="D11" s="705" t="s">
        <v>498</v>
      </c>
      <c r="E11" s="704"/>
      <c r="F11" s="1775">
        <f>'Expenditures 15-22'!K210</f>
        <v>754763</v>
      </c>
      <c r="G11" s="708"/>
    </row>
    <row r="12" spans="1:9" x14ac:dyDescent="0.2">
      <c r="A12" s="705" t="s">
        <v>459</v>
      </c>
      <c r="B12" s="706" t="s">
        <v>1849</v>
      </c>
      <c r="C12" s="707"/>
      <c r="D12" s="705" t="s">
        <v>498</v>
      </c>
      <c r="E12" s="704"/>
      <c r="F12" s="1775">
        <f>'Expenditures 15-22'!K295</f>
        <v>299966</v>
      </c>
      <c r="G12" s="708"/>
    </row>
    <row r="13" spans="1:9" x14ac:dyDescent="0.2">
      <c r="A13" s="705" t="s">
        <v>106</v>
      </c>
      <c r="B13" s="706" t="s">
        <v>1850</v>
      </c>
      <c r="C13" s="707"/>
      <c r="D13" s="705" t="s">
        <v>498</v>
      </c>
      <c r="E13" s="704"/>
      <c r="F13" s="1775">
        <f>'Expenditures 15-22'!K342</f>
        <v>176322</v>
      </c>
      <c r="G13" s="709"/>
    </row>
    <row r="14" spans="1:9" ht="12" customHeight="1" thickBot="1" x14ac:dyDescent="0.25">
      <c r="A14" s="1443"/>
      <c r="B14" s="1444"/>
      <c r="C14" s="1445"/>
      <c r="D14" s="1446" t="s">
        <v>498</v>
      </c>
      <c r="E14" s="1447" t="s">
        <v>952</v>
      </c>
      <c r="F14" s="1776">
        <f>SUM(F8:F13)</f>
        <v>12279703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160708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1154983</v>
      </c>
      <c r="G53" s="701"/>
    </row>
    <row r="54" spans="1:7" x14ac:dyDescent="0.2">
      <c r="A54" s="705" t="s">
        <v>456</v>
      </c>
      <c r="B54" s="705" t="s">
        <v>1459</v>
      </c>
      <c r="C54" s="724" t="s">
        <v>975</v>
      </c>
      <c r="D54" s="720" t="s">
        <v>1086</v>
      </c>
      <c r="E54" s="704"/>
      <c r="F54" s="1782">
        <f>'Expenditures 15-22'!G114</f>
        <v>50229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157074</v>
      </c>
      <c r="G58" s="701"/>
    </row>
    <row r="59" spans="1:7" x14ac:dyDescent="0.2">
      <c r="A59" s="728" t="s">
        <v>457</v>
      </c>
      <c r="B59" s="692" t="s">
        <v>1853</v>
      </c>
      <c r="C59" s="729" t="s">
        <v>975</v>
      </c>
      <c r="D59" s="692" t="s">
        <v>288</v>
      </c>
      <c r="F59" s="1785">
        <f>'Expenditures 15-22'!I151</f>
        <v>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640000</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19146</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261952</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0</v>
      </c>
      <c r="G71" s="701"/>
    </row>
    <row r="72" spans="1:9" x14ac:dyDescent="0.2">
      <c r="A72" s="705" t="s">
        <v>459</v>
      </c>
      <c r="B72" s="705" t="s">
        <v>1865</v>
      </c>
      <c r="C72" s="721">
        <f>'Expenditures 15-22'!B280</f>
        <v>3000</v>
      </c>
      <c r="D72" s="712" t="s">
        <v>446</v>
      </c>
      <c r="E72" s="704"/>
      <c r="F72" s="1782">
        <f>'Expenditures 15-22'!K280</f>
        <v>0</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0</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2444092</v>
      </c>
      <c r="G77" s="701"/>
    </row>
    <row r="78" spans="1:9" s="728" customFormat="1" ht="12" customHeight="1" thickTop="1" thickBot="1" x14ac:dyDescent="0.25">
      <c r="A78" s="1450"/>
      <c r="B78" s="1448"/>
      <c r="C78" s="1445"/>
      <c r="D78" s="1449" t="s">
        <v>2010</v>
      </c>
      <c r="E78" s="1447"/>
      <c r="F78" s="1788">
        <f>(F14-F77)</f>
        <v>9835611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653.9</v>
      </c>
      <c r="G79" s="733"/>
      <c r="H79" s="705"/>
      <c r="I79" s="705"/>
    </row>
    <row r="80" spans="1:9" s="728" customFormat="1" ht="12" customHeight="1" thickBot="1" x14ac:dyDescent="0.25">
      <c r="A80" s="1452"/>
      <c r="B80" s="1448"/>
      <c r="C80" s="1445"/>
      <c r="D80" s="1449" t="s">
        <v>2011</v>
      </c>
      <c r="E80" s="1447" t="s">
        <v>952</v>
      </c>
      <c r="F80" s="1790">
        <f>IF(F79&gt;0,F78/F79," Complete Line 79")</f>
        <v>15041.460467961462</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4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197405</v>
      </c>
      <c r="G95" s="745"/>
    </row>
    <row r="96" spans="1:7" x14ac:dyDescent="0.2">
      <c r="A96" s="741" t="s">
        <v>139</v>
      </c>
      <c r="B96" s="741" t="s">
        <v>174</v>
      </c>
      <c r="C96" s="743">
        <v>1700</v>
      </c>
      <c r="D96" s="751" t="str">
        <f>'Revenues 9-14'!A82</f>
        <v>Total District/School Activity Income</v>
      </c>
      <c r="E96" s="739"/>
      <c r="F96" s="1793">
        <f>SUM('Revenues 9-14'!C82,'Revenues 9-14'!D82)</f>
        <v>40919</v>
      </c>
      <c r="G96" s="745"/>
    </row>
    <row r="97" spans="1:7" x14ac:dyDescent="0.2">
      <c r="A97" s="741" t="s">
        <v>456</v>
      </c>
      <c r="B97" s="741" t="s">
        <v>175</v>
      </c>
      <c r="C97" s="743">
        <f>'Revenues 9-14'!B84</f>
        <v>1811</v>
      </c>
      <c r="D97" s="744" t="str">
        <f>'Revenues 9-14'!A84</f>
        <v>Rentals - Regular Textbooks</v>
      </c>
      <c r="E97" s="739"/>
      <c r="F97" s="1793">
        <f>'Revenues 9-14'!C84</f>
        <v>70499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3000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560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1180</v>
      </c>
      <c r="G105" s="745"/>
    </row>
    <row r="106" spans="1:7" x14ac:dyDescent="0.2">
      <c r="A106" s="741" t="s">
        <v>500</v>
      </c>
      <c r="B106" s="741" t="s">
        <v>1908</v>
      </c>
      <c r="C106" s="746">
        <v>3100</v>
      </c>
      <c r="D106" s="752" t="str">
        <f>'Revenues 9-14'!A132</f>
        <v>Total Special Education</v>
      </c>
      <c r="E106" s="739"/>
      <c r="F106" s="1793">
        <f>SUM('Revenues 9-14'!C132:D132,'Revenues 9-14'!F132)</f>
        <v>35089</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14419</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3023</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9136</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301456</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0</v>
      </c>
      <c r="G121" s="763"/>
    </row>
    <row r="122" spans="1:7" x14ac:dyDescent="0.2">
      <c r="A122" s="760" t="s">
        <v>497</v>
      </c>
      <c r="B122" s="760" t="s">
        <v>1924</v>
      </c>
      <c r="C122" s="761">
        <f>'Revenues 9-14'!B168</f>
        <v>3999</v>
      </c>
      <c r="D122" s="762" t="s">
        <v>540</v>
      </c>
      <c r="E122" s="764"/>
      <c r="F122" s="1793">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3">
        <f>SUM('Revenues 9-14'!C198,'Revenues 9-14'!G198)</f>
        <v>320597</v>
      </c>
      <c r="G126" s="763"/>
    </row>
    <row r="127" spans="1:7" x14ac:dyDescent="0.2">
      <c r="A127" s="760" t="s">
        <v>663</v>
      </c>
      <c r="B127" s="760" t="s">
        <v>1929</v>
      </c>
      <c r="C127" s="765">
        <v>4300</v>
      </c>
      <c r="D127" s="766" t="str">
        <f>'Revenues 9-14'!A204</f>
        <v>Total Title I</v>
      </c>
      <c r="E127" s="739"/>
      <c r="F127" s="1793">
        <f>SUM('Revenues 9-14'!C204,'Revenues 9-14'!D204,'Revenues 9-14'!F204,'Revenues 9-14'!G204)</f>
        <v>216915</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220704</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636</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21453</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5418</v>
      </c>
      <c r="G171" s="760"/>
    </row>
    <row r="172" spans="1:7" x14ac:dyDescent="0.2">
      <c r="A172" s="1529" t="s">
        <v>5</v>
      </c>
      <c r="B172" s="1530" t="s">
        <v>1883</v>
      </c>
      <c r="C172" s="1531">
        <v>3100</v>
      </c>
      <c r="D172" s="1532" t="s">
        <v>1885</v>
      </c>
      <c r="E172" s="739"/>
      <c r="F172" s="1794">
        <v>243525.95</v>
      </c>
      <c r="G172" s="760"/>
    </row>
    <row r="173" spans="1:7" x14ac:dyDescent="0.2">
      <c r="A173" s="1529" t="s">
        <v>659</v>
      </c>
      <c r="B173" s="1530" t="s">
        <v>1883</v>
      </c>
      <c r="C173" s="1531">
        <v>3300</v>
      </c>
      <c r="D173" s="1532" t="s">
        <v>1886</v>
      </c>
      <c r="E173" s="739"/>
      <c r="F173" s="1794">
        <v>43.11</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1705978.06</v>
      </c>
    </row>
    <row r="176" spans="1:7" ht="12" customHeight="1" x14ac:dyDescent="0.2">
      <c r="A176" s="1443"/>
      <c r="B176" s="1453"/>
      <c r="C176" s="1454"/>
      <c r="D176" s="1455" t="s">
        <v>2012</v>
      </c>
      <c r="E176" s="1456"/>
      <c r="F176" s="1793">
        <f>'PCTC-OEPP 27-28'!F78-F175</f>
        <v>8129632.9399999995</v>
      </c>
    </row>
    <row r="177" spans="1:9" ht="12" customHeight="1" x14ac:dyDescent="0.2">
      <c r="A177" s="1443"/>
      <c r="B177" s="1453"/>
      <c r="C177" s="1454"/>
      <c r="D177" s="1455" t="s">
        <v>1792</v>
      </c>
      <c r="E177" s="1456"/>
      <c r="F177" s="1793">
        <f>'Cap Outlay Deprec 26'!I18</f>
        <v>924618</v>
      </c>
    </row>
    <row r="178" spans="1:9" ht="12" customHeight="1" x14ac:dyDescent="0.2">
      <c r="A178" s="1443"/>
      <c r="B178" s="1453"/>
      <c r="C178" s="1454"/>
      <c r="D178" s="1455" t="s">
        <v>2013</v>
      </c>
      <c r="E178" s="1456"/>
      <c r="F178" s="1793">
        <f>F176+F177</f>
        <v>9054250.9399999995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653.9</v>
      </c>
      <c r="G179" s="763"/>
      <c r="I179" s="701"/>
    </row>
    <row r="180" spans="1:9" ht="12" customHeight="1" thickBot="1" x14ac:dyDescent="0.25">
      <c r="A180" s="1443"/>
      <c r="B180" s="1457"/>
      <c r="C180" s="1454"/>
      <c r="D180" s="1455" t="s">
        <v>2015</v>
      </c>
      <c r="E180" s="1456" t="s">
        <v>1528</v>
      </c>
      <c r="F180" s="1798">
        <f>F178/F179</f>
        <v>13846.537605138399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45" customHeight="1" x14ac:dyDescent="0.25">
      <c r="A3" s="1865"/>
      <c r="B3" s="1866"/>
      <c r="C3" s="1865"/>
      <c r="D3" s="1865"/>
      <c r="E3" s="1865"/>
      <c r="F3" s="1865"/>
    </row>
    <row r="4" spans="1:6" ht="18.75" customHeight="1" x14ac:dyDescent="0.25">
      <c r="A4" s="2379" t="s">
        <v>1793</v>
      </c>
      <c r="B4" s="2380"/>
      <c r="C4" s="2380"/>
      <c r="D4" s="2380"/>
      <c r="E4" s="2380"/>
      <c r="F4" s="2381"/>
    </row>
    <row r="5" spans="1:6" x14ac:dyDescent="0.25">
      <c r="A5" s="2382"/>
      <c r="B5" s="2383"/>
      <c r="C5" s="2383"/>
      <c r="D5" s="2383"/>
      <c r="E5" s="2383"/>
      <c r="F5" s="2384"/>
    </row>
    <row r="6" spans="1:6" ht="18.75" x14ac:dyDescent="0.25">
      <c r="A6" s="1867" t="s">
        <v>1794</v>
      </c>
      <c r="B6" s="1868"/>
      <c r="C6" s="1869"/>
      <c r="D6" s="1869"/>
      <c r="E6" s="1869"/>
      <c r="F6" s="1870"/>
    </row>
    <row r="7" spans="1:6" ht="47.25" customHeight="1" x14ac:dyDescent="0.25">
      <c r="A7" s="2385" t="s">
        <v>1983</v>
      </c>
      <c r="B7" s="2386"/>
      <c r="C7" s="2386"/>
      <c r="D7" s="2386"/>
      <c r="E7" s="2386"/>
      <c r="F7" s="2387"/>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95" customHeight="1" x14ac:dyDescent="0.25">
      <c r="A10" s="2388" t="s">
        <v>1979</v>
      </c>
      <c r="B10" s="2389"/>
      <c r="C10" s="2389"/>
      <c r="D10" s="2389"/>
      <c r="E10" s="2389"/>
      <c r="F10" s="2390"/>
    </row>
    <row r="11" spans="1:6" ht="33" customHeight="1" x14ac:dyDescent="0.25">
      <c r="A11" s="2385" t="s">
        <v>1984</v>
      </c>
      <c r="B11" s="2386"/>
      <c r="C11" s="2386"/>
      <c r="D11" s="2386"/>
      <c r="E11" s="2386"/>
      <c r="F11" s="2387"/>
    </row>
    <row r="12" spans="1:6" ht="15" customHeight="1" x14ac:dyDescent="0.25">
      <c r="A12" s="1873" t="s">
        <v>1980</v>
      </c>
      <c r="B12" s="1874"/>
      <c r="C12" s="1875"/>
      <c r="D12" s="1875"/>
      <c r="E12" s="1875"/>
      <c r="F12" s="1876"/>
    </row>
    <row r="13" spans="1:6" ht="17.25" customHeight="1" x14ac:dyDescent="0.25">
      <c r="A13" s="2385" t="s">
        <v>1981</v>
      </c>
      <c r="B13" s="2386"/>
      <c r="C13" s="2386"/>
      <c r="D13" s="2386"/>
      <c r="E13" s="2386"/>
      <c r="F13" s="2387"/>
    </row>
    <row r="14" spans="1:6" ht="15" customHeight="1" x14ac:dyDescent="0.25">
      <c r="A14" s="1873" t="s">
        <v>1798</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037" t="s">
        <v>2083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M46"/>
  <sheetViews>
    <sheetView showGridLines="0" defaultGridColor="0" topLeftCell="A28"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v>388636</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49765.67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5429520</v>
      </c>
      <c r="F19" s="1802"/>
      <c r="G19" s="1804">
        <f>'Expenditures 15-22'!K33-SUM('Expenditures 15-22'!G33,'Expenditures 15-22'!I33)+'Expenditures 15-22'!D229</f>
        <v>5429520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315126</v>
      </c>
      <c r="F21" s="1805"/>
      <c r="G21" s="1808">
        <f>'Expenditures 15-22'!K42-SUM('Expenditures 15-22'!G42,'Expenditures 15-22'!I42)+'Expenditures 15-22'!K120-SUM('Expenditures 15-22'!G120,'Expenditures 15-22'!I120)+'Expenditures 15-22'!K180-SUM('Expenditures 15-22'!G180,'Expenditures 15-22'!I180)+'Expenditures 15-22'!D238</f>
        <v>315126</v>
      </c>
      <c r="H21" s="817"/>
      <c r="I21" s="157"/>
    </row>
    <row r="22" spans="1:9" s="542" customFormat="1" ht="12" customHeight="1" x14ac:dyDescent="0.2">
      <c r="A22" s="824" t="s">
        <v>560</v>
      </c>
      <c r="B22" s="825"/>
      <c r="C22" s="823">
        <v>2200</v>
      </c>
      <c r="D22" s="1805"/>
      <c r="E22" s="1807">
        <f>'Expenditures 15-22'!K47-SUM('Expenditures 15-22'!G47,'Expenditures 15-22'!I47)+'Expenditures 15-22'!D243</f>
        <v>481662</v>
      </c>
      <c r="F22" s="1805"/>
      <c r="G22" s="1808">
        <f>'Expenditures 15-22'!K47-SUM('Expenditures 15-22'!G47,'Expenditures 15-22'!I47)+'Expenditures 15-22'!D243</f>
        <v>481662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617638</v>
      </c>
      <c r="F23" s="1805"/>
      <c r="G23" s="1807">
        <f>'Expenditures 15-22'!K53-SUM('Expenditures 15-22'!G53,'Expenditures 15-22'!I53)+'Expenditures 15-22'!D257+'Expenditures 15-22'!K330-SUM('Expenditures 15-22'!G330,'Expenditures 15-22'!I330)</f>
        <v>617638</v>
      </c>
      <c r="H23" s="817"/>
      <c r="I23" s="157"/>
    </row>
    <row r="24" spans="1:9" s="542" customFormat="1" ht="12" customHeight="1" x14ac:dyDescent="0.2">
      <c r="A24" s="824" t="s">
        <v>562</v>
      </c>
      <c r="B24" s="825"/>
      <c r="C24" s="823">
        <v>2400</v>
      </c>
      <c r="D24" s="1805"/>
      <c r="E24" s="1807">
        <f>'Expenditures 15-22'!K57-SUM('Expenditures 15-22'!G57,'Expenditures 15-22'!I57)+'Expenditures 15-22'!D261</f>
        <v>606356</v>
      </c>
      <c r="F24" s="1805"/>
      <c r="G24" s="1808">
        <f>'Expenditures 15-22'!K57-SUM('Expenditures 15-22'!G57,'Expenditures 15-22'!I57)+'Expenditures 15-22'!D261</f>
        <v>606356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52622</v>
      </c>
      <c r="E27" s="1807">
        <f>E8</f>
        <v>0</v>
      </c>
      <c r="F27" s="1807">
        <f>'Expenditures 15-22'!K60-SUM('Expenditures 15-22'!G60,'Expenditures 15-22'!I60)+'Expenditures 15-22'!D264-E8</f>
        <v>52622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924458</v>
      </c>
      <c r="F28" s="1809">
        <f>'Expenditures 15-22'!K61-SUM('Expenditures 15-22'!G61,'Expenditures 15-22'!I61)+'Expenditures 15-22'!K124-SUM('Expenditures 15-22'!G124,'Expenditures 15-22'!I124)+'Expenditures 15-22'!D266-E9</f>
        <v>924458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513321</v>
      </c>
      <c r="F29" s="1805"/>
      <c r="G29" s="1808">
        <f>'Expenditures 15-22'!K62-SUM('Expenditures 15-22'!G62,'Expenditures 15-22'!I62)+'Expenditures 15-22'!K125-SUM('Expenditures 15-22'!G125,'Expenditures 15-22'!I125)+'Expenditures 15-22'!K182-SUM('Expenditures 15-22'!G182,'Expenditures 15-22'!I182)+'Expenditures 15-22'!D267</f>
        <v>513321</v>
      </c>
      <c r="H29" s="815"/>
    </row>
    <row r="30" spans="1:9" ht="12" customHeight="1" x14ac:dyDescent="0.2">
      <c r="A30" s="824" t="s">
        <v>100</v>
      </c>
      <c r="B30" s="827"/>
      <c r="C30" s="823">
        <v>2560</v>
      </c>
      <c r="D30" s="1805"/>
      <c r="E30" s="1807">
        <f>'Expenditures 15-22'!K63-SUM('Expenditures 15-22'!G63,'Expenditures 15-22'!I63)+'Expenditures 15-22'!D268-E10</f>
        <v>233129</v>
      </c>
      <c r="F30" s="1805"/>
      <c r="G30" s="1807">
        <f>'Expenditures 15-22'!K63-SUM('Expenditures 15-22'!G63,'Expenditures 15-22'!I63)+'Expenditures 15-22'!D268-E10</f>
        <v>233129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52622</v>
      </c>
      <c r="E41" s="1809">
        <f>SUM(E19:E40)</f>
        <v>9121210</v>
      </c>
      <c r="F41" s="1809">
        <f>SUM(F19:F39)</f>
        <v>977080</v>
      </c>
      <c r="G41" s="1809">
        <f>SUM(G19:G40)</f>
        <v>8196752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52622</v>
      </c>
      <c r="F43" s="1458" t="s">
        <v>470</v>
      </c>
      <c r="G43" s="1810">
        <f>F41</f>
        <v>977080</v>
      </c>
    </row>
    <row r="44" spans="1:7" ht="12" customHeight="1" x14ac:dyDescent="0.2">
      <c r="A44" s="817"/>
      <c r="B44" s="157"/>
      <c r="C44" s="831"/>
      <c r="D44" s="1458" t="s">
        <v>471</v>
      </c>
      <c r="E44" s="1810">
        <f>E41</f>
        <v>9121210</v>
      </c>
      <c r="F44" s="1458" t="s">
        <v>471</v>
      </c>
      <c r="G44" s="1810">
        <f>G41</f>
        <v>8196752</v>
      </c>
    </row>
    <row r="45" spans="1:7" ht="12" customHeight="1" x14ac:dyDescent="0.2">
      <c r="A45" s="817"/>
      <c r="B45" s="157"/>
      <c r="C45" s="157"/>
      <c r="D45" s="1459" t="s">
        <v>999</v>
      </c>
      <c r="E45" s="1811">
        <f>(E43/E44)</f>
        <v>5.7691907104430225E-3</v>
      </c>
      <c r="F45" s="1459" t="s">
        <v>999</v>
      </c>
      <c r="G45" s="1811">
        <f>(G43/G44)</f>
        <v>0.1192033137027935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fitToPage="1"/>
  </sheetPr>
  <dimension ref="A1:O97"/>
  <sheetViews>
    <sheetView showGridLines="0" zoomScale="110" zoomScaleNormal="110" workbookViewId="0">
      <selection activeCell="F19" sqref="F1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Knoxville CUSD 202</v>
      </c>
      <c r="D6" s="2417"/>
      <c r="E6" s="2417"/>
      <c r="F6" s="1482"/>
      <c r="G6" s="1507"/>
      <c r="L6" s="1507"/>
      <c r="M6" s="1855"/>
      <c r="N6" s="1855"/>
      <c r="O6" s="1855"/>
    </row>
    <row r="7" spans="1:15" ht="11.25" customHeight="1" thickBot="1" x14ac:dyDescent="0.3">
      <c r="A7" s="1480"/>
      <c r="B7" s="1481"/>
      <c r="C7" s="2418">
        <f>COVER!A13</f>
        <v>33048202026</v>
      </c>
      <c r="D7" s="2418"/>
      <c r="E7" s="2418"/>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9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2049</v>
      </c>
      <c r="D15" s="1495" t="s">
        <v>2049</v>
      </c>
      <c r="E15" s="1498" t="s">
        <v>2049</v>
      </c>
      <c r="F15" s="1497" t="s">
        <v>2084</v>
      </c>
      <c r="G15" s="1507"/>
      <c r="H15" s="1507">
        <f t="shared" si="0"/>
        <v>5</v>
      </c>
      <c r="I15" s="1507">
        <f t="shared" si="1"/>
        <v>5</v>
      </c>
      <c r="J15" s="1507">
        <f t="shared" si="2"/>
        <v>5</v>
      </c>
      <c r="L15" s="1507"/>
      <c r="M15" s="1855"/>
      <c r="N15" s="1855"/>
      <c r="O15" s="1855"/>
    </row>
    <row r="16" spans="1:15" ht="12" customHeight="1" x14ac:dyDescent="0.2">
      <c r="A16" s="1493" t="s">
        <v>1372</v>
      </c>
      <c r="B16" s="1494"/>
      <c r="C16" s="1495" t="s">
        <v>2049</v>
      </c>
      <c r="D16" s="1495" t="s">
        <v>2049</v>
      </c>
      <c r="E16" s="1498" t="s">
        <v>2049</v>
      </c>
      <c r="F16" s="1497" t="s">
        <v>2073</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2049</v>
      </c>
      <c r="D19" s="1495" t="s">
        <v>2049</v>
      </c>
      <c r="E19" s="1498" t="s">
        <v>2049</v>
      </c>
      <c r="F19" s="1497" t="s">
        <v>2074</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2049</v>
      </c>
      <c r="D26" s="1495" t="s">
        <v>2049</v>
      </c>
      <c r="E26" s="1498" t="s">
        <v>2049</v>
      </c>
      <c r="F26" s="1497" t="s">
        <v>2075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2049</v>
      </c>
      <c r="D31" s="1495" t="s">
        <v>2049</v>
      </c>
      <c r="E31" s="1498" t="s">
        <v>2049</v>
      </c>
      <c r="F31" s="1497" t="s">
        <v>2076</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fitToHeight="0"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N83"/>
  <sheetViews>
    <sheetView showGridLines="0" zoomScaleNormal="100" workbookViewId="0">
      <selection activeCell="G14" sqref="G1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2000</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Knoxville CUSD 202</v>
      </c>
      <c r="K6" s="2439"/>
      <c r="L6" s="2453"/>
      <c r="M6" s="838"/>
      <c r="N6" s="1999"/>
    </row>
    <row r="7" spans="1:14" x14ac:dyDescent="0.2">
      <c r="A7" s="2454" t="s">
        <v>864</v>
      </c>
      <c r="B7" s="2455"/>
      <c r="C7" s="2455"/>
      <c r="D7" s="2455"/>
      <c r="E7" s="2456"/>
      <c r="F7" s="839"/>
      <c r="G7" s="838"/>
      <c r="H7" s="838"/>
      <c r="I7" s="1925" t="s">
        <v>369</v>
      </c>
      <c r="J7" s="2441">
        <f>COVER!A13</f>
        <v>33048202026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2016</v>
      </c>
      <c r="F9" s="1857"/>
      <c r="G9" s="1857"/>
      <c r="H9" s="1857"/>
      <c r="I9" s="1930" t="s">
        <v>2017</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2018</v>
      </c>
      <c r="H11" s="1940" t="s">
        <v>155</v>
      </c>
      <c r="I11" s="1938" t="s">
        <v>64</v>
      </c>
      <c r="J11" s="1938" t="s">
        <v>6</v>
      </c>
      <c r="K11" s="1939" t="s">
        <v>1999</v>
      </c>
      <c r="L11" s="1940" t="s">
        <v>155</v>
      </c>
      <c r="M11" s="838"/>
      <c r="N11" s="1999"/>
    </row>
    <row r="12" spans="1:14" x14ac:dyDescent="0.2">
      <c r="A12" s="2004">
        <v>1</v>
      </c>
      <c r="B12" s="1941" t="s">
        <v>813</v>
      </c>
      <c r="C12" s="842"/>
      <c r="D12" s="1942">
        <v>2320</v>
      </c>
      <c r="E12" s="1945">
        <f>'Expenditures 15-22'!K50</f>
        <v>211750</v>
      </c>
      <c r="F12" s="1943"/>
      <c r="G12" s="1969">
        <f>G68</f>
        <v>0</v>
      </c>
      <c r="H12" s="1945">
        <f t="shared" ref="H12:H18" si="0">SUM(E12:G12)</f>
        <v>211750</v>
      </c>
      <c r="I12" s="1944">
        <v>126300</v>
      </c>
      <c r="J12" s="1943"/>
      <c r="K12" s="1944"/>
      <c r="L12" s="1945">
        <f t="shared" ref="L12:L18" si="1">SUM(I12:K12)</f>
        <v>126300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176322</v>
      </c>
      <c r="H14" s="1945">
        <f t="shared" si="0"/>
        <v>176322</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211750</v>
      </c>
      <c r="F19" s="1951">
        <f t="shared" si="2"/>
        <v>0</v>
      </c>
      <c r="G19" s="1951">
        <f t="shared" ref="G19" si="3">SUM(G12:G17)-G18</f>
        <v>176322</v>
      </c>
      <c r="H19" s="1951">
        <f t="shared" si="2"/>
        <v>388072</v>
      </c>
      <c r="I19" s="1951">
        <f t="shared" si="2"/>
        <v>126300</v>
      </c>
      <c r="J19" s="1951">
        <f t="shared" si="2"/>
        <v>0</v>
      </c>
      <c r="K19" s="1951">
        <f t="shared" si="2"/>
        <v>0</v>
      </c>
      <c r="L19" s="1951">
        <f t="shared" si="2"/>
        <v>126300</v>
      </c>
      <c r="M19" s="838"/>
      <c r="N19" s="1999"/>
    </row>
    <row r="20" spans="1:14" ht="13.5" thickTop="1" x14ac:dyDescent="0.2">
      <c r="A20" s="2004">
        <v>9</v>
      </c>
      <c r="B20" s="2463" t="s">
        <v>2019</v>
      </c>
      <c r="C20" s="2463"/>
      <c r="D20" s="2464"/>
      <c r="E20" s="1952"/>
      <c r="F20" s="1952"/>
      <c r="G20" s="1952"/>
      <c r="H20" s="1952"/>
      <c r="I20" s="1952"/>
      <c r="J20" s="1952"/>
      <c r="K20" s="1952"/>
      <c r="L20" s="1953">
        <f>IF(AND(H19&gt;0,L19&gt;0),(((L19-H19)/H19)),"Enter Budget Data")</f>
        <v>-0.67454492980684</v>
      </c>
      <c r="M20" s="838"/>
      <c r="N20" s="1999"/>
    </row>
    <row r="21" spans="1:14" x14ac:dyDescent="0.2">
      <c r="A21" s="2006" t="s">
        <v>194</v>
      </c>
      <c r="B21" s="2007" t="s">
        <v>2044</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2020</v>
      </c>
      <c r="B24" s="2011"/>
      <c r="C24" s="2012"/>
      <c r="D24" s="2012"/>
      <c r="E24" s="2012"/>
      <c r="F24" s="2012"/>
      <c r="G24" s="2012"/>
      <c r="H24" s="2012"/>
      <c r="I24" s="2012"/>
      <c r="J24" s="2012"/>
      <c r="K24" s="2012"/>
      <c r="L24" s="838"/>
      <c r="M24" s="838"/>
      <c r="N24" s="1999"/>
    </row>
    <row r="25" spans="1:14" x14ac:dyDescent="0.2">
      <c r="A25" s="2010" t="s">
        <v>2021</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2022</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2023</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2024</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2025</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2026</v>
      </c>
      <c r="B45" s="1984"/>
      <c r="C45" s="1984"/>
      <c r="D45" s="1984"/>
      <c r="E45" s="1984"/>
      <c r="F45" s="1984"/>
      <c r="G45" s="1984"/>
      <c r="H45" s="1984"/>
      <c r="I45" s="1984"/>
      <c r="J45" s="1984"/>
      <c r="K45" s="1984"/>
      <c r="L45" s="1984"/>
      <c r="M45" s="1984"/>
      <c r="N45" s="1985"/>
    </row>
    <row r="46" spans="1:14" x14ac:dyDescent="0.2">
      <c r="A46" s="2436" t="s">
        <v>2027</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2043</v>
      </c>
      <c r="B49" s="2025"/>
      <c r="C49" s="2025"/>
      <c r="D49" s="2026"/>
      <c r="E49" s="2026"/>
      <c r="F49" s="2026"/>
      <c r="G49" s="2026"/>
      <c r="H49" s="2026"/>
      <c r="I49" s="2026"/>
      <c r="J49" s="2026"/>
      <c r="K49" s="2026"/>
      <c r="L49" s="2026"/>
      <c r="M49" s="2026"/>
      <c r="N49" s="2027"/>
    </row>
    <row r="50" spans="1:14" ht="15" x14ac:dyDescent="0.25">
      <c r="A50" s="2029" t="s">
        <v>2042</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Knoxville CUSD 202</v>
      </c>
      <c r="M52" s="2439"/>
      <c r="N52" s="2440"/>
    </row>
    <row r="53" spans="1:14" x14ac:dyDescent="0.2">
      <c r="A53" s="1983"/>
      <c r="B53" s="1984"/>
      <c r="C53" s="1984"/>
      <c r="D53" s="1984"/>
      <c r="E53" s="1984"/>
      <c r="F53" s="1984"/>
      <c r="G53" s="1984"/>
      <c r="H53" s="1984"/>
      <c r="I53" s="1984"/>
      <c r="J53" s="1984"/>
      <c r="K53" s="1925" t="s">
        <v>369</v>
      </c>
      <c r="L53" s="2441">
        <f>J7</f>
        <v>33048202026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2028</v>
      </c>
      <c r="H55" s="2445"/>
      <c r="I55" s="2445"/>
      <c r="J55" s="2445"/>
      <c r="K55" s="2445"/>
      <c r="L55" s="2445"/>
      <c r="M55" s="2445"/>
      <c r="N55" s="2446"/>
    </row>
    <row r="56" spans="1:14" ht="63.75" x14ac:dyDescent="0.2">
      <c r="A56" s="2447" t="s">
        <v>2029</v>
      </c>
      <c r="B56" s="2448"/>
      <c r="C56" s="2449"/>
      <c r="D56" s="1965" t="s">
        <v>2030</v>
      </c>
      <c r="E56" s="1965" t="s">
        <v>2031</v>
      </c>
      <c r="F56" s="1972"/>
      <c r="G56" s="1965" t="s">
        <v>2032</v>
      </c>
      <c r="H56" s="1965" t="s">
        <v>2033</v>
      </c>
      <c r="I56" s="1965" t="s">
        <v>2034</v>
      </c>
      <c r="J56" s="1965" t="s">
        <v>2035</v>
      </c>
      <c r="K56" s="1965" t="s">
        <v>2036</v>
      </c>
      <c r="L56" s="1965" t="s">
        <v>2037</v>
      </c>
      <c r="M56" s="1965" t="s">
        <v>2038</v>
      </c>
      <c r="N56" s="1966" t="s">
        <v>2045</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2039</v>
      </c>
      <c r="B58" s="2428"/>
      <c r="C58" s="2428"/>
      <c r="D58" s="1968">
        <v>2362</v>
      </c>
      <c r="E58" s="1978">
        <f>'Expenditures 15-22'!K320</f>
        <v>69654</v>
      </c>
      <c r="F58" s="1973"/>
      <c r="G58" s="2032"/>
      <c r="H58" s="2033"/>
      <c r="I58" s="2033">
        <v>69654</v>
      </c>
      <c r="J58" s="2033"/>
      <c r="K58" s="2033"/>
      <c r="L58" s="2033"/>
      <c r="M58" s="2033"/>
      <c r="N58" s="1976">
        <f>IF((SUM(G58:M58))=E58,SUM(G58:M58),"Column N does not agree with Column E")</f>
        <v>69654</v>
      </c>
    </row>
    <row r="59" spans="1:14" ht="24.75" customHeight="1" x14ac:dyDescent="0.2">
      <c r="A59" s="2421" t="s">
        <v>297</v>
      </c>
      <c r="B59" s="2422"/>
      <c r="C59" s="2422"/>
      <c r="D59" s="1968">
        <v>2363</v>
      </c>
      <c r="E59" s="1978">
        <f>'Expenditures 15-22'!K321</f>
        <v>502</v>
      </c>
      <c r="F59" s="1973"/>
      <c r="G59" s="2032"/>
      <c r="H59" s="2033"/>
      <c r="I59" s="2033">
        <v>502</v>
      </c>
      <c r="J59" s="2033"/>
      <c r="K59" s="2033"/>
      <c r="L59" s="2033"/>
      <c r="M59" s="2033"/>
      <c r="N59" s="1976">
        <f>IF((SUM(G59:M59))=E59,SUM(G59:M59),"Column N does not agree with Column E")</f>
        <v>502</v>
      </c>
    </row>
    <row r="60" spans="1:14" ht="24" customHeight="1" x14ac:dyDescent="0.2">
      <c r="A60" s="2421" t="s">
        <v>236</v>
      </c>
      <c r="B60" s="2422"/>
      <c r="C60" s="2422"/>
      <c r="D60" s="1968">
        <v>2364</v>
      </c>
      <c r="E60" s="1978">
        <f>'Expenditures 15-22'!K322</f>
        <v>69473</v>
      </c>
      <c r="F60" s="1973"/>
      <c r="G60" s="2032"/>
      <c r="H60" s="2033"/>
      <c r="I60" s="2033">
        <v>69473</v>
      </c>
      <c r="J60" s="2033"/>
      <c r="K60" s="2033"/>
      <c r="L60" s="2033"/>
      <c r="M60" s="2033"/>
      <c r="N60" s="1976">
        <f t="shared" ref="N60:N67" si="4">IF((SUM(G60:M60))=E60,SUM(G60:M60),"Column N does not agree with Column E")</f>
        <v>69473</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16455</v>
      </c>
      <c r="F63" s="1973"/>
      <c r="G63" s="2032"/>
      <c r="H63" s="2033"/>
      <c r="I63" s="2033">
        <v>16455</v>
      </c>
      <c r="J63" s="2033"/>
      <c r="K63" s="2033"/>
      <c r="L63" s="2033"/>
      <c r="M63" s="2033"/>
      <c r="N63" s="1976">
        <f t="shared" si="4"/>
        <v>16455</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20238</v>
      </c>
      <c r="F65" s="1973"/>
      <c r="G65" s="2032"/>
      <c r="H65" s="2033"/>
      <c r="I65" s="2033">
        <v>20238</v>
      </c>
      <c r="J65" s="2033"/>
      <c r="K65" s="2033"/>
      <c r="L65" s="2033"/>
      <c r="M65" s="2033"/>
      <c r="N65" s="1976">
        <f t="shared" si="4"/>
        <v>20238</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2040</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176322</v>
      </c>
      <c r="F68" s="1974"/>
      <c r="G68" s="1975">
        <f t="shared" ref="G68:N68" si="5">SUM(G57:G67)</f>
        <v>0</v>
      </c>
      <c r="H68" s="1975">
        <f t="shared" si="5"/>
        <v>0</v>
      </c>
      <c r="I68" s="1975">
        <f t="shared" si="5"/>
        <v>176322</v>
      </c>
      <c r="J68" s="1975">
        <f t="shared" si="5"/>
        <v>0</v>
      </c>
      <c r="K68" s="1975">
        <f t="shared" si="5"/>
        <v>0</v>
      </c>
      <c r="L68" s="1975">
        <f t="shared" si="5"/>
        <v>0</v>
      </c>
      <c r="M68" s="1975">
        <f t="shared" si="5"/>
        <v>0</v>
      </c>
      <c r="N68" s="1989">
        <f t="shared" si="5"/>
        <v>176322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2041</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&amp;RThe notes to the financial statements are an integral part of this statement.</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B65"/>
  <sheetViews>
    <sheetView showGridLines="0" zoomScale="110" zoomScaleNormal="110" workbookViewId="0">
      <selection activeCell="B24" sqref="B24:B2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8" t="s">
        <v>2085</v>
      </c>
    </row>
    <row r="5" spans="1:2" x14ac:dyDescent="0.2">
      <c r="A5" s="847">
        <v>1</v>
      </c>
      <c r="B5" s="307" t="s">
        <v>2086</v>
      </c>
    </row>
    <row r="6" spans="1:2" x14ac:dyDescent="0.2">
      <c r="A6" s="847">
        <v>2</v>
      </c>
      <c r="B6" s="307" t="s">
        <v>2087</v>
      </c>
    </row>
    <row r="7" spans="1:2" x14ac:dyDescent="0.2">
      <c r="A7" s="847">
        <v>3</v>
      </c>
      <c r="B7" s="307" t="s">
        <v>2088</v>
      </c>
    </row>
    <row r="8" spans="1:2" x14ac:dyDescent="0.2">
      <c r="A8" s="847">
        <v>4</v>
      </c>
      <c r="B8" s="307" t="s">
        <v>2089</v>
      </c>
    </row>
    <row r="9" spans="1:2" x14ac:dyDescent="0.2">
      <c r="A9" s="848">
        <v>5</v>
      </c>
      <c r="B9" s="307" t="s">
        <v>2090</v>
      </c>
    </row>
    <row r="10" spans="1:2" x14ac:dyDescent="0.2">
      <c r="A10" s="848">
        <v>6</v>
      </c>
      <c r="B10" s="307" t="s">
        <v>2091</v>
      </c>
    </row>
    <row r="11" spans="1:2" x14ac:dyDescent="0.2">
      <c r="A11" s="848"/>
    </row>
    <row r="12" spans="1:2" x14ac:dyDescent="0.2">
      <c r="A12" s="848"/>
      <c r="B12" s="2038" t="s">
        <v>2092</v>
      </c>
    </row>
    <row r="13" spans="1:2" x14ac:dyDescent="0.2">
      <c r="A13" s="848">
        <v>7</v>
      </c>
      <c r="B13" s="307" t="s">
        <v>2093</v>
      </c>
    </row>
    <row r="14" spans="1:2" x14ac:dyDescent="0.2">
      <c r="A14" s="848"/>
    </row>
    <row r="15" spans="1:2" x14ac:dyDescent="0.2">
      <c r="A15" s="848"/>
      <c r="B15" s="2038" t="s">
        <v>338</v>
      </c>
    </row>
    <row r="16" spans="1:2" x14ac:dyDescent="0.2">
      <c r="A16" s="848">
        <v>8</v>
      </c>
      <c r="B16" s="307" t="s">
        <v>2094</v>
      </c>
    </row>
    <row r="17" spans="1:2" x14ac:dyDescent="0.2">
      <c r="A17" s="848"/>
    </row>
    <row r="18" spans="1:2" x14ac:dyDescent="0.2">
      <c r="A18" s="848"/>
      <c r="B18" s="2038" t="s">
        <v>2095</v>
      </c>
    </row>
    <row r="19" spans="1:2" x14ac:dyDescent="0.2">
      <c r="A19" s="848">
        <v>9</v>
      </c>
      <c r="B19" s="307" t="s">
        <v>2096</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Knoxville CUSD 202</v>
      </c>
    </row>
    <row r="65" spans="2:2" x14ac:dyDescent="0.2">
      <c r="B65" s="849">
        <f>COVER!A13</f>
        <v>33048202026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2046</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95" customHeight="1" thickBot="1" x14ac:dyDescent="0.25">
      <c r="A35" s="2155" t="s">
        <v>1056</v>
      </c>
      <c r="B35" s="2155"/>
      <c r="C35" s="2155"/>
      <c r="D35" s="2155"/>
      <c r="E35" s="2155"/>
    </row>
    <row r="36" spans="1:5" ht="12.75" thickTop="1" x14ac:dyDescent="0.2">
      <c r="B36" s="168"/>
      <c r="C36" s="169"/>
      <c r="D36" s="169"/>
      <c r="E36" s="170"/>
    </row>
    <row r="37" spans="1:5" ht="1.7"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1999999999999993"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6" sqref="E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2" customHeight="1" x14ac:dyDescent="0.2">
      <c r="A16" s="852"/>
      <c r="B16" s="852" t="s">
        <v>1971</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2</xdr:col>
                <xdr:colOff>0</xdr:colOff>
                <xdr:row>4</xdr:row>
                <xdr:rowOff>0</xdr:rowOff>
              </from>
              <to>
                <xdr:col>3</xdr:col>
                <xdr:colOff>304800</xdr:colOff>
                <xdr:row>8</xdr:row>
                <xdr:rowOff>123825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4</xdr:col>
                <xdr:colOff>0</xdr:colOff>
                <xdr:row>5</xdr:row>
                <xdr:rowOff>0</xdr:rowOff>
              </from>
              <to>
                <xdr:col>5</xdr:col>
                <xdr:colOff>304800</xdr:colOff>
                <xdr:row>9</xdr:row>
                <xdr:rowOff>123825</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2"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1970</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4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9191591</v>
      </c>
      <c r="C8" s="1813">
        <f>'Acct Summary 7-8'!D8</f>
        <v>593803</v>
      </c>
      <c r="D8" s="1813">
        <f>'Acct Summary 7-8'!F8</f>
        <v>670318</v>
      </c>
      <c r="E8" s="1813">
        <f>'Acct Summary 7-8'!I8</f>
        <v>59355</v>
      </c>
      <c r="F8" s="1813">
        <f>SUM(B8:E8)</f>
        <v>10515067</v>
      </c>
    </row>
    <row r="9" spans="1:8" s="858" customFormat="1" ht="14.25" customHeight="1" thickBot="1" x14ac:dyDescent="0.25">
      <c r="A9" s="857" t="s">
        <v>1353</v>
      </c>
      <c r="B9" s="1814">
        <f>'Acct Summary 7-8'!C17</f>
        <v>9238356</v>
      </c>
      <c r="C9" s="1814">
        <f>'Acct Summary 7-8'!D17</f>
        <v>736445</v>
      </c>
      <c r="D9" s="1814">
        <f>'Acct Summary 7-8'!F17</f>
        <v>754763</v>
      </c>
      <c r="E9" s="1813"/>
      <c r="F9" s="1813">
        <f>SUM(B9:E9)</f>
        <v>10729564</v>
      </c>
    </row>
    <row r="10" spans="1:8" s="858" customFormat="1" ht="14.25" thickTop="1" thickBot="1" x14ac:dyDescent="0.25">
      <c r="A10" s="859" t="s">
        <v>1354</v>
      </c>
      <c r="B10" s="1815">
        <f>(B8-B9)</f>
        <v>-46765</v>
      </c>
      <c r="C10" s="1815">
        <f>(C8-C9)</f>
        <v>-142642</v>
      </c>
      <c r="D10" s="1815">
        <f>(D8-D9)</f>
        <v>-84445</v>
      </c>
      <c r="E10" s="1814">
        <f>(E8-E9)</f>
        <v>59355</v>
      </c>
      <c r="F10" s="1816">
        <f>SUM(F8-F9)</f>
        <v>-214497</v>
      </c>
    </row>
    <row r="11" spans="1:8" s="858" customFormat="1" ht="14.25" thickTop="1" thickBot="1" x14ac:dyDescent="0.25">
      <c r="A11" s="860" t="s">
        <v>1901</v>
      </c>
      <c r="B11" s="1817">
        <f>'Acct Summary 7-8'!C81</f>
        <v>2229545</v>
      </c>
      <c r="C11" s="1817">
        <f>'Acct Summary 7-8'!D81</f>
        <v>-20846</v>
      </c>
      <c r="D11" s="1817">
        <f>'Acct Summary 7-8'!F81</f>
        <v>116273</v>
      </c>
      <c r="E11" s="1817">
        <f>'Acct Summary 7-8'!I81</f>
        <v>34940</v>
      </c>
      <c r="F11" s="1818">
        <f>SUM(B11:E11)</f>
        <v>2359912</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7" customHeight="1" x14ac:dyDescent="0.2">
      <c r="A13" s="863"/>
      <c r="B13" s="864"/>
      <c r="C13" s="2474"/>
      <c r="D13" s="2475"/>
      <c r="E13" s="2475"/>
      <c r="F13" s="2476"/>
      <c r="H13" s="853"/>
    </row>
    <row r="14" spans="1:8" ht="19.7"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9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75"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ht="22.5" x14ac:dyDescent="0.2">
      <c r="A82" s="877"/>
      <c r="B82" s="899">
        <v>15</v>
      </c>
      <c r="C82" s="909" t="s">
        <v>1882</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1965</v>
      </c>
      <c r="F1" s="1543" t="s">
        <v>1966</v>
      </c>
      <c r="G1" s="1900" t="s">
        <v>1976</v>
      </c>
    </row>
    <row r="2" spans="1:7" ht="15.75" x14ac:dyDescent="0.25">
      <c r="A2" t="s">
        <v>260</v>
      </c>
      <c r="B2" s="135">
        <f>COVER!A13</f>
        <v>33048202026</v>
      </c>
      <c r="E2" s="1542">
        <v>2020</v>
      </c>
      <c r="F2" s="1542">
        <v>1</v>
      </c>
      <c r="G2" s="1899">
        <v>101000300</v>
      </c>
    </row>
    <row r="3" spans="1:7" ht="15" x14ac:dyDescent="0.25">
      <c r="A3" t="s">
        <v>950</v>
      </c>
      <c r="B3" s="135" t="str">
        <f>COVER!A15</f>
        <v>KNOX</v>
      </c>
      <c r="E3" s="1830" t="s">
        <v>1969</v>
      </c>
      <c r="F3" s="1830" t="s">
        <v>1968</v>
      </c>
      <c r="G3" s="1899">
        <v>101000400</v>
      </c>
    </row>
    <row r="4" spans="1:7" ht="15" x14ac:dyDescent="0.25">
      <c r="A4" t="s">
        <v>1000</v>
      </c>
      <c r="B4" s="135" t="str">
        <f>COVER!A17</f>
        <v>Knoxville CUSD 202</v>
      </c>
      <c r="E4" s="1828">
        <v>44119</v>
      </c>
      <c r="F4" s="1829">
        <v>44151</v>
      </c>
      <c r="G4" s="1899">
        <v>101000600</v>
      </c>
    </row>
    <row r="5" spans="1:7" ht="15" x14ac:dyDescent="0.25">
      <c r="A5" t="s">
        <v>699</v>
      </c>
      <c r="B5" s="135" t="str">
        <f>COVER!A38</f>
        <v>JOE BURGESS, JR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JODI SCOTT</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065-024137</v>
      </c>
      <c r="G15" s="1899">
        <v>402100400</v>
      </c>
    </row>
    <row r="16" spans="1:7" ht="15" x14ac:dyDescent="0.25">
      <c r="A16" t="s">
        <v>419</v>
      </c>
      <c r="B16" s="135" t="str">
        <f>COVER!T13</f>
        <v>BLUCKER, KNEER &amp; ASSOCIATES, LTD</v>
      </c>
      <c r="G16" s="1899">
        <v>402100600</v>
      </c>
    </row>
    <row r="17" spans="1:7" ht="15" x14ac:dyDescent="0.25">
      <c r="A17" t="s">
        <v>878</v>
      </c>
      <c r="B17" s="135" t="str">
        <f>COVER!T15</f>
        <v>TERESA A. WELCH</v>
      </c>
      <c r="G17" s="1899">
        <v>402100800</v>
      </c>
    </row>
    <row r="18" spans="1:7" ht="15" x14ac:dyDescent="0.25">
      <c r="A18" t="s">
        <v>1140</v>
      </c>
      <c r="B18" s="135" t="str">
        <f>COVER!T17</f>
        <v>P.O. BOX 1464</v>
      </c>
      <c r="G18" s="1899">
        <v>102200300</v>
      </c>
    </row>
    <row r="19" spans="1:7" ht="15" x14ac:dyDescent="0.25">
      <c r="A19" t="s">
        <v>880</v>
      </c>
      <c r="B19" s="135" t="str">
        <f>COVER!T25</f>
        <v>teresabka@gmail.com</v>
      </c>
      <c r="G19" s="1899">
        <v>102200400</v>
      </c>
    </row>
    <row r="20" spans="1:7" ht="15" x14ac:dyDescent="0.25">
      <c r="A20" t="s">
        <v>881</v>
      </c>
      <c r="B20" s="135" t="str">
        <f>COVER!T19</f>
        <v>GALESBURG</v>
      </c>
      <c r="G20" s="1899">
        <v>102200600</v>
      </c>
    </row>
    <row r="21" spans="1:7" ht="15" x14ac:dyDescent="0.25">
      <c r="A21" t="s">
        <v>476</v>
      </c>
      <c r="B21" s="135" t="str">
        <f>COVER!X19</f>
        <v>IL</v>
      </c>
      <c r="G21" s="1899">
        <v>102200800</v>
      </c>
    </row>
    <row r="22" spans="1:7" ht="15" x14ac:dyDescent="0.25">
      <c r="A22" t="s">
        <v>882</v>
      </c>
      <c r="B22" s="135">
        <f>COVER!Z19</f>
        <v>61401</v>
      </c>
      <c r="G22" s="1899">
        <v>102300300</v>
      </c>
    </row>
    <row r="23" spans="1:7" ht="15" x14ac:dyDescent="0.25">
      <c r="A23" t="s">
        <v>1142</v>
      </c>
      <c r="B23" s="135" t="str">
        <f>COVER!T21</f>
        <v>309-343-4156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t="str">
        <f>IF('FP Info 3'!B51="X","Yes",0)</f>
        <v>Yes</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491419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2229545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2229545</v>
      </c>
      <c r="D92" s="2" t="str">
        <f t="shared" si="0"/>
        <v>Error?</v>
      </c>
      <c r="G92" s="1899">
        <v>102640600</v>
      </c>
    </row>
    <row r="93" spans="1:7" ht="15" x14ac:dyDescent="0.25">
      <c r="A93" s="5">
        <v>32</v>
      </c>
      <c r="B93" s="1832">
        <f>'Assets-Liab 5-6'!C41</f>
        <v>2229545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31608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31608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52454</v>
      </c>
      <c r="C122" s="2" t="s">
        <v>569</v>
      </c>
      <c r="D122" s="2" t="str">
        <f t="shared" si="0"/>
        <v>Error?</v>
      </c>
      <c r="G122" s="1899">
        <v>203000300</v>
      </c>
    </row>
    <row r="123" spans="1:7" ht="15" x14ac:dyDescent="0.25">
      <c r="A123" s="5">
        <v>62</v>
      </c>
      <c r="B123" s="1832">
        <f>'Assets-Liab 5-6'!D39</f>
        <v>-20846</v>
      </c>
      <c r="D123" s="2" t="str">
        <f t="shared" si="0"/>
        <v>Error?</v>
      </c>
      <c r="G123" s="1899">
        <v>203000400</v>
      </c>
    </row>
    <row r="124" spans="1:7" ht="15" x14ac:dyDescent="0.25">
      <c r="A124" s="5">
        <v>63</v>
      </c>
      <c r="B124" s="1832">
        <f>'Assets-Liab 5-6'!D41</f>
        <v>31608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12495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12495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370820</v>
      </c>
      <c r="C139" s="2" t="s">
        <v>569</v>
      </c>
      <c r="D139" s="2" t="str">
        <f t="shared" si="1"/>
        <v>Error?</v>
      </c>
    </row>
    <row r="140" spans="1:7" x14ac:dyDescent="0.2">
      <c r="A140" s="5">
        <v>79</v>
      </c>
      <c r="B140" s="1832">
        <f>'Assets-Liab 5-6'!E39</f>
        <v>-358325</v>
      </c>
      <c r="D140" s="2" t="str">
        <f t="shared" si="1"/>
        <v>Error?</v>
      </c>
    </row>
    <row r="141" spans="1:7" x14ac:dyDescent="0.2">
      <c r="A141" s="5">
        <v>80</v>
      </c>
      <c r="B141" s="1832">
        <f>'Assets-Liab 5-6'!E41</f>
        <v>12495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259187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259187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142914</v>
      </c>
      <c r="C169" s="2" t="s">
        <v>569</v>
      </c>
      <c r="D169" s="2" t="str">
        <f t="shared" si="1"/>
        <v>Error?</v>
      </c>
    </row>
    <row r="170" spans="1:4" x14ac:dyDescent="0.2">
      <c r="A170" s="5">
        <v>109</v>
      </c>
      <c r="B170" s="1832">
        <f>'Assets-Liab 5-6'!F39</f>
        <v>116273</v>
      </c>
      <c r="D170" s="2" t="str">
        <f t="shared" si="1"/>
        <v>Error?</v>
      </c>
    </row>
    <row r="171" spans="1:4" x14ac:dyDescent="0.2">
      <c r="A171" s="5">
        <v>110</v>
      </c>
      <c r="B171" s="1832">
        <f>'Assets-Liab 5-6'!F41</f>
        <v>259187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104272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287637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287637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186182</v>
      </c>
      <c r="D273" s="2" t="str">
        <f t="shared" si="3"/>
        <v>Error?</v>
      </c>
    </row>
    <row r="274" spans="1:4" x14ac:dyDescent="0.2">
      <c r="A274" s="5">
        <v>213</v>
      </c>
      <c r="B274" s="1832">
        <f>'Assets-Liab 5-6'!M17</f>
        <v>46536441</v>
      </c>
      <c r="D274" s="2" t="str">
        <f t="shared" si="3"/>
        <v>Error?</v>
      </c>
    </row>
    <row r="275" spans="1:4" x14ac:dyDescent="0.2">
      <c r="A275" s="5">
        <v>214</v>
      </c>
      <c r="B275" s="1832">
        <f>'Assets-Liab 5-6'!M18</f>
        <v>0</v>
      </c>
      <c r="D275" s="2" t="str">
        <f t="shared" si="3"/>
        <v>Error?</v>
      </c>
    </row>
    <row r="276" spans="1:4" x14ac:dyDescent="0.2">
      <c r="A276" s="5">
        <v>215</v>
      </c>
      <c r="B276" s="1832">
        <f>'Assets-Liab 5-6'!M19</f>
        <v>2124064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48875292</v>
      </c>
      <c r="C279" s="2" t="s">
        <v>569</v>
      </c>
      <c r="D279" s="2" t="str">
        <f t="shared" si="3"/>
        <v>Error?</v>
      </c>
    </row>
    <row r="280" spans="1:4" x14ac:dyDescent="0.2">
      <c r="A280" s="5">
        <v>219</v>
      </c>
      <c r="B280" s="1832">
        <f>'Assets-Liab 5-6'!M40</f>
        <v>48875292</v>
      </c>
      <c r="D280" s="2" t="str">
        <f t="shared" si="3"/>
        <v>Error?</v>
      </c>
    </row>
    <row r="281" spans="1:4" x14ac:dyDescent="0.2">
      <c r="A281" s="5">
        <v>220</v>
      </c>
      <c r="B281" s="1832">
        <f>'Assets-Liab 5-6'!M41</f>
        <v>48875292</v>
      </c>
      <c r="C281" s="2" t="s">
        <v>569</v>
      </c>
      <c r="D281" s="2" t="str">
        <f t="shared" si="3"/>
        <v>Error?</v>
      </c>
    </row>
    <row r="282" spans="1:4" x14ac:dyDescent="0.2">
      <c r="A282" s="5">
        <v>221</v>
      </c>
      <c r="B282" s="1832">
        <f>'Assets-Liab 5-6'!N21</f>
        <v>12495</v>
      </c>
      <c r="D282" s="2" t="str">
        <f t="shared" si="3"/>
        <v>Error?</v>
      </c>
    </row>
    <row r="283" spans="1:4" x14ac:dyDescent="0.2">
      <c r="A283" s="5">
        <v>222</v>
      </c>
      <c r="B283" s="1832">
        <f>'Assets-Liab 5-6'!N22</f>
        <v>11397505</v>
      </c>
      <c r="D283" s="2" t="str">
        <f t="shared" si="3"/>
        <v>Error?</v>
      </c>
    </row>
    <row r="284" spans="1:4" x14ac:dyDescent="0.2">
      <c r="A284" s="5">
        <v>223</v>
      </c>
      <c r="B284" s="1832">
        <f>'Assets-Liab 5-6'!N23</f>
        <v>11410000</v>
      </c>
      <c r="C284" s="2" t="s">
        <v>569</v>
      </c>
      <c r="D284" s="2" t="str">
        <f t="shared" si="3"/>
        <v>Error?</v>
      </c>
    </row>
    <row r="285" spans="1:4" x14ac:dyDescent="0.2">
      <c r="A285" s="5">
        <v>224</v>
      </c>
      <c r="B285" s="1832">
        <f>'Assets-Liab 5-6'!N36</f>
        <v>11410000</v>
      </c>
      <c r="D285" s="2" t="str">
        <f t="shared" si="3"/>
        <v>Error?</v>
      </c>
    </row>
    <row r="286" spans="1:4" x14ac:dyDescent="0.2">
      <c r="A286" s="10">
        <v>225</v>
      </c>
      <c r="B286" s="1832"/>
      <c r="D286" s="2" t="str">
        <f t="shared" si="3"/>
        <v>OK</v>
      </c>
    </row>
    <row r="287" spans="1:4" x14ac:dyDescent="0.2">
      <c r="A287" s="5">
        <v>226</v>
      </c>
      <c r="B287" s="1832">
        <f>'Assets-Liab 5-6'!N37</f>
        <v>11410000</v>
      </c>
      <c r="C287" s="2" t="s">
        <v>569</v>
      </c>
      <c r="D287" s="2" t="str">
        <f t="shared" si="3"/>
        <v>Error?</v>
      </c>
    </row>
    <row r="288" spans="1:4" x14ac:dyDescent="0.2">
      <c r="A288" s="5">
        <v>227</v>
      </c>
      <c r="B288" s="1832">
        <f>'Assets-Liab 5-6'!N41</f>
        <v>11410000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3347982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220977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4304257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174157</v>
      </c>
      <c r="D722" s="2" t="str">
        <f t="shared" si="10"/>
        <v>Error?</v>
      </c>
    </row>
    <row r="723" spans="1:4" x14ac:dyDescent="0.2">
      <c r="A723" s="5">
        <v>662</v>
      </c>
      <c r="B723" s="1832">
        <f>'Expenditures 15-22'!C38</f>
        <v>70082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1760</v>
      </c>
      <c r="D726" s="2" t="str">
        <f t="shared" si="10"/>
        <v>Error?</v>
      </c>
    </row>
    <row r="727" spans="1:4" x14ac:dyDescent="0.2">
      <c r="A727" s="5">
        <v>666</v>
      </c>
      <c r="B727" s="1832">
        <f>'Expenditures 15-22'!C42</f>
        <v>245999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104272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104272</v>
      </c>
      <c r="C731" s="2" t="s">
        <v>569</v>
      </c>
      <c r="D731" s="2" t="str">
        <f t="shared" si="10"/>
        <v>Error?</v>
      </c>
    </row>
    <row r="732" spans="1:4" x14ac:dyDescent="0.2">
      <c r="A732" s="5">
        <v>671</v>
      </c>
      <c r="B732" s="1832">
        <f>'Expenditures 15-22'!C49</f>
        <v>2439</v>
      </c>
      <c r="D732" s="2" t="str">
        <f t="shared" si="10"/>
        <v>Error?</v>
      </c>
    </row>
    <row r="733" spans="1:4" x14ac:dyDescent="0.2">
      <c r="A733" s="5">
        <v>672</v>
      </c>
      <c r="B733" s="1832">
        <f>'Expenditures 15-22'!C50</f>
        <v>183240</v>
      </c>
      <c r="D733" s="2" t="str">
        <f t="shared" si="10"/>
        <v>Error?</v>
      </c>
    </row>
    <row r="734" spans="1:4" x14ac:dyDescent="0.2">
      <c r="A734" s="5">
        <v>673</v>
      </c>
      <c r="B734" s="1832">
        <f>'Expenditures 15-22'!C53</f>
        <v>185679</v>
      </c>
      <c r="C734" s="2" t="s">
        <v>569</v>
      </c>
      <c r="D734" s="2" t="str">
        <f t="shared" si="10"/>
        <v>Error?</v>
      </c>
    </row>
    <row r="735" spans="1:4" x14ac:dyDescent="0.2">
      <c r="A735" s="5">
        <v>674</v>
      </c>
      <c r="B735" s="1832">
        <f>'Expenditures 15-22'!C55</f>
        <v>511748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511748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50776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203823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254599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1302297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5606554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471884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28996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655763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50093</v>
      </c>
      <c r="D780" s="2" t="str">
        <f t="shared" si="11"/>
        <v>Error?</v>
      </c>
    </row>
    <row r="781" spans="1:4" x14ac:dyDescent="0.2">
      <c r="A781" s="5">
        <v>720</v>
      </c>
      <c r="B781" s="1832">
        <f>'Expenditures 15-22'!D38</f>
        <v>8215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58308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17732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17732</v>
      </c>
      <c r="C789" s="2" t="s">
        <v>569</v>
      </c>
      <c r="D789" s="2" t="str">
        <f t="shared" si="11"/>
        <v>Error?</v>
      </c>
    </row>
    <row r="790" spans="1:4" x14ac:dyDescent="0.2">
      <c r="A790" s="5">
        <v>729</v>
      </c>
      <c r="B790" s="1832">
        <f>'Expenditures 15-22'!D49</f>
        <v>70229</v>
      </c>
      <c r="D790" s="2" t="str">
        <f t="shared" si="11"/>
        <v>Error?</v>
      </c>
    </row>
    <row r="791" spans="1:4" x14ac:dyDescent="0.2">
      <c r="A791" s="5">
        <v>730</v>
      </c>
      <c r="B791" s="1832">
        <f>'Expenditures 15-22'!D50</f>
        <v>26107</v>
      </c>
      <c r="D791" s="2" t="str">
        <f t="shared" si="11"/>
        <v>Error?</v>
      </c>
    </row>
    <row r="792" spans="1:4" x14ac:dyDescent="0.2">
      <c r="A792" s="5">
        <v>731</v>
      </c>
      <c r="B792" s="1832">
        <f>'Expenditures 15-22'!D53</f>
        <v>96336</v>
      </c>
      <c r="C792" s="2" t="s">
        <v>569</v>
      </c>
      <c r="D792" s="2" t="str">
        <f t="shared" si="11"/>
        <v>Error?</v>
      </c>
    </row>
    <row r="793" spans="1:4" x14ac:dyDescent="0.2">
      <c r="A793" s="5">
        <v>732</v>
      </c>
      <c r="B793" s="1832">
        <f>'Expenditures 15-22'!D55</f>
        <v>90506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90506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318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16731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17049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279931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935694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3438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14221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4171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4171</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93209</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93209</v>
      </c>
      <c r="C847" s="2" t="s">
        <v>569</v>
      </c>
      <c r="D847" s="2" t="str">
        <f t="shared" si="12"/>
        <v>Error?</v>
      </c>
    </row>
    <row r="848" spans="1:4" x14ac:dyDescent="0.2">
      <c r="A848" s="5">
        <v>787</v>
      </c>
      <c r="B848" s="1832">
        <f>'Expenditures 15-22'!E49</f>
        <v>108362</v>
      </c>
      <c r="D848" s="2" t="str">
        <f t="shared" si="12"/>
        <v>Error?</v>
      </c>
    </row>
    <row r="849" spans="1:4" x14ac:dyDescent="0.2">
      <c r="A849" s="5">
        <v>788</v>
      </c>
      <c r="B849" s="1832">
        <f>'Expenditures 15-22'!E50</f>
        <v>491</v>
      </c>
      <c r="D849" s="2" t="str">
        <f t="shared" si="12"/>
        <v>Error?</v>
      </c>
    </row>
    <row r="850" spans="1:4" x14ac:dyDescent="0.2">
      <c r="A850" s="5">
        <v>789</v>
      </c>
      <c r="B850" s="1832">
        <f>'Expenditures 15-22'!E53</f>
        <v>108853</v>
      </c>
      <c r="C850" s="2" t="s">
        <v>569</v>
      </c>
      <c r="D850" s="2" t="str">
        <f t="shared" si="12"/>
        <v>Error?</v>
      </c>
    </row>
    <row r="851" spans="1:4" x14ac:dyDescent="0.2">
      <c r="A851" s="5">
        <v>790</v>
      </c>
      <c r="B851" s="1832">
        <f>'Expenditures 15-22'!E55</f>
        <v>2717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2717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58938</v>
      </c>
      <c r="D856" s="2" t="str">
        <f t="shared" si="12"/>
        <v>Error?</v>
      </c>
    </row>
    <row r="857" spans="1:4" x14ac:dyDescent="0.2">
      <c r="A857" s="5">
        <v>796</v>
      </c>
      <c r="B857" s="1832">
        <f>'Expenditures 15-22'!E62</f>
        <v>1444</v>
      </c>
      <c r="D857" s="2" t="str">
        <f t="shared" si="12"/>
        <v>Error?</v>
      </c>
    </row>
    <row r="858" spans="1:4" x14ac:dyDescent="0.2">
      <c r="A858" s="5">
        <v>797</v>
      </c>
      <c r="B858" s="1832">
        <f>'Expenditures 15-22'!E63</f>
        <v>4077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64459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273409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310273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92458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27491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211833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2659</v>
      </c>
      <c r="D896" s="2" t="str">
        <f t="shared" si="13"/>
        <v>Error?</v>
      </c>
    </row>
    <row r="897" spans="1:4" x14ac:dyDescent="0.2">
      <c r="A897" s="5">
        <v>836</v>
      </c>
      <c r="B897" s="1832">
        <f>'Expenditures 15-22'!F38</f>
        <v>3989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6648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164266</v>
      </c>
      <c r="D903" s="2" t="str">
        <f t="shared" si="13"/>
        <v>Error?</v>
      </c>
    </row>
    <row r="904" spans="1:4" x14ac:dyDescent="0.2">
      <c r="A904" s="5">
        <v>843</v>
      </c>
      <c r="B904" s="1832">
        <f>'Expenditures 15-22'!F46</f>
        <v>102183</v>
      </c>
      <c r="D904" s="2" t="str">
        <f t="shared" si="13"/>
        <v>Error?</v>
      </c>
    </row>
    <row r="905" spans="1:4" x14ac:dyDescent="0.2">
      <c r="A905" s="5">
        <v>844</v>
      </c>
      <c r="B905" s="1832">
        <f>'Expenditures 15-22'!F47</f>
        <v>266449</v>
      </c>
      <c r="C905" s="2" t="s">
        <v>569</v>
      </c>
      <c r="D905" s="2" t="str">
        <f t="shared" si="13"/>
        <v>Error?</v>
      </c>
    </row>
    <row r="906" spans="1:4" x14ac:dyDescent="0.2">
      <c r="A906" s="5">
        <v>845</v>
      </c>
      <c r="B906" s="1832">
        <f>'Expenditures 15-22'!F49</f>
        <v>15055</v>
      </c>
      <c r="D906" s="2" t="str">
        <f t="shared" si="13"/>
        <v>Error?</v>
      </c>
    </row>
    <row r="907" spans="1:4" x14ac:dyDescent="0.2">
      <c r="A907" s="5">
        <v>846</v>
      </c>
      <c r="B907" s="1832">
        <f>'Expenditures 15-22'!F50</f>
        <v>150</v>
      </c>
      <c r="D907" s="2" t="str">
        <f t="shared" si="13"/>
        <v>Error?</v>
      </c>
    </row>
    <row r="908" spans="1:4" x14ac:dyDescent="0.2">
      <c r="A908" s="5">
        <v>847</v>
      </c>
      <c r="B908" s="1832">
        <f>'Expenditures 15-22'!F53</f>
        <v>15205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1528</v>
      </c>
      <c r="D913" s="2" t="str">
        <f t="shared" si="13"/>
        <v>Error?</v>
      </c>
    </row>
    <row r="914" spans="1:4" x14ac:dyDescent="0.2">
      <c r="A914" s="5">
        <v>853</v>
      </c>
      <c r="B914" s="1832">
        <f>'Expenditures 15-22'!F61</f>
        <v>241030</v>
      </c>
      <c r="D914" s="2" t="str">
        <f t="shared" si="13"/>
        <v>Error?</v>
      </c>
    </row>
    <row r="915" spans="1:4" x14ac:dyDescent="0.2">
      <c r="A915" s="5">
        <v>854</v>
      </c>
      <c r="B915" s="1832">
        <f>'Expenditures 15-22'!F62</f>
        <v>4713</v>
      </c>
      <c r="D915" s="2" t="str">
        <f t="shared" si="13"/>
        <v>Error?</v>
      </c>
    </row>
    <row r="916" spans="1:4" x14ac:dyDescent="0.2">
      <c r="A916" s="5">
        <v>855</v>
      </c>
      <c r="B916" s="1832">
        <f>'Expenditures 15-22'!F63</f>
        <v>396328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643599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931901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1143734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16585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802</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802</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-1652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-1652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34494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34494</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33644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50229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22098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22098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33481</v>
      </c>
      <c r="D1022" s="2" t="str">
        <f t="shared" si="14"/>
        <v>Error?</v>
      </c>
    </row>
    <row r="1023" spans="1:4" x14ac:dyDescent="0.2">
      <c r="A1023" s="5">
        <v>962</v>
      </c>
      <c r="B1023" s="1832">
        <f>'Expenditures 15-22'!H50</f>
        <v>1762</v>
      </c>
      <c r="D1023" s="2" t="str">
        <f t="shared" ref="D1023:D1086" si="15">IF(ISBLANK(B1023),"OK",IF(A1023-B1023=0,"OK","Error?"))</f>
        <v>Error?</v>
      </c>
    </row>
    <row r="1024" spans="1:4" x14ac:dyDescent="0.2">
      <c r="A1024" s="5">
        <v>963</v>
      </c>
      <c r="B1024" s="1832">
        <f>'Expenditures 15-22'!H53</f>
        <v>35243</v>
      </c>
      <c r="C1024" s="2" t="s">
        <v>569</v>
      </c>
      <c r="D1024" s="2" t="str">
        <f t="shared" si="15"/>
        <v>Error?</v>
      </c>
    </row>
    <row r="1025" spans="1:4" x14ac:dyDescent="0.2">
      <c r="A1025" s="5">
        <v>964</v>
      </c>
      <c r="B1025" s="1832">
        <f>'Expenditures 15-22'!H55</f>
        <v>1385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1385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806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806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37434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1132340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1191872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3915762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299562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5224757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226909</v>
      </c>
      <c r="C1110" s="2" t="s">
        <v>569</v>
      </c>
      <c r="D1110" s="2" t="str">
        <f t="shared" si="16"/>
        <v>Error?</v>
      </c>
    </row>
    <row r="1111" spans="1:4" x14ac:dyDescent="0.2">
      <c r="A1111" s="5">
        <v>1050</v>
      </c>
      <c r="B1111" s="1832">
        <f>'Expenditures 15-22'!K38</f>
        <v>87259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1760</v>
      </c>
      <c r="C1114" s="2" t="s">
        <v>569</v>
      </c>
      <c r="D1114" s="2" t="str">
        <f t="shared" si="16"/>
        <v>Error?</v>
      </c>
    </row>
    <row r="1115" spans="1:4" x14ac:dyDescent="0.2">
      <c r="A1115" s="5">
        <v>1054</v>
      </c>
      <c r="B1115" s="1832">
        <f>'Expenditures 15-22'!K42</f>
        <v>315928</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377827</v>
      </c>
      <c r="C1117" s="2" t="s">
        <v>569</v>
      </c>
      <c r="D1117" s="2" t="str">
        <f t="shared" si="16"/>
        <v>Error?</v>
      </c>
    </row>
    <row r="1118" spans="1:4" x14ac:dyDescent="0.2">
      <c r="A1118" s="5">
        <v>1057</v>
      </c>
      <c r="B1118" s="1832">
        <f>'Expenditures 15-22'!K46</f>
        <v>102183</v>
      </c>
      <c r="C1118" s="2" t="s">
        <v>569</v>
      </c>
      <c r="D1118" s="2" t="str">
        <f t="shared" si="16"/>
        <v>Error?</v>
      </c>
    </row>
    <row r="1119" spans="1:4" x14ac:dyDescent="0.2">
      <c r="A1119" s="5">
        <v>1058</v>
      </c>
      <c r="B1119" s="1832">
        <f>'Expenditures 15-22'!K47</f>
        <v>480010</v>
      </c>
      <c r="C1119" s="2" t="s">
        <v>569</v>
      </c>
      <c r="D1119" s="2" t="str">
        <f t="shared" si="16"/>
        <v>Error?</v>
      </c>
    </row>
    <row r="1120" spans="1:4" x14ac:dyDescent="0.2">
      <c r="A1120" s="5">
        <v>1059</v>
      </c>
      <c r="B1120" s="1832">
        <f>'Expenditures 15-22'!K49</f>
        <v>229566</v>
      </c>
      <c r="C1120" s="2" t="s">
        <v>569</v>
      </c>
      <c r="D1120" s="2" t="str">
        <f t="shared" si="16"/>
        <v>Error?</v>
      </c>
    </row>
    <row r="1121" spans="1:4" x14ac:dyDescent="0.2">
      <c r="A1121" s="5">
        <v>1060</v>
      </c>
      <c r="B1121" s="1832">
        <f>'Expenditures 15-22'!K50</f>
        <v>211750</v>
      </c>
      <c r="C1121" s="2" t="s">
        <v>569</v>
      </c>
      <c r="D1121" s="2" t="str">
        <f t="shared" si="16"/>
        <v>Error?</v>
      </c>
    </row>
    <row r="1122" spans="1:4" x14ac:dyDescent="0.2">
      <c r="A1122" s="5">
        <v>1061</v>
      </c>
      <c r="B1122" s="1832">
        <f>'Expenditures 15-22'!K53</f>
        <v>441316</v>
      </c>
      <c r="C1122" s="2" t="s">
        <v>569</v>
      </c>
      <c r="D1122" s="2" t="str">
        <f t="shared" si="16"/>
        <v>Error?</v>
      </c>
    </row>
    <row r="1123" spans="1:4" x14ac:dyDescent="0.2">
      <c r="A1123" s="5">
        <v>1062</v>
      </c>
      <c r="B1123" s="1832">
        <f>'Expenditures 15-22'!K55</f>
        <v>606356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606356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52622</v>
      </c>
      <c r="C1127" s="2" t="s">
        <v>569</v>
      </c>
      <c r="D1127" s="2" t="str">
        <f t="shared" si="16"/>
        <v>Error?</v>
      </c>
    </row>
    <row r="1128" spans="1:4" x14ac:dyDescent="0.2">
      <c r="A1128" s="5">
        <v>1067</v>
      </c>
      <c r="B1128" s="1832">
        <f>'Expenditures 15-22'!K61</f>
        <v>299968</v>
      </c>
      <c r="C1128" s="2" t="s">
        <v>569</v>
      </c>
      <c r="D1128" s="2" t="str">
        <f t="shared" si="16"/>
        <v>Error?</v>
      </c>
    </row>
    <row r="1129" spans="1:4" x14ac:dyDescent="0.2">
      <c r="A1129" s="5">
        <v>1068</v>
      </c>
      <c r="B1129" s="1832">
        <f>'Expenditures 15-22'!K62</f>
        <v>6157</v>
      </c>
      <c r="C1129" s="2" t="s">
        <v>569</v>
      </c>
      <c r="D1129" s="2" t="str">
        <f t="shared" si="16"/>
        <v>Error?</v>
      </c>
    </row>
    <row r="1130" spans="1:4" x14ac:dyDescent="0.2">
      <c r="A1130" s="5">
        <v>1069</v>
      </c>
      <c r="B1130" s="1832">
        <f>'Expenditures 15-22'!K63</f>
        <v>656259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1015006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2858616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1154983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9238356</v>
      </c>
      <c r="C1152" s="2" t="s">
        <v>569</v>
      </c>
      <c r="D1152" s="2" t="str">
        <f t="shared" si="17"/>
        <v>Error?</v>
      </c>
    </row>
    <row r="1153" spans="1:4" x14ac:dyDescent="0.2">
      <c r="A1153" s="5">
        <v>1092</v>
      </c>
      <c r="B1153" s="1832">
        <f>'Expenditures 15-22'!K115</f>
        <v>-46765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373971</v>
      </c>
      <c r="D1221" s="2" t="str">
        <f t="shared" si="18"/>
        <v>Error?</v>
      </c>
    </row>
    <row r="1222" spans="1:4" x14ac:dyDescent="0.2">
      <c r="A1222" s="10">
        <v>1161</v>
      </c>
      <c r="B1222" s="1832"/>
      <c r="D1222" s="2" t="str">
        <f t="shared" si="18"/>
        <v>OK</v>
      </c>
    </row>
    <row r="1223" spans="1:4" x14ac:dyDescent="0.2">
      <c r="A1223" s="5">
        <v>1162</v>
      </c>
      <c r="B1223" s="1832">
        <f>'Expenditures 15-22'!C127</f>
        <v>373971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373971</v>
      </c>
      <c r="C1225" s="2" t="s">
        <v>569</v>
      </c>
      <c r="D1225" s="2" t="str">
        <f t="shared" si="18"/>
        <v>Error?</v>
      </c>
    </row>
    <row r="1226" spans="1:4" x14ac:dyDescent="0.2">
      <c r="A1226" s="5">
        <v>1165</v>
      </c>
      <c r="B1226" s="1832">
        <f>'Expenditures 15-22'!C151</f>
        <v>373971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69148</v>
      </c>
      <c r="D1229" s="2" t="str">
        <f t="shared" si="18"/>
        <v>Error?</v>
      </c>
    </row>
    <row r="1230" spans="1:4" x14ac:dyDescent="0.2">
      <c r="A1230" s="10">
        <v>1169</v>
      </c>
      <c r="B1230" s="1832"/>
      <c r="D1230" s="2" t="str">
        <f t="shared" si="18"/>
        <v>OK</v>
      </c>
    </row>
    <row r="1231" spans="1:4" x14ac:dyDescent="0.2">
      <c r="A1231" s="5">
        <v>1170</v>
      </c>
      <c r="B1231" s="1832">
        <f>'Expenditures 15-22'!D127</f>
        <v>69148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69148</v>
      </c>
      <c r="C1233" s="2" t="s">
        <v>569</v>
      </c>
      <c r="D1233" s="2" t="str">
        <f t="shared" si="18"/>
        <v>Error?</v>
      </c>
    </row>
    <row r="1234" spans="1:4" x14ac:dyDescent="0.2">
      <c r="A1234" s="5">
        <v>1173</v>
      </c>
      <c r="B1234" s="1832">
        <f>'Expenditures 15-22'!D151</f>
        <v>69148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67068</v>
      </c>
      <c r="D1237" s="2" t="str">
        <f t="shared" si="18"/>
        <v>Error?</v>
      </c>
    </row>
    <row r="1238" spans="1:4" x14ac:dyDescent="0.2">
      <c r="A1238" s="10">
        <v>1177</v>
      </c>
      <c r="B1238" s="1832"/>
      <c r="D1238" s="2" t="str">
        <f t="shared" si="18"/>
        <v>OK</v>
      </c>
    </row>
    <row r="1239" spans="1:4" x14ac:dyDescent="0.2">
      <c r="A1239" s="5">
        <v>1178</v>
      </c>
      <c r="B1239" s="1832">
        <f>'Expenditures 15-22'!E127</f>
        <v>67068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67068</v>
      </c>
      <c r="C1241" s="2" t="s">
        <v>569</v>
      </c>
      <c r="D1241" s="2" t="str">
        <f t="shared" si="18"/>
        <v>Error?</v>
      </c>
    </row>
    <row r="1242" spans="1:4" x14ac:dyDescent="0.2">
      <c r="A1242" s="5">
        <v>1181</v>
      </c>
      <c r="B1242" s="1832">
        <f>'Expenditures 15-22'!E151</f>
        <v>67068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69184</v>
      </c>
      <c r="D1245" s="2" t="str">
        <f t="shared" si="18"/>
        <v>Error?</v>
      </c>
    </row>
    <row r="1246" spans="1:4" x14ac:dyDescent="0.2">
      <c r="A1246" s="10">
        <v>1185</v>
      </c>
      <c r="B1246" s="1832"/>
      <c r="D1246" s="2" t="str">
        <f t="shared" si="18"/>
        <v>OK</v>
      </c>
    </row>
    <row r="1247" spans="1:4" x14ac:dyDescent="0.2">
      <c r="A1247" s="5">
        <v>1186</v>
      </c>
      <c r="B1247" s="1832">
        <f>'Expenditures 15-22'!F127</f>
        <v>69184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69184</v>
      </c>
      <c r="C1249" s="2" t="s">
        <v>569</v>
      </c>
      <c r="D1249" s="2" t="str">
        <f t="shared" si="18"/>
        <v>Error?</v>
      </c>
    </row>
    <row r="1250" spans="1:4" x14ac:dyDescent="0.2">
      <c r="A1250" s="5">
        <v>1189</v>
      </c>
      <c r="B1250" s="1832">
        <f>'Expenditures 15-22'!F151</f>
        <v>69184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157074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157074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157074</v>
      </c>
      <c r="C1258" s="2" t="s">
        <v>569</v>
      </c>
      <c r="D1258" s="2" t="str">
        <f t="shared" si="18"/>
        <v>Error?</v>
      </c>
    </row>
    <row r="1259" spans="1:4" x14ac:dyDescent="0.2">
      <c r="A1259" s="5">
        <v>1198</v>
      </c>
      <c r="B1259" s="1832">
        <f>'Expenditures 15-22'!G151</f>
        <v>157074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736445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736445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736445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736445</v>
      </c>
      <c r="C1288" s="2" t="s">
        <v>569</v>
      </c>
      <c r="D1288" s="2" t="str">
        <f t="shared" si="19"/>
        <v>Error?</v>
      </c>
    </row>
    <row r="1289" spans="1:4" x14ac:dyDescent="0.2">
      <c r="A1289" s="5">
        <v>1228</v>
      </c>
      <c r="B1289" s="1832">
        <f>'Expenditures 15-22'!K152</f>
        <v>-142642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432351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640000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1073851</v>
      </c>
      <c r="C1317" s="2" t="s">
        <v>569</v>
      </c>
      <c r="D1317" s="2" t="str">
        <f t="shared" si="19"/>
        <v>Error?</v>
      </c>
    </row>
    <row r="1318" spans="1:4" x14ac:dyDescent="0.2">
      <c r="A1318" s="5">
        <v>1257</v>
      </c>
      <c r="B1318" s="1832">
        <f>'Expenditures 15-22'!H174</f>
        <v>1073851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432351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640000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1073851</v>
      </c>
      <c r="C1331" s="2" t="s">
        <v>569</v>
      </c>
      <c r="D1331" s="2" t="str">
        <f t="shared" si="19"/>
        <v>Error?</v>
      </c>
    </row>
    <row r="1332" spans="1:4" x14ac:dyDescent="0.2">
      <c r="A1332" s="5">
        <v>1271</v>
      </c>
      <c r="B1332" s="1832">
        <f>'Expenditures 15-22'!K174</f>
        <v>1073851</v>
      </c>
      <c r="C1332" s="2" t="s">
        <v>569</v>
      </c>
      <c r="D1332" s="2" t="str">
        <f t="shared" si="19"/>
        <v>Error?</v>
      </c>
    </row>
    <row r="1333" spans="1:4" x14ac:dyDescent="0.2">
      <c r="A1333" s="5">
        <v>1272</v>
      </c>
      <c r="B1333" s="1832">
        <f>'Expenditures 15-22'!K175</f>
        <v>-317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345557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345557</v>
      </c>
      <c r="C1339" s="2" t="s">
        <v>569</v>
      </c>
      <c r="D1339" s="2" t="str">
        <f t="shared" si="19"/>
        <v>Error?</v>
      </c>
    </row>
    <row r="1340" spans="1:4" x14ac:dyDescent="0.2">
      <c r="A1340" s="5">
        <v>1279</v>
      </c>
      <c r="B1340" s="1832">
        <f>'Expenditures 15-22'!C210</f>
        <v>345557</v>
      </c>
      <c r="C1340" s="2" t="s">
        <v>569</v>
      </c>
      <c r="D1340" s="2" t="str">
        <f t="shared" si="19"/>
        <v>Error?</v>
      </c>
    </row>
    <row r="1341" spans="1:4" x14ac:dyDescent="0.2">
      <c r="A1341" s="5">
        <v>1280</v>
      </c>
      <c r="B1341" s="1832">
        <f>'Expenditures 15-22'!D182</f>
        <v>8259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8259</v>
      </c>
      <c r="C1345" s="2" t="s">
        <v>569</v>
      </c>
      <c r="D1345" s="2" t="str">
        <f t="shared" si="20"/>
        <v>Error?</v>
      </c>
    </row>
    <row r="1346" spans="1:4" x14ac:dyDescent="0.2">
      <c r="A1346" s="5">
        <v>1285</v>
      </c>
      <c r="B1346" s="1832">
        <f>'Expenditures 15-22'!D210</f>
        <v>8259</v>
      </c>
      <c r="C1346" s="2" t="s">
        <v>569</v>
      </c>
      <c r="D1346" s="2" t="str">
        <f t="shared" si="20"/>
        <v>Error?</v>
      </c>
    </row>
    <row r="1347" spans="1:4" x14ac:dyDescent="0.2">
      <c r="A1347" s="5">
        <v>1286</v>
      </c>
      <c r="B1347" s="1832">
        <f>'Expenditures 15-22'!E182</f>
        <v>20620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20620</v>
      </c>
      <c r="C1351" s="2" t="s">
        <v>569</v>
      </c>
      <c r="D1351" s="2" t="str">
        <f t="shared" si="20"/>
        <v>Error?</v>
      </c>
    </row>
    <row r="1352" spans="1:4" x14ac:dyDescent="0.2">
      <c r="A1352" s="5">
        <v>1291</v>
      </c>
      <c r="B1352" s="1832">
        <f>'Expenditures 15-22'!E196</f>
        <v>19146</v>
      </c>
      <c r="C1352" s="2" t="s">
        <v>569</v>
      </c>
      <c r="D1352" s="2" t="str">
        <f t="shared" si="20"/>
        <v>Error?</v>
      </c>
    </row>
    <row r="1353" spans="1:4" x14ac:dyDescent="0.2">
      <c r="A1353" s="5">
        <v>1292</v>
      </c>
      <c r="B1353" s="1832">
        <f>'Expenditures 15-22'!E210</f>
        <v>39766</v>
      </c>
      <c r="C1353" s="2" t="s">
        <v>569</v>
      </c>
      <c r="D1353" s="2" t="str">
        <f t="shared" si="20"/>
        <v>Error?</v>
      </c>
    </row>
    <row r="1354" spans="1:4" x14ac:dyDescent="0.2">
      <c r="A1354" s="5">
        <v>1293</v>
      </c>
      <c r="B1354" s="1832">
        <f>'Expenditures 15-22'!F182</f>
        <v>99229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99229</v>
      </c>
      <c r="C1358" s="2" t="s">
        <v>569</v>
      </c>
      <c r="D1358" s="2" t="str">
        <f t="shared" si="20"/>
        <v>Error?</v>
      </c>
    </row>
    <row r="1359" spans="1:4" x14ac:dyDescent="0.2">
      <c r="A1359" s="5">
        <v>1298</v>
      </c>
      <c r="B1359" s="1832">
        <f>'Expenditures 15-22'!F210</f>
        <v>99229</v>
      </c>
      <c r="C1359" s="2" t="s">
        <v>569</v>
      </c>
      <c r="D1359" s="2" t="str">
        <f t="shared" si="20"/>
        <v>Error?</v>
      </c>
    </row>
    <row r="1360" spans="1:4" x14ac:dyDescent="0.2">
      <c r="A1360" s="5">
        <v>1299</v>
      </c>
      <c r="B1360" s="1832">
        <f>'Expenditures 15-22'!G182</f>
        <v>261952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261952</v>
      </c>
      <c r="C1364" s="2" t="s">
        <v>569</v>
      </c>
      <c r="D1364" s="2" t="str">
        <f t="shared" si="20"/>
        <v>Error?</v>
      </c>
    </row>
    <row r="1365" spans="1:4" x14ac:dyDescent="0.2">
      <c r="A1365" s="5">
        <v>1304</v>
      </c>
      <c r="B1365" s="1832">
        <f>'Expenditures 15-22'!G210</f>
        <v>261952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735617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735617</v>
      </c>
      <c r="C1381" s="2" t="s">
        <v>569</v>
      </c>
      <c r="D1381" s="2" t="str">
        <f t="shared" si="20"/>
        <v>Error?</v>
      </c>
    </row>
    <row r="1382" spans="1:4" x14ac:dyDescent="0.2">
      <c r="A1382" s="5">
        <v>1321</v>
      </c>
      <c r="B1382" s="1832">
        <f>'Expenditures 15-22'!K196</f>
        <v>19146</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754763</v>
      </c>
      <c r="C1388" s="2" t="s">
        <v>569</v>
      </c>
      <c r="D1388" s="2" t="str">
        <f t="shared" si="20"/>
        <v>Error?</v>
      </c>
    </row>
    <row r="1389" spans="1:4" x14ac:dyDescent="0.2">
      <c r="A1389" s="5">
        <v>1328</v>
      </c>
      <c r="B1389" s="1832">
        <f>'Expenditures 15-22'!K211</f>
        <v>-84445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221348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45119</v>
      </c>
      <c r="D1431" s="2" t="str">
        <f t="shared" si="21"/>
        <v>Error?</v>
      </c>
    </row>
    <row r="1432" spans="1:4" x14ac:dyDescent="0.2">
      <c r="A1432" s="5">
        <v>1371</v>
      </c>
      <c r="B1432" s="1832">
        <f>'Expenditures 15-22'!D267</f>
        <v>33499</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78618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78618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299966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221348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45119</v>
      </c>
      <c r="C1495" s="2" t="s">
        <v>569</v>
      </c>
      <c r="D1495" s="2" t="str">
        <f t="shared" si="22"/>
        <v>Error?</v>
      </c>
    </row>
    <row r="1496" spans="1:4" x14ac:dyDescent="0.2">
      <c r="A1496" s="5">
        <v>1435</v>
      </c>
      <c r="B1496" s="1832">
        <f>'Expenditures 15-22'!K267</f>
        <v>33499</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78618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78618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299966</v>
      </c>
      <c r="C1517" s="2" t="s">
        <v>569</v>
      </c>
      <c r="D1517" s="2" t="str">
        <f t="shared" si="22"/>
        <v>Error?</v>
      </c>
    </row>
    <row r="1518" spans="1:4" x14ac:dyDescent="0.2">
      <c r="A1518" s="5">
        <v>1457</v>
      </c>
      <c r="B1518" s="1832">
        <f>'Expenditures 15-22'!K296</f>
        <v>-21250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2276310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2229545</v>
      </c>
      <c r="C1630" s="2" t="s">
        <v>569</v>
      </c>
      <c r="D1630" s="2" t="str">
        <f t="shared" si="24"/>
        <v>Error?</v>
      </c>
    </row>
    <row r="1631" spans="1:4" x14ac:dyDescent="0.2">
      <c r="A1631" s="5">
        <v>1570</v>
      </c>
      <c r="B1631" s="1832">
        <f>'Acct Summary 7-8'!D79</f>
        <v>-44269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-20846</v>
      </c>
      <c r="C1644" s="2" t="s">
        <v>569</v>
      </c>
      <c r="D1644" s="2" t="str">
        <f t="shared" si="24"/>
        <v>Error?</v>
      </c>
    </row>
    <row r="1645" spans="1:4" x14ac:dyDescent="0.2">
      <c r="A1645" s="5">
        <v>1584</v>
      </c>
      <c r="B1645" s="1832">
        <f>'Acct Summary 7-8'!E79</f>
        <v>-358008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-358325</v>
      </c>
      <c r="C1658" s="2" t="s">
        <v>569</v>
      </c>
      <c r="D1658" s="2" t="str">
        <f t="shared" si="24"/>
        <v>Error?</v>
      </c>
    </row>
    <row r="1659" spans="1:4" x14ac:dyDescent="0.2">
      <c r="A1659" s="5">
        <v>1598</v>
      </c>
      <c r="B1659" s="1832">
        <f>'Acct Summary 7-8'!F79</f>
        <v>200718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116273</v>
      </c>
      <c r="C1672" s="2" t="s">
        <v>569</v>
      </c>
      <c r="D1672" s="2" t="str">
        <f t="shared" si="25"/>
        <v>Error?</v>
      </c>
    </row>
    <row r="1673" spans="1:4" x14ac:dyDescent="0.2">
      <c r="A1673" s="5">
        <v>1612</v>
      </c>
      <c r="B1673" s="1832">
        <f>'Acct Summary 7-8'!G79</f>
        <v>308887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287637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3438267</v>
      </c>
      <c r="C1744" s="2" t="s">
        <v>569</v>
      </c>
      <c r="D1744" s="2" t="str">
        <f t="shared" si="26"/>
        <v>Error?</v>
      </c>
    </row>
    <row r="1745" spans="1:5" x14ac:dyDescent="0.2">
      <c r="A1745" s="5">
        <v>1684</v>
      </c>
      <c r="B1745" s="1832">
        <f>'Tax Sched 23'!B5</f>
        <v>592803</v>
      </c>
      <c r="C1745" s="2" t="s">
        <v>569</v>
      </c>
      <c r="D1745" s="2" t="str">
        <f t="shared" si="26"/>
        <v>Error?</v>
      </c>
    </row>
    <row r="1746" spans="1:5" x14ac:dyDescent="0.2">
      <c r="A1746" s="5">
        <v>1685</v>
      </c>
      <c r="B1746" s="1832">
        <f>'Tax Sched 23'!B6</f>
        <v>425895</v>
      </c>
      <c r="C1746" s="2" t="s">
        <v>569</v>
      </c>
      <c r="D1746" s="2" t="str">
        <f t="shared" si="26"/>
        <v>Error?</v>
      </c>
    </row>
    <row r="1747" spans="1:5" x14ac:dyDescent="0.2">
      <c r="A1747" s="5">
        <v>1686</v>
      </c>
      <c r="B1747" s="1832">
        <f>'Tax Sched 23'!B7</f>
        <v>237124</v>
      </c>
      <c r="C1747" s="2" t="s">
        <v>569</v>
      </c>
      <c r="D1747" s="2" t="str">
        <f t="shared" si="26"/>
        <v>Error?</v>
      </c>
    </row>
    <row r="1748" spans="1:5" x14ac:dyDescent="0.2">
      <c r="A1748" s="5">
        <v>1687</v>
      </c>
      <c r="B1748" s="1832">
        <f>'Tax Sched 23'!B8</f>
        <v>26731</v>
      </c>
      <c r="C1748" s="2" t="s">
        <v>569</v>
      </c>
      <c r="D1748" s="2" t="str">
        <f t="shared" si="26"/>
        <v>Error?</v>
      </c>
    </row>
    <row r="1749" spans="1:5" x14ac:dyDescent="0.2">
      <c r="A1749" s="5">
        <v>1688</v>
      </c>
      <c r="B1749" s="1832">
        <f>'Tax Sched 23'!B10</f>
        <v>59282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240543</v>
      </c>
      <c r="C1752" s="2" t="s">
        <v>569</v>
      </c>
      <c r="D1752" s="2" t="str">
        <f t="shared" si="26"/>
        <v>Error?</v>
      </c>
    </row>
    <row r="1753" spans="1:5" x14ac:dyDescent="0.2">
      <c r="A1753" s="5">
        <v>1692</v>
      </c>
      <c r="B1753" s="1832">
        <f>'Tax Sched 23'!B12</f>
        <v>59282</v>
      </c>
      <c r="C1753" s="2" t="s">
        <v>569</v>
      </c>
      <c r="D1753" s="2" t="str">
        <f t="shared" si="26"/>
        <v>Error?</v>
      </c>
    </row>
    <row r="1754" spans="1:5" x14ac:dyDescent="0.2">
      <c r="A1754" s="5">
        <v>1693</v>
      </c>
      <c r="B1754" s="1832">
        <f>'Tax Sched 23'!B14</f>
        <v>47423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5213363</v>
      </c>
      <c r="C1759" s="2" t="s">
        <v>569</v>
      </c>
      <c r="D1759" s="2" t="str">
        <f t="shared" si="26"/>
        <v>Error?</v>
      </c>
    </row>
    <row r="1760" spans="1:5" x14ac:dyDescent="0.2">
      <c r="A1760" s="5">
        <v>1699</v>
      </c>
      <c r="B1760" s="1832">
        <f>'Tax Sched 23'!D4</f>
        <v>2916049</v>
      </c>
      <c r="C1760" s="2" t="s">
        <v>569</v>
      </c>
      <c r="D1760" s="2" t="str">
        <f t="shared" si="26"/>
        <v>Error?</v>
      </c>
    </row>
    <row r="1761" spans="1:7" x14ac:dyDescent="0.2">
      <c r="A1761" s="5">
        <v>1700</v>
      </c>
      <c r="B1761" s="1832">
        <f>'Tax Sched 23'!D5</f>
        <v>502766</v>
      </c>
      <c r="C1761" s="2" t="s">
        <v>569</v>
      </c>
      <c r="D1761" s="2" t="str">
        <f t="shared" si="26"/>
        <v>Error?</v>
      </c>
    </row>
    <row r="1762" spans="1:7" s="8" customFormat="1" x14ac:dyDescent="0.2">
      <c r="A1762" s="5">
        <v>1701</v>
      </c>
      <c r="B1762" s="1832">
        <f>'Tax Sched 23'!D6</f>
        <v>363312</v>
      </c>
      <c r="C1762" s="2" t="s">
        <v>569</v>
      </c>
      <c r="D1762" s="2" t="str">
        <f t="shared" si="26"/>
        <v>Error?</v>
      </c>
      <c r="E1762" s="9"/>
      <c r="G1762"/>
    </row>
    <row r="1763" spans="1:7" x14ac:dyDescent="0.2">
      <c r="A1763" s="5">
        <v>1702</v>
      </c>
      <c r="B1763" s="1832">
        <f>'Tax Sched 23'!D7</f>
        <v>201109</v>
      </c>
      <c r="C1763" s="2" t="s">
        <v>569</v>
      </c>
      <c r="D1763" s="2" t="str">
        <f t="shared" si="26"/>
        <v>Error?</v>
      </c>
    </row>
    <row r="1764" spans="1:7" x14ac:dyDescent="0.2">
      <c r="A1764" s="5">
        <v>1703</v>
      </c>
      <c r="B1764" s="1832">
        <f>'Tax Sched 23'!D8</f>
        <v>22807</v>
      </c>
      <c r="C1764" s="2" t="s">
        <v>569</v>
      </c>
      <c r="D1764" s="2" t="str">
        <f t="shared" si="26"/>
        <v>Error?</v>
      </c>
    </row>
    <row r="1765" spans="1:7" x14ac:dyDescent="0.2">
      <c r="A1765" s="5">
        <v>1704</v>
      </c>
      <c r="B1765" s="1832">
        <f>'Tax Sched 23'!D10</f>
        <v>50278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205229</v>
      </c>
      <c r="C1768" s="2" t="s">
        <v>569</v>
      </c>
      <c r="D1768" s="2" t="str">
        <f t="shared" si="26"/>
        <v>Error?</v>
      </c>
    </row>
    <row r="1769" spans="1:7" x14ac:dyDescent="0.2">
      <c r="A1769" s="5">
        <v>1708</v>
      </c>
      <c r="B1769" s="1832">
        <f>'Tax Sched 23'!D12</f>
        <v>50278</v>
      </c>
      <c r="C1769" s="2" t="s">
        <v>569</v>
      </c>
      <c r="D1769" s="2" t="str">
        <f t="shared" si="26"/>
        <v>Error?</v>
      </c>
    </row>
    <row r="1770" spans="1:7" x14ac:dyDescent="0.2">
      <c r="A1770" s="5">
        <v>1709</v>
      </c>
      <c r="B1770" s="1832">
        <f>'Tax Sched 23'!D14</f>
        <v>40220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4425133</v>
      </c>
      <c r="C1775" s="2" t="s">
        <v>569</v>
      </c>
      <c r="D1775" s="2" t="str">
        <f t="shared" si="26"/>
        <v>Error?</v>
      </c>
    </row>
    <row r="1776" spans="1:7" x14ac:dyDescent="0.2">
      <c r="A1776" s="5">
        <v>1715</v>
      </c>
      <c r="B1776" s="1832">
        <f>'Tax Sched 23'!C4</f>
        <v>522218</v>
      </c>
      <c r="D1776" s="2" t="str">
        <f t="shared" si="26"/>
        <v>Error?</v>
      </c>
    </row>
    <row r="1777" spans="1:4" x14ac:dyDescent="0.2">
      <c r="A1777" s="5">
        <v>1716</v>
      </c>
      <c r="B1777" s="1832">
        <f>'Tax Sched 23'!C5</f>
        <v>90037</v>
      </c>
      <c r="D1777" s="2" t="str">
        <f t="shared" si="26"/>
        <v>Error?</v>
      </c>
    </row>
    <row r="1778" spans="1:4" x14ac:dyDescent="0.2">
      <c r="A1778" s="5">
        <v>1717</v>
      </c>
      <c r="B1778" s="1832">
        <f>'Tax Sched 23'!C6</f>
        <v>62583</v>
      </c>
      <c r="D1778" s="2" t="str">
        <f t="shared" si="26"/>
        <v>Error?</v>
      </c>
    </row>
    <row r="1779" spans="1:4" x14ac:dyDescent="0.2">
      <c r="A1779" s="5">
        <v>1718</v>
      </c>
      <c r="B1779" s="1832">
        <f>'Tax Sched 23'!C7</f>
        <v>36015</v>
      </c>
      <c r="D1779" s="2" t="str">
        <f t="shared" si="26"/>
        <v>Error?</v>
      </c>
    </row>
    <row r="1780" spans="1:4" x14ac:dyDescent="0.2">
      <c r="A1780" s="5">
        <v>1719</v>
      </c>
      <c r="B1780" s="1832">
        <f>'Tax Sched 23'!C8</f>
        <v>3924</v>
      </c>
      <c r="D1780" s="2" t="str">
        <f t="shared" si="26"/>
        <v>Error?</v>
      </c>
    </row>
    <row r="1781" spans="1:4" x14ac:dyDescent="0.2">
      <c r="A1781" s="5">
        <v>1720</v>
      </c>
      <c r="B1781" s="1832">
        <f>'Tax Sched 23'!C10</f>
        <v>9004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35314</v>
      </c>
      <c r="D1784" s="2" t="str">
        <f t="shared" si="26"/>
        <v>Error?</v>
      </c>
    </row>
    <row r="1785" spans="1:4" x14ac:dyDescent="0.2">
      <c r="A1785" s="5">
        <v>1724</v>
      </c>
      <c r="B1785" s="1832">
        <f>'Tax Sched 23'!C12</f>
        <v>9004</v>
      </c>
      <c r="D1785" s="2" t="str">
        <f t="shared" si="26"/>
        <v>Error?</v>
      </c>
    </row>
    <row r="1786" spans="1:4" x14ac:dyDescent="0.2">
      <c r="A1786" s="5">
        <v>1725</v>
      </c>
      <c r="B1786" s="1832">
        <f>'Tax Sched 23'!C14</f>
        <v>7203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788230</v>
      </c>
      <c r="C1791" s="2" t="s">
        <v>569</v>
      </c>
      <c r="D1791" s="2" t="str">
        <f t="shared" ref="D1791:D1854" si="27">IF(ISBLANK(B1791),"OK",IF(A1791-B1791=0,"OK","Error?"))</f>
        <v>Error?</v>
      </c>
    </row>
    <row r="1792" spans="1:4" x14ac:dyDescent="0.2">
      <c r="A1792" s="5">
        <v>1731</v>
      </c>
      <c r="B1792" s="1832">
        <f>'Tax Sched 23'!F4</f>
        <v>2805115</v>
      </c>
      <c r="C1792" s="2" t="s">
        <v>569</v>
      </c>
      <c r="D1792" s="2" t="str">
        <f t="shared" si="27"/>
        <v>Error?</v>
      </c>
    </row>
    <row r="1793" spans="1:4" x14ac:dyDescent="0.2">
      <c r="A1793" s="5">
        <v>1732</v>
      </c>
      <c r="B1793" s="1832">
        <f>'Tax Sched 23'!F5</f>
        <v>483639</v>
      </c>
      <c r="C1793" s="2" t="s">
        <v>569</v>
      </c>
      <c r="D1793" s="2" t="str">
        <f t="shared" si="27"/>
        <v>Error?</v>
      </c>
    </row>
    <row r="1794" spans="1:4" x14ac:dyDescent="0.2">
      <c r="A1794" s="5">
        <v>1733</v>
      </c>
      <c r="B1794" s="1832">
        <f>'Tax Sched 23'!F6</f>
        <v>336169</v>
      </c>
      <c r="C1794" s="2" t="s">
        <v>569</v>
      </c>
      <c r="D1794" s="2" t="str">
        <f t="shared" si="27"/>
        <v>Error?</v>
      </c>
    </row>
    <row r="1795" spans="1:4" x14ac:dyDescent="0.2">
      <c r="A1795" s="5">
        <v>1734</v>
      </c>
      <c r="B1795" s="1832">
        <f>'Tax Sched 23'!F7</f>
        <v>193456</v>
      </c>
      <c r="C1795" s="2" t="s">
        <v>569</v>
      </c>
      <c r="D1795" s="2" t="str">
        <f t="shared" si="27"/>
        <v>Error?</v>
      </c>
    </row>
    <row r="1796" spans="1:4" x14ac:dyDescent="0.2">
      <c r="A1796" s="5">
        <v>1735</v>
      </c>
      <c r="B1796" s="1832">
        <f>'Tax Sched 23'!F8</f>
        <v>21077</v>
      </c>
      <c r="C1796" s="2" t="s">
        <v>569</v>
      </c>
      <c r="D1796" s="2" t="str">
        <f t="shared" si="27"/>
        <v>Error?</v>
      </c>
    </row>
    <row r="1797" spans="1:4" x14ac:dyDescent="0.2">
      <c r="A1797" s="5">
        <v>1736</v>
      </c>
      <c r="B1797" s="1832">
        <f>'Tax Sched 23'!F10</f>
        <v>48364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189694</v>
      </c>
      <c r="C1800" s="2" t="s">
        <v>569</v>
      </c>
      <c r="D1800" s="2" t="str">
        <f t="shared" si="27"/>
        <v>Error?</v>
      </c>
    </row>
    <row r="1801" spans="1:4" x14ac:dyDescent="0.2">
      <c r="A1801" s="5">
        <v>1740</v>
      </c>
      <c r="B1801" s="1832">
        <f>'Tax Sched 23'!F12</f>
        <v>48364</v>
      </c>
      <c r="C1801" s="2" t="s">
        <v>569</v>
      </c>
      <c r="D1801" s="2" t="str">
        <f t="shared" si="27"/>
        <v>Error?</v>
      </c>
    </row>
    <row r="1802" spans="1:4" x14ac:dyDescent="0.2">
      <c r="A1802" s="5">
        <v>1741</v>
      </c>
      <c r="B1802" s="1832">
        <f>'Tax Sched 23'!F14</f>
        <v>38692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4234011</v>
      </c>
      <c r="C1807" s="2" t="s">
        <v>569</v>
      </c>
      <c r="D1807" s="2" t="str">
        <f t="shared" si="27"/>
        <v>Error?</v>
      </c>
    </row>
    <row r="1808" spans="1:4" x14ac:dyDescent="0.2">
      <c r="A1808" s="5">
        <v>1747</v>
      </c>
      <c r="B1808" s="1832">
        <f>'Tax Sched 23'!E4</f>
        <v>3327333</v>
      </c>
      <c r="D1808" s="2" t="str">
        <f t="shared" si="27"/>
        <v>Error?</v>
      </c>
    </row>
    <row r="1809" spans="1:4" x14ac:dyDescent="0.2">
      <c r="A1809" s="5">
        <v>1748</v>
      </c>
      <c r="B1809" s="1832">
        <f>'Tax Sched 23'!E5</f>
        <v>573676</v>
      </c>
      <c r="D1809" s="2" t="str">
        <f t="shared" si="27"/>
        <v>Error?</v>
      </c>
    </row>
    <row r="1810" spans="1:4" x14ac:dyDescent="0.2">
      <c r="A1810" s="5">
        <v>1749</v>
      </c>
      <c r="B1810" s="1832">
        <f>'Tax Sched 23'!E6</f>
        <v>398752</v>
      </c>
      <c r="D1810" s="2" t="str">
        <f t="shared" si="27"/>
        <v>Error?</v>
      </c>
    </row>
    <row r="1811" spans="1:4" x14ac:dyDescent="0.2">
      <c r="A1811" s="5">
        <v>1750</v>
      </c>
      <c r="B1811" s="1832">
        <f>'Tax Sched 23'!E7</f>
        <v>229471</v>
      </c>
      <c r="D1811" s="2" t="str">
        <f t="shared" si="27"/>
        <v>Error?</v>
      </c>
    </row>
    <row r="1812" spans="1:4" x14ac:dyDescent="0.2">
      <c r="A1812" s="5">
        <v>1751</v>
      </c>
      <c r="B1812" s="1832">
        <f>'Tax Sched 23'!E8</f>
        <v>25001</v>
      </c>
      <c r="D1812" s="2" t="str">
        <f t="shared" si="27"/>
        <v>Error?</v>
      </c>
    </row>
    <row r="1813" spans="1:4" x14ac:dyDescent="0.2">
      <c r="A1813" s="5">
        <v>1752</v>
      </c>
      <c r="B1813" s="1832">
        <f>'Tax Sched 23'!E10</f>
        <v>57368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225008</v>
      </c>
      <c r="D1816" s="2" t="str">
        <f t="shared" si="27"/>
        <v>Error?</v>
      </c>
    </row>
    <row r="1817" spans="1:4" x14ac:dyDescent="0.2">
      <c r="A1817" s="5">
        <v>1756</v>
      </c>
      <c r="B1817" s="1832">
        <f>'Tax Sched 23'!E12</f>
        <v>57368</v>
      </c>
      <c r="D1817" s="2" t="str">
        <f t="shared" si="27"/>
        <v>Error?</v>
      </c>
    </row>
    <row r="1818" spans="1:4" x14ac:dyDescent="0.2">
      <c r="A1818" s="5">
        <v>1757</v>
      </c>
      <c r="B1818" s="1832">
        <f>'Tax Sched 23'!E14</f>
        <v>45895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5022241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12050000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47423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47423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641511</v>
      </c>
      <c r="C1982" s="2" t="s">
        <v>569</v>
      </c>
      <c r="D1982" s="2" t="str">
        <f t="shared" si="29"/>
        <v>Error?</v>
      </c>
    </row>
    <row r="1983" spans="1:5" x14ac:dyDescent="0.2">
      <c r="A1983" s="5">
        <v>1922</v>
      </c>
      <c r="B1983" s="1832">
        <f>'Rest Tax Levies-Tort Im 25'!H24</f>
        <v>-594088</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186182</v>
      </c>
      <c r="D2008" s="2" t="str">
        <f t="shared" si="30"/>
        <v>Error?</v>
      </c>
    </row>
    <row r="2009" spans="1:4" x14ac:dyDescent="0.2">
      <c r="A2009" s="5">
        <v>1948</v>
      </c>
      <c r="B2009" s="1832">
        <f>'Cap Outlay Deprec 26'!C8</f>
        <v>46310228</v>
      </c>
      <c r="D2009" s="2" t="str">
        <f t="shared" si="30"/>
        <v>Error?</v>
      </c>
    </row>
    <row r="2010" spans="1:4" x14ac:dyDescent="0.2">
      <c r="A2010" s="5">
        <v>1949</v>
      </c>
      <c r="B2010" s="1832">
        <f>'Cap Outlay Deprec 26'!C10</f>
        <v>146372</v>
      </c>
      <c r="D2010" s="2" t="str">
        <f t="shared" si="30"/>
        <v>Error?</v>
      </c>
    </row>
    <row r="2011" spans="1:4" x14ac:dyDescent="0.2">
      <c r="A2011" s="5">
        <v>1950</v>
      </c>
      <c r="B2011" s="1832">
        <f>'Cap Outlay Deprec 26'!C12</f>
        <v>1745388</v>
      </c>
      <c r="D2011" s="2" t="str">
        <f t="shared" si="30"/>
        <v>Error?</v>
      </c>
    </row>
    <row r="2012" spans="1:4" x14ac:dyDescent="0.2">
      <c r="A2012" s="5">
        <v>1951</v>
      </c>
      <c r="B2012" s="1832">
        <f>'Cap Outlay Deprec 26'!C13</f>
        <v>986190</v>
      </c>
      <c r="D2012" s="2" t="str">
        <f t="shared" si="30"/>
        <v>Error?</v>
      </c>
    </row>
    <row r="2013" spans="1:4" x14ac:dyDescent="0.2">
      <c r="A2013" s="5">
        <v>1952</v>
      </c>
      <c r="B2013" s="1832">
        <f>'Cap Outlay Deprec 26'!C16</f>
        <v>49374360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34750</v>
      </c>
      <c r="D2015" s="2" t="str">
        <f t="shared" si="30"/>
        <v>Error?</v>
      </c>
    </row>
    <row r="2016" spans="1:4" x14ac:dyDescent="0.2">
      <c r="A2016" s="5">
        <v>1955</v>
      </c>
      <c r="B2016" s="1832">
        <f>'Cap Outlay Deprec 26'!D10</f>
        <v>45091</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32500</v>
      </c>
      <c r="D2018" s="2" t="str">
        <f t="shared" si="30"/>
        <v>Error?</v>
      </c>
    </row>
    <row r="2019" spans="1:4" x14ac:dyDescent="0.2">
      <c r="A2019" s="5">
        <v>1958</v>
      </c>
      <c r="B2019" s="1832">
        <f>'Cap Outlay Deprec 26'!D16</f>
        <v>140946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640014</v>
      </c>
      <c r="D2024" s="2" t="str">
        <f t="shared" si="30"/>
        <v>Error?</v>
      </c>
    </row>
    <row r="2025" spans="1:4" x14ac:dyDescent="0.2">
      <c r="A2025" s="5">
        <v>1964</v>
      </c>
      <c r="B2025" s="1832">
        <f>'Cap Outlay Deprec 26'!E16</f>
        <v>640014</v>
      </c>
      <c r="C2025" s="2" t="s">
        <v>569</v>
      </c>
      <c r="D2025" s="2" t="str">
        <f t="shared" si="30"/>
        <v>Error?</v>
      </c>
    </row>
    <row r="2026" spans="1:4" x14ac:dyDescent="0.2">
      <c r="A2026" s="5">
        <v>1965</v>
      </c>
      <c r="B2026" s="1832">
        <f>'Cap Outlay Deprec 26'!F5</f>
        <v>186182</v>
      </c>
      <c r="C2026" s="2" t="s">
        <v>569</v>
      </c>
      <c r="D2026" s="2" t="str">
        <f t="shared" si="30"/>
        <v>Error?</v>
      </c>
    </row>
    <row r="2027" spans="1:4" x14ac:dyDescent="0.2">
      <c r="A2027" s="5">
        <v>1966</v>
      </c>
      <c r="B2027" s="1832">
        <f>'Cap Outlay Deprec 26'!F8</f>
        <v>46344978</v>
      </c>
      <c r="C2027" s="2" t="s">
        <v>569</v>
      </c>
      <c r="D2027" s="2" t="str">
        <f t="shared" si="30"/>
        <v>Error?</v>
      </c>
    </row>
    <row r="2028" spans="1:4" x14ac:dyDescent="0.2">
      <c r="A2028" s="5">
        <v>1967</v>
      </c>
      <c r="B2028" s="1832">
        <f>'Cap Outlay Deprec 26'!F10</f>
        <v>191463</v>
      </c>
      <c r="C2028" s="2" t="s">
        <v>569</v>
      </c>
      <c r="D2028" s="2" t="str">
        <f t="shared" si="30"/>
        <v>Error?</v>
      </c>
    </row>
    <row r="2029" spans="1:4" x14ac:dyDescent="0.2">
      <c r="A2029" s="5">
        <v>1968</v>
      </c>
      <c r="B2029" s="1832">
        <f>'Cap Outlay Deprec 26'!F12</f>
        <v>1745388</v>
      </c>
      <c r="C2029" s="2" t="s">
        <v>569</v>
      </c>
      <c r="D2029" s="2" t="str">
        <f t="shared" si="30"/>
        <v>Error?</v>
      </c>
    </row>
    <row r="2030" spans="1:4" x14ac:dyDescent="0.2">
      <c r="A2030" s="5">
        <v>1969</v>
      </c>
      <c r="B2030" s="1832">
        <f>'Cap Outlay Deprec 26'!F13</f>
        <v>378676</v>
      </c>
      <c r="C2030" s="2" t="s">
        <v>569</v>
      </c>
      <c r="D2030" s="2" t="str">
        <f t="shared" si="30"/>
        <v>Error?</v>
      </c>
    </row>
    <row r="2031" spans="1:4" x14ac:dyDescent="0.2">
      <c r="A2031" s="5">
        <v>1970</v>
      </c>
      <c r="B2031" s="1832">
        <f>'Cap Outlay Deprec 26'!F16</f>
        <v>48875292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8688789</v>
      </c>
      <c r="D2033" s="2" t="str">
        <f t="shared" si="30"/>
        <v>Error?</v>
      </c>
    </row>
    <row r="2034" spans="1:4" x14ac:dyDescent="0.2">
      <c r="A2034" s="5">
        <v>1973</v>
      </c>
      <c r="B2034" s="1832">
        <f>'Cap Outlay Deprec 26'!H10</f>
        <v>129759</v>
      </c>
      <c r="D2034" s="2" t="str">
        <f t="shared" si="30"/>
        <v>Error?</v>
      </c>
    </row>
    <row r="2035" spans="1:4" x14ac:dyDescent="0.2">
      <c r="A2035" s="5">
        <v>1974</v>
      </c>
      <c r="B2035" s="1832">
        <f>'Cap Outlay Deprec 26'!H12</f>
        <v>1652383</v>
      </c>
      <c r="D2035" s="2" t="str">
        <f t="shared" si="30"/>
        <v>Error?</v>
      </c>
    </row>
    <row r="2036" spans="1:4" x14ac:dyDescent="0.2">
      <c r="A2036" s="5">
        <v>1975</v>
      </c>
      <c r="B2036" s="1832">
        <f>'Cap Outlay Deprec 26'!H13</f>
        <v>973273</v>
      </c>
      <c r="D2036" s="2" t="str">
        <f t="shared" si="30"/>
        <v>Error?</v>
      </c>
    </row>
    <row r="2037" spans="1:4" x14ac:dyDescent="0.2">
      <c r="A2037" s="5">
        <v>1976</v>
      </c>
      <c r="B2037" s="1832">
        <f>'Cap Outlay Deprec 26'!H16</f>
        <v>11444204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880612</v>
      </c>
      <c r="D2039" s="2" t="str">
        <f t="shared" si="30"/>
        <v>Error?</v>
      </c>
    </row>
    <row r="2040" spans="1:4" x14ac:dyDescent="0.2">
      <c r="A2040" s="5">
        <v>1979</v>
      </c>
      <c r="B2040" s="1832">
        <f>'Cap Outlay Deprec 26'!I10</f>
        <v>5388</v>
      </c>
      <c r="D2040" s="2" t="str">
        <f t="shared" si="30"/>
        <v>Error?</v>
      </c>
    </row>
    <row r="2041" spans="1:4" x14ac:dyDescent="0.2">
      <c r="A2041" s="5">
        <v>1980</v>
      </c>
      <c r="B2041" s="1832">
        <f>'Cap Outlay Deprec 26'!I12</f>
        <v>24597</v>
      </c>
      <c r="D2041" s="2" t="str">
        <f t="shared" si="30"/>
        <v>Error?</v>
      </c>
    </row>
    <row r="2042" spans="1:4" x14ac:dyDescent="0.2">
      <c r="A2042" s="5">
        <v>1981</v>
      </c>
      <c r="B2042" s="1832">
        <f>'Cap Outlay Deprec 26'!I13</f>
        <v>14021</v>
      </c>
      <c r="D2042" s="2" t="str">
        <f t="shared" si="30"/>
        <v>Error?</v>
      </c>
    </row>
    <row r="2043" spans="1:4" x14ac:dyDescent="0.2">
      <c r="A2043" s="5">
        <v>1982</v>
      </c>
      <c r="B2043" s="1832">
        <f>'Cap Outlay Deprec 26'!I16</f>
        <v>924618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640014</v>
      </c>
      <c r="D2048" s="2" t="str">
        <f t="shared" si="31"/>
        <v>Error?</v>
      </c>
    </row>
    <row r="2049" spans="1:4" x14ac:dyDescent="0.2">
      <c r="A2049" s="5">
        <v>1988</v>
      </c>
      <c r="B2049" s="1832">
        <f>'Cap Outlay Deprec 26'!J16</f>
        <v>640014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9569401</v>
      </c>
      <c r="C2051" s="2" t="s">
        <v>569</v>
      </c>
      <c r="D2051" s="2" t="str">
        <f t="shared" si="31"/>
        <v>Error?</v>
      </c>
    </row>
    <row r="2052" spans="1:4" x14ac:dyDescent="0.2">
      <c r="A2052" s="5">
        <v>1991</v>
      </c>
      <c r="B2052" s="1832">
        <f>'Cap Outlay Deprec 26'!K10</f>
        <v>135147</v>
      </c>
      <c r="C2052" s="2" t="s">
        <v>569</v>
      </c>
      <c r="D2052" s="2" t="str">
        <f t="shared" si="31"/>
        <v>Error?</v>
      </c>
    </row>
    <row r="2053" spans="1:4" x14ac:dyDescent="0.2">
      <c r="A2053" s="5">
        <v>1992</v>
      </c>
      <c r="B2053" s="1832">
        <f>'Cap Outlay Deprec 26'!K12</f>
        <v>1676980</v>
      </c>
      <c r="C2053" s="2" t="s">
        <v>569</v>
      </c>
      <c r="D2053" s="2" t="str">
        <f t="shared" si="31"/>
        <v>Error?</v>
      </c>
    </row>
    <row r="2054" spans="1:4" x14ac:dyDescent="0.2">
      <c r="A2054" s="5">
        <v>1993</v>
      </c>
      <c r="B2054" s="1832">
        <f>'Cap Outlay Deprec 26'!K13</f>
        <v>347280</v>
      </c>
      <c r="C2054" s="2" t="s">
        <v>569</v>
      </c>
      <c r="D2054" s="2" t="str">
        <f t="shared" si="31"/>
        <v>Error?</v>
      </c>
    </row>
    <row r="2055" spans="1:4" x14ac:dyDescent="0.2">
      <c r="A2055" s="5">
        <v>1994</v>
      </c>
      <c r="B2055" s="1832">
        <f>'Cap Outlay Deprec 26'!K16</f>
        <v>11728808</v>
      </c>
      <c r="C2055" s="2" t="s">
        <v>569</v>
      </c>
      <c r="D2055" s="2" t="str">
        <f t="shared" si="31"/>
        <v>Error?</v>
      </c>
    </row>
    <row r="2056" spans="1:4" x14ac:dyDescent="0.2">
      <c r="A2056" s="5">
        <v>1995</v>
      </c>
      <c r="B2056" s="1832">
        <f>'Cap Outlay Deprec 26'!L5</f>
        <v>186182</v>
      </c>
      <c r="C2056" s="2" t="s">
        <v>569</v>
      </c>
      <c r="D2056" s="2" t="str">
        <f t="shared" si="31"/>
        <v>Error?</v>
      </c>
    </row>
    <row r="2057" spans="1:4" x14ac:dyDescent="0.2">
      <c r="A2057" s="5">
        <v>1996</v>
      </c>
      <c r="B2057" s="1832">
        <f>'Cap Outlay Deprec 26'!L8</f>
        <v>36775577</v>
      </c>
      <c r="C2057" s="2" t="s">
        <v>569</v>
      </c>
      <c r="D2057" s="2" t="str">
        <f t="shared" si="31"/>
        <v>Error?</v>
      </c>
    </row>
    <row r="2058" spans="1:4" x14ac:dyDescent="0.2">
      <c r="A2058" s="5">
        <v>1997</v>
      </c>
      <c r="B2058" s="1832">
        <f>'Cap Outlay Deprec 26'!L10</f>
        <v>56316</v>
      </c>
      <c r="C2058" s="2" t="s">
        <v>569</v>
      </c>
      <c r="D2058" s="2" t="str">
        <f t="shared" si="31"/>
        <v>Error?</v>
      </c>
    </row>
    <row r="2059" spans="1:4" x14ac:dyDescent="0.2">
      <c r="A2059" s="5">
        <v>1998</v>
      </c>
      <c r="B2059" s="1832">
        <f>'Cap Outlay Deprec 26'!L12</f>
        <v>68408</v>
      </c>
      <c r="C2059" s="2" t="s">
        <v>569</v>
      </c>
      <c r="D2059" s="2" t="str">
        <f t="shared" si="31"/>
        <v>Error?</v>
      </c>
    </row>
    <row r="2060" spans="1:4" x14ac:dyDescent="0.2">
      <c r="A2060" s="5">
        <v>1999</v>
      </c>
      <c r="B2060" s="1832">
        <f>'Cap Outlay Deprec 26'!L13</f>
        <v>31396</v>
      </c>
      <c r="C2060" s="2" t="s">
        <v>569</v>
      </c>
      <c r="D2060" s="2" t="str">
        <f t="shared" si="31"/>
        <v>Error?</v>
      </c>
    </row>
    <row r="2061" spans="1:4" x14ac:dyDescent="0.2">
      <c r="A2061" s="5">
        <v>2000</v>
      </c>
      <c r="B2061" s="1832">
        <f>'Cap Outlay Deprec 26'!L16</f>
        <v>37146484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1132340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1154983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166065</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287637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3918410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4479260</v>
      </c>
      <c r="C2553" s="2" t="s">
        <v>569</v>
      </c>
      <c r="D2553" s="2" t="str">
        <f t="shared" si="38"/>
        <v>Error?</v>
      </c>
    </row>
    <row r="2554" spans="1:4" x14ac:dyDescent="0.2">
      <c r="A2554" s="5">
        <v>2493</v>
      </c>
      <c r="B2554" s="1832">
        <f>'Acct Summary 7-8'!C7</f>
        <v>793921</v>
      </c>
      <c r="C2554" s="2" t="s">
        <v>569</v>
      </c>
      <c r="D2554" s="2" t="str">
        <f t="shared" si="38"/>
        <v>Error?</v>
      </c>
    </row>
    <row r="2555" spans="1:4" x14ac:dyDescent="0.2">
      <c r="A2555" s="5">
        <v>2494</v>
      </c>
      <c r="B2555" s="1832">
        <f>'Acct Summary 7-8'!C8</f>
        <v>9191591</v>
      </c>
      <c r="C2555" s="2" t="s">
        <v>569</v>
      </c>
      <c r="D2555" s="2" t="str">
        <f t="shared" si="38"/>
        <v>Error?</v>
      </c>
    </row>
    <row r="2556" spans="1:4" x14ac:dyDescent="0.2">
      <c r="A2556" s="5">
        <v>2495</v>
      </c>
      <c r="B2556" s="1832">
        <f>'Acct Summary 7-8'!C12</f>
        <v>5224757</v>
      </c>
      <c r="C2556" s="2" t="s">
        <v>569</v>
      </c>
      <c r="D2556" s="2" t="str">
        <f t="shared" si="38"/>
        <v>Error?</v>
      </c>
    </row>
    <row r="2557" spans="1:4" x14ac:dyDescent="0.2">
      <c r="A2557" s="5">
        <v>2496</v>
      </c>
      <c r="B2557" s="1832">
        <f>'Acct Summary 7-8'!C13</f>
        <v>2858616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1154983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9238356</v>
      </c>
      <c r="C2561" s="2" t="s">
        <v>569</v>
      </c>
      <c r="D2561" s="2" t="str">
        <f t="shared" si="39"/>
        <v>Error?</v>
      </c>
    </row>
    <row r="2562" spans="1:4" x14ac:dyDescent="0.2">
      <c r="A2562" s="5">
        <v>2501</v>
      </c>
      <c r="B2562" s="1832">
        <f>'Acct Summary 7-8'!C20</f>
        <v>-46765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593803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593803</v>
      </c>
      <c r="C2568" s="2" t="s">
        <v>569</v>
      </c>
      <c r="D2568" s="2" t="str">
        <f t="shared" si="39"/>
        <v>Error?</v>
      </c>
    </row>
    <row r="2569" spans="1:4" x14ac:dyDescent="0.2">
      <c r="A2569" s="5">
        <v>2508</v>
      </c>
      <c r="B2569" s="1832">
        <f>'Acct Summary 7-8'!D13</f>
        <v>736445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736445</v>
      </c>
      <c r="C2573" s="2" t="s">
        <v>569</v>
      </c>
      <c r="D2573" s="2" t="str">
        <f t="shared" si="39"/>
        <v>Error?</v>
      </c>
    </row>
    <row r="2574" spans="1:4" x14ac:dyDescent="0.2">
      <c r="A2574" s="5">
        <v>2513</v>
      </c>
      <c r="B2574" s="1832">
        <f>'Acct Summary 7-8'!D20</f>
        <v>-142642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268862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401456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670318</v>
      </c>
      <c r="C2595" s="2" t="s">
        <v>569</v>
      </c>
      <c r="D2595" s="2" t="str">
        <f t="shared" si="39"/>
        <v>Error?</v>
      </c>
    </row>
    <row r="2596" spans="1:4" x14ac:dyDescent="0.2">
      <c r="A2596" s="5">
        <v>2535</v>
      </c>
      <c r="B2596" s="1832">
        <f>'Acct Summary 7-8'!F13</f>
        <v>735617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19146</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754763</v>
      </c>
      <c r="C2600" s="2" t="s">
        <v>569</v>
      </c>
      <c r="D2600" s="2" t="str">
        <f t="shared" si="39"/>
        <v>Error?</v>
      </c>
    </row>
    <row r="2601" spans="1:4" x14ac:dyDescent="0.2">
      <c r="A2601" s="5">
        <v>2540</v>
      </c>
      <c r="B2601" s="1832">
        <f>'Acct Summary 7-8'!F20</f>
        <v>-84445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278716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278716</v>
      </c>
      <c r="C2606" s="2" t="s">
        <v>569</v>
      </c>
      <c r="D2606" s="2" t="str">
        <f t="shared" si="39"/>
        <v>Error?</v>
      </c>
    </row>
    <row r="2607" spans="1:4" x14ac:dyDescent="0.2">
      <c r="A2607" s="5">
        <v>2546</v>
      </c>
      <c r="B2607" s="1832">
        <f>'Acct Summary 7-8'!G12</f>
        <v>221348</v>
      </c>
      <c r="C2607" s="2" t="s">
        <v>569</v>
      </c>
      <c r="D2607" s="2" t="str">
        <f t="shared" si="39"/>
        <v>Error?</v>
      </c>
    </row>
    <row r="2608" spans="1:4" x14ac:dyDescent="0.2">
      <c r="A2608" s="5">
        <v>2547</v>
      </c>
      <c r="B2608" s="1832">
        <f>'Acct Summary 7-8'!G13</f>
        <v>78618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299966</v>
      </c>
      <c r="C2612" s="2" t="s">
        <v>569</v>
      </c>
      <c r="D2612" s="2" t="str">
        <f t="shared" si="39"/>
        <v>Error?</v>
      </c>
    </row>
    <row r="2613" spans="1:4" x14ac:dyDescent="0.2">
      <c r="A2613" s="5">
        <v>2552</v>
      </c>
      <c r="B2613" s="1832">
        <f>'Acct Summary 7-8'!G20</f>
        <v>-21250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1073534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1073534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1073851</v>
      </c>
      <c r="C2634" s="2" t="s">
        <v>569</v>
      </c>
      <c r="D2634" s="2" t="str">
        <f t="shared" si="40"/>
        <v>Error?</v>
      </c>
    </row>
    <row r="2635" spans="1:4" x14ac:dyDescent="0.2">
      <c r="A2635" s="5">
        <v>2574</v>
      </c>
      <c r="B2635" s="1832">
        <f>'Acct Summary 7-8'!E17</f>
        <v>1073851</v>
      </c>
      <c r="C2635" s="2" t="s">
        <v>569</v>
      </c>
      <c r="D2635" s="2" t="str">
        <f t="shared" si="40"/>
        <v>Error?</v>
      </c>
    </row>
    <row r="2636" spans="1:4" x14ac:dyDescent="0.2">
      <c r="A2636" s="5">
        <v>2575</v>
      </c>
      <c r="B2636" s="1832">
        <f>'Acct Summary 7-8'!E20</f>
        <v>-317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22643</v>
      </c>
      <c r="C2789" s="2" t="s">
        <v>569</v>
      </c>
      <c r="D2789" s="2" t="str">
        <f t="shared" si="42"/>
        <v>Error?</v>
      </c>
    </row>
    <row r="2790" spans="1:4" x14ac:dyDescent="0.2">
      <c r="A2790" s="5">
        <v>2729</v>
      </c>
      <c r="B2790" s="1832">
        <f>'Expenditures 15-22'!E102</f>
        <v>22643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19146</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19146</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28605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34940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22704</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202250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34940</v>
      </c>
      <c r="D2912" s="2" t="str">
        <f t="shared" si="44"/>
        <v>Error?</v>
      </c>
    </row>
    <row r="2913" spans="1:4" x14ac:dyDescent="0.2">
      <c r="A2913" s="5">
        <v>2852</v>
      </c>
      <c r="B2913" s="1832">
        <f>'Assets-Liab 5-6'!I41</f>
        <v>34940</v>
      </c>
      <c r="C2913" s="2" t="s">
        <v>569</v>
      </c>
      <c r="D2913" s="2" t="str">
        <f t="shared" si="44"/>
        <v>Error?</v>
      </c>
    </row>
    <row r="2914" spans="1:4" x14ac:dyDescent="0.2">
      <c r="A2914" s="5">
        <v>2853</v>
      </c>
      <c r="B2914" s="1832">
        <f>'Assets-Liab 5-6'!L33</f>
        <v>202250</v>
      </c>
      <c r="D2914" s="2" t="str">
        <f t="shared" si="44"/>
        <v>Error?</v>
      </c>
    </row>
    <row r="2915" spans="1:4" x14ac:dyDescent="0.2">
      <c r="A2915" s="10">
        <v>2854</v>
      </c>
      <c r="B2915" s="1832"/>
      <c r="D2915" s="2" t="str">
        <f t="shared" si="44"/>
        <v>OK</v>
      </c>
    </row>
    <row r="2916" spans="1:4" x14ac:dyDescent="0.2">
      <c r="A2916" s="5">
        <v>2855</v>
      </c>
      <c r="B2916" s="1832">
        <f>'Assets-Liab 5-6'!L34</f>
        <v>202250</v>
      </c>
      <c r="C2916" s="2" t="s">
        <v>569</v>
      </c>
      <c r="D2916" s="2" t="str">
        <f t="shared" si="44"/>
        <v>Error?</v>
      </c>
    </row>
    <row r="2917" spans="1:4" x14ac:dyDescent="0.2">
      <c r="A2917" s="5">
        <v>2856</v>
      </c>
      <c r="B2917" s="1832">
        <f>'Assets-Liab 5-6'!L41</f>
        <v>202250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22643</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1071620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60720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22643</v>
      </c>
      <c r="C2973" s="2" t="s">
        <v>569</v>
      </c>
      <c r="D2973" s="2" t="str">
        <f t="shared" si="45"/>
        <v>Error?</v>
      </c>
    </row>
    <row r="2974" spans="1:4" x14ac:dyDescent="0.2">
      <c r="A2974" s="5">
        <v>2913</v>
      </c>
      <c r="B2974" s="1832">
        <f>'Expenditures 15-22'!K79</f>
        <v>1071620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60720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19146</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19146</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108344</v>
      </c>
      <c r="D3055" s="2" t="str">
        <f t="shared" si="46"/>
        <v>Error?</v>
      </c>
    </row>
    <row r="3056" spans="1:4" x14ac:dyDescent="0.2">
      <c r="A3056" s="5">
        <v>2995</v>
      </c>
      <c r="B3056" s="1832">
        <f>'Expenditures 15-22'!D10</f>
        <v>19888</v>
      </c>
      <c r="D3056" s="2" t="str">
        <f t="shared" si="46"/>
        <v>Error?</v>
      </c>
    </row>
    <row r="3057" spans="1:4" x14ac:dyDescent="0.2">
      <c r="A3057" s="5">
        <v>2996</v>
      </c>
      <c r="B3057" s="1832">
        <f>'Expenditures 15-22'!E10</f>
        <v>6918</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135150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59355</v>
      </c>
      <c r="C3225" s="2" t="s">
        <v>569</v>
      </c>
      <c r="D3225" s="2" t="str">
        <f t="shared" si="49"/>
        <v>Error?</v>
      </c>
    </row>
    <row r="3226" spans="1:4" x14ac:dyDescent="0.2">
      <c r="A3226" s="5">
        <v>3165</v>
      </c>
      <c r="B3226" s="1832">
        <f>'Acct Summary 7-8'!I8</f>
        <v>59355</v>
      </c>
      <c r="C3226" s="2" t="s">
        <v>569</v>
      </c>
      <c r="D3226" s="2" t="str">
        <f t="shared" si="49"/>
        <v>Error?</v>
      </c>
    </row>
    <row r="3227" spans="1:4" x14ac:dyDescent="0.2">
      <c r="A3227" s="5">
        <v>3166</v>
      </c>
      <c r="B3227" s="1832">
        <f>'Acct Summary 7-8'!I20</f>
        <v>59355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-46765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166065</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166065</v>
      </c>
      <c r="C3238" s="2" t="s">
        <v>569</v>
      </c>
      <c r="D3238" s="2" t="str">
        <f t="shared" si="49"/>
        <v>Error?</v>
      </c>
    </row>
    <row r="3239" spans="1:4" x14ac:dyDescent="0.2">
      <c r="A3239" s="5">
        <v>3178</v>
      </c>
      <c r="B3239" s="1832">
        <f>'Acct Summary 7-8'!D78</f>
        <v>23423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-84445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-21250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-317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166065</v>
      </c>
      <c r="C3318" s="2" t="s">
        <v>569</v>
      </c>
      <c r="D3318" s="2" t="str">
        <f t="shared" si="50"/>
        <v>Error?</v>
      </c>
    </row>
    <row r="3319" spans="1:4" x14ac:dyDescent="0.2">
      <c r="A3319" s="5">
        <v>3258</v>
      </c>
      <c r="B3319" s="1832">
        <f>'Acct Summary 7-8'!I77</f>
        <v>-166065</v>
      </c>
      <c r="C3319" s="2" t="s">
        <v>569</v>
      </c>
      <c r="D3319" s="2" t="str">
        <f t="shared" si="50"/>
        <v>Error?</v>
      </c>
    </row>
    <row r="3320" spans="1:4" x14ac:dyDescent="0.2">
      <c r="A3320" s="5">
        <v>3259</v>
      </c>
      <c r="B3320" s="1832">
        <f>'Acct Summary 7-8'!I78</f>
        <v>-106710</v>
      </c>
      <c r="C3320" s="2" t="s">
        <v>569</v>
      </c>
      <c r="D3320" s="2" t="str">
        <f t="shared" si="50"/>
        <v>Error?</v>
      </c>
    </row>
    <row r="3321" spans="1:4" x14ac:dyDescent="0.2">
      <c r="A3321" s="5">
        <v>3260</v>
      </c>
      <c r="B3321" s="1832">
        <f>'Acct Summary 7-8'!I79</f>
        <v>141650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34940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441164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102341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81366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16585</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641511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221348</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221348</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1738126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183365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34940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179546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26731</v>
      </c>
      <c r="C3446" s="2" t="s">
        <v>569</v>
      </c>
      <c r="D3446" s="2" t="str">
        <f t="shared" si="52"/>
        <v>Error?</v>
      </c>
    </row>
    <row r="3447" spans="1:4" x14ac:dyDescent="0.2">
      <c r="A3447" s="5">
        <v>3386</v>
      </c>
      <c r="B3447" s="1832">
        <f>'Tax Sched 23'!D16</f>
        <v>22807</v>
      </c>
      <c r="C3447" s="2" t="s">
        <v>569</v>
      </c>
      <c r="D3447" s="2" t="str">
        <f t="shared" si="52"/>
        <v>Error?</v>
      </c>
    </row>
    <row r="3448" spans="1:4" x14ac:dyDescent="0.2">
      <c r="A3448" s="5">
        <v>3387</v>
      </c>
      <c r="B3448" s="1832">
        <f>'Tax Sched 23'!C16</f>
        <v>3924</v>
      </c>
      <c r="D3448" s="2" t="str">
        <f t="shared" si="52"/>
        <v>Error?</v>
      </c>
    </row>
    <row r="3449" spans="1:4" x14ac:dyDescent="0.2">
      <c r="A3449" s="5">
        <v>3388</v>
      </c>
      <c r="B3449" s="1832">
        <f>'Tax Sched 23'!F16</f>
        <v>21077</v>
      </c>
      <c r="C3449" s="2" t="s">
        <v>569</v>
      </c>
      <c r="D3449" s="2" t="str">
        <f t="shared" si="52"/>
        <v>Error?</v>
      </c>
    </row>
    <row r="3450" spans="1:4" x14ac:dyDescent="0.2">
      <c r="A3450" s="5">
        <v>3389</v>
      </c>
      <c r="B3450" s="1832">
        <f>'Tax Sched 23'!E16</f>
        <v>25001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28605</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28605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28605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438280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71518</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509798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509798</v>
      </c>
      <c r="D3567" s="2" t="str">
        <f t="shared" si="54"/>
        <v>Error?</v>
      </c>
    </row>
    <row r="3568" spans="1:4" x14ac:dyDescent="0.2">
      <c r="A3568" s="5">
        <v>3507</v>
      </c>
      <c r="B3568" s="1832">
        <f>'Assets-Liab 5-6'!K41</f>
        <v>509798</v>
      </c>
      <c r="C3568" s="2" t="s">
        <v>569</v>
      </c>
      <c r="D3568" s="2" t="str">
        <f t="shared" si="54"/>
        <v>Error?</v>
      </c>
    </row>
    <row r="3569" spans="1:4" x14ac:dyDescent="0.2">
      <c r="A3569" s="5">
        <v>3508</v>
      </c>
      <c r="B3569" s="1832">
        <f>'Acct Summary 7-8'!K4</f>
        <v>60356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60356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60356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60356</v>
      </c>
      <c r="C3588" s="2" t="s">
        <v>569</v>
      </c>
      <c r="D3588" s="2" t="str">
        <f t="shared" si="55"/>
        <v>Error?</v>
      </c>
    </row>
    <row r="3589" spans="1:4" x14ac:dyDescent="0.2">
      <c r="A3589" s="5">
        <v>3528</v>
      </c>
      <c r="B3589" s="1832">
        <f>'Acct Summary 7-8'!K79</f>
        <v>449442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509798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60356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59282</v>
      </c>
      <c r="C3725" s="2" t="s">
        <v>569</v>
      </c>
      <c r="D3725" s="2" t="str">
        <f t="shared" si="57"/>
        <v>Error?</v>
      </c>
    </row>
    <row r="3726" spans="1:4" x14ac:dyDescent="0.2">
      <c r="A3726" s="5">
        <v>3665</v>
      </c>
      <c r="B3726" s="1832">
        <f>'Tax Sched 23'!D13</f>
        <v>50278</v>
      </c>
      <c r="C3726" s="2" t="s">
        <v>569</v>
      </c>
      <c r="D3726" s="2" t="str">
        <f t="shared" si="57"/>
        <v>Error?</v>
      </c>
    </row>
    <row r="3727" spans="1:4" x14ac:dyDescent="0.2">
      <c r="A3727" s="5">
        <v>3666</v>
      </c>
      <c r="B3727" s="1832">
        <f>'Tax Sched 23'!C13</f>
        <v>9004</v>
      </c>
      <c r="D3727" s="2" t="str">
        <f t="shared" si="57"/>
        <v>Error?</v>
      </c>
    </row>
    <row r="3728" spans="1:4" x14ac:dyDescent="0.2">
      <c r="A3728" s="5">
        <v>3667</v>
      </c>
      <c r="B3728" s="1832">
        <f>'Tax Sched 23'!F13</f>
        <v>48364</v>
      </c>
      <c r="C3728" s="2" t="s">
        <v>569</v>
      </c>
      <c r="D3728" s="2" t="str">
        <f t="shared" si="57"/>
        <v>Error?</v>
      </c>
    </row>
    <row r="3729" spans="1:4" x14ac:dyDescent="0.2">
      <c r="A3729" s="5">
        <v>3668</v>
      </c>
      <c r="B3729" s="1832">
        <f>'Tax Sched 23'!E13</f>
        <v>57368</v>
      </c>
      <c r="D3729" s="2" t="str">
        <f t="shared" si="57"/>
        <v>Error?</v>
      </c>
    </row>
    <row r="3730" spans="1:4" x14ac:dyDescent="0.2">
      <c r="A3730" s="5">
        <v>3669</v>
      </c>
      <c r="B3730" s="1832">
        <f>'ICR Computation 30'!E10</f>
        <v>388636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3507485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12699076</v>
      </c>
      <c r="C4122" s="2" t="s">
        <v>569</v>
      </c>
      <c r="D4122" s="2" t="str">
        <f t="shared" si="63"/>
        <v>Error?</v>
      </c>
    </row>
    <row r="4123" spans="1:4" x14ac:dyDescent="0.2">
      <c r="A4123" s="5">
        <v>4062</v>
      </c>
      <c r="B4123" s="1832">
        <f>'Acct Summary 7-8'!D10</f>
        <v>593803</v>
      </c>
      <c r="C4123" s="2" t="s">
        <v>569</v>
      </c>
      <c r="D4123" s="2" t="str">
        <f t="shared" si="63"/>
        <v>Error?</v>
      </c>
    </row>
    <row r="4124" spans="1:4" x14ac:dyDescent="0.2">
      <c r="A4124" s="5">
        <v>4063</v>
      </c>
      <c r="B4124" s="1832">
        <f>'Acct Summary 7-8'!E10</f>
        <v>1073534</v>
      </c>
      <c r="C4124" s="2" t="s">
        <v>569</v>
      </c>
      <c r="D4124" s="2" t="str">
        <f t="shared" si="63"/>
        <v>Error?</v>
      </c>
    </row>
    <row r="4125" spans="1:4" x14ac:dyDescent="0.2">
      <c r="A4125" s="5">
        <v>4064</v>
      </c>
      <c r="B4125" s="1832">
        <f>'Acct Summary 7-8'!F10</f>
        <v>670318</v>
      </c>
      <c r="C4125" s="2" t="s">
        <v>569</v>
      </c>
      <c r="D4125" s="2" t="str">
        <f t="shared" si="63"/>
        <v>Error?</v>
      </c>
    </row>
    <row r="4126" spans="1:4" x14ac:dyDescent="0.2">
      <c r="A4126" s="5">
        <v>4065</v>
      </c>
      <c r="B4126" s="1832">
        <f>'Acct Summary 7-8'!G10</f>
        <v>278716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59355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60356</v>
      </c>
      <c r="C4130" s="2" t="s">
        <v>569</v>
      </c>
      <c r="D4130" s="2" t="str">
        <f t="shared" si="63"/>
        <v>Error?</v>
      </c>
    </row>
    <row r="4131" spans="1:4" x14ac:dyDescent="0.2">
      <c r="A4131" s="5">
        <v>4070</v>
      </c>
      <c r="B4131" s="1832">
        <f>'Acct Summary 7-8'!C18</f>
        <v>3507485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12745841</v>
      </c>
      <c r="C4136" s="2" t="s">
        <v>569</v>
      </c>
      <c r="D4136" s="2" t="str">
        <f t="shared" si="63"/>
        <v>Error?</v>
      </c>
    </row>
    <row r="4137" spans="1:4" x14ac:dyDescent="0.2">
      <c r="A4137" s="5">
        <v>4076</v>
      </c>
      <c r="B4137" s="1832">
        <f>'Acct Summary 7-8'!D19</f>
        <v>736445</v>
      </c>
      <c r="C4137" s="2" t="s">
        <v>569</v>
      </c>
      <c r="D4137" s="2" t="str">
        <f t="shared" si="63"/>
        <v>Error?</v>
      </c>
    </row>
    <row r="4138" spans="1:4" x14ac:dyDescent="0.2">
      <c r="A4138" s="5">
        <v>4077</v>
      </c>
      <c r="B4138" s="1832">
        <f>'Acct Summary 7-8'!E19</f>
        <v>1073851</v>
      </c>
      <c r="C4138" s="2" t="s">
        <v>569</v>
      </c>
      <c r="D4138" s="2" t="str">
        <f t="shared" si="63"/>
        <v>Error?</v>
      </c>
    </row>
    <row r="4139" spans="1:4" x14ac:dyDescent="0.2">
      <c r="A4139" s="5">
        <v>4078</v>
      </c>
      <c r="B4139" s="1832">
        <f>'Acct Summary 7-8'!F19</f>
        <v>754763</v>
      </c>
      <c r="C4139" s="2" t="s">
        <v>569</v>
      </c>
      <c r="D4139" s="2" t="str">
        <f t="shared" si="63"/>
        <v>Error?</v>
      </c>
    </row>
    <row r="4140" spans="1:4" x14ac:dyDescent="0.2">
      <c r="A4140" s="5">
        <v>4079</v>
      </c>
      <c r="B4140" s="1832">
        <f>'Acct Summary 7-8'!G19</f>
        <v>299966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11410000</v>
      </c>
      <c r="C4171" s="2" t="s">
        <v>569</v>
      </c>
      <c r="D4171" s="2" t="str">
        <f t="shared" si="64"/>
        <v>Error?</v>
      </c>
    </row>
    <row r="4172" spans="1:4" x14ac:dyDescent="0.2">
      <c r="A4172" s="5">
        <v>4111</v>
      </c>
      <c r="B4172" s="1832">
        <f>'Short-Term Long-Term Debt 24'!J49</f>
        <v>11397505</v>
      </c>
      <c r="C4172" s="2" t="s">
        <v>569</v>
      </c>
      <c r="D4172" s="2" t="str">
        <f t="shared" si="64"/>
        <v>Error?</v>
      </c>
    </row>
    <row r="4173" spans="1:4" x14ac:dyDescent="0.2">
      <c r="A4173" s="5">
        <v>4112</v>
      </c>
      <c r="B4173" s="1832">
        <f>'Short-Term Long-Term Debt 24'!H49</f>
        <v>640000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14419</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3599.9999999999995</v>
      </c>
      <c r="C4268" s="2" t="s">
        <v>569</v>
      </c>
      <c r="D4268" s="2" t="str">
        <f t="shared" si="65"/>
        <v>Error?</v>
      </c>
    </row>
    <row r="4269" spans="1:5" x14ac:dyDescent="0.2">
      <c r="A4269" s="12">
        <v>4208</v>
      </c>
      <c r="B4269" s="1832">
        <f>'FP Info 3'!J16</f>
        <v>2359912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31474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21453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5418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114735603</v>
      </c>
      <c r="D4995" s="2" t="str">
        <f t="shared" si="77"/>
        <v>Error?</v>
      </c>
    </row>
    <row r="4996" spans="1:4" x14ac:dyDescent="0.2">
      <c r="A4996" s="12">
        <v>4935</v>
      </c>
      <c r="B4996" s="1832">
        <f>'FP Info 3'!H31</f>
        <v>15833513.214000002</v>
      </c>
      <c r="D4996" s="2" t="str">
        <f t="shared" si="77"/>
        <v>Error?</v>
      </c>
    </row>
    <row r="4997" spans="1:4" x14ac:dyDescent="0.2">
      <c r="A4997" s="12">
        <v>4936</v>
      </c>
      <c r="B4997" s="1832">
        <f>'FP Info 3'!H37</f>
        <v>11410000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59282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3438267</v>
      </c>
      <c r="D5061" s="2" t="str">
        <f t="shared" si="78"/>
        <v>Error?</v>
      </c>
    </row>
    <row r="5062" spans="1:4" x14ac:dyDescent="0.2">
      <c r="A5062" s="10">
        <v>5001</v>
      </c>
      <c r="B5062" s="1832"/>
      <c r="D5062" s="2" t="str">
        <f t="shared" si="78"/>
        <v>OK</v>
      </c>
    </row>
    <row r="5063" spans="1:4" x14ac:dyDescent="0.2">
      <c r="A5063" s="5">
        <v>5002</v>
      </c>
      <c r="B5063" s="1832">
        <f>'Revenues 9-14'!C7</f>
        <v>47423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3544972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19917</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19917</v>
      </c>
      <c r="C5087" s="2" t="s">
        <v>569</v>
      </c>
      <c r="D5087" s="2" t="str">
        <f t="shared" si="78"/>
        <v>Error?</v>
      </c>
    </row>
    <row r="5088" spans="1:4" x14ac:dyDescent="0.2">
      <c r="A5088" s="5">
        <v>5027</v>
      </c>
      <c r="B5088" s="1832">
        <f>'Revenues 9-14'!C65</f>
        <v>7654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7654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197405</v>
      </c>
      <c r="C5096" s="2" t="s">
        <v>569</v>
      </c>
      <c r="D5096" s="2" t="str">
        <f t="shared" si="78"/>
        <v>Error?</v>
      </c>
    </row>
    <row r="5097" spans="1:4" x14ac:dyDescent="0.2">
      <c r="A5097" s="5">
        <v>5036</v>
      </c>
      <c r="B5097" s="1832">
        <f>'Revenues 9-14'!C77</f>
        <v>29666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11253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40919</v>
      </c>
      <c r="C5102" s="2" t="s">
        <v>569</v>
      </c>
      <c r="D5102" s="2" t="str">
        <f t="shared" si="78"/>
        <v>Error?</v>
      </c>
    </row>
    <row r="5103" spans="1:4" x14ac:dyDescent="0.2">
      <c r="A5103" s="5">
        <v>5042</v>
      </c>
      <c r="B5103" s="1832">
        <f>'Revenues 9-14'!C84</f>
        <v>70499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3000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73499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25162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1180</v>
      </c>
      <c r="D5118" s="2" t="str">
        <f t="shared" si="78"/>
        <v>Error?</v>
      </c>
    </row>
    <row r="5119" spans="1:4" x14ac:dyDescent="0.2">
      <c r="A5119" s="5">
        <v>5058</v>
      </c>
      <c r="B5119" s="1832">
        <f>'Revenues 9-14'!C107</f>
        <v>3172</v>
      </c>
      <c r="D5119" s="2" t="str">
        <f t="shared" ref="D5119:D5182" si="79">IF(ISBLANK(B5119),"OK",IF(A5119-B5119=0,"OK","Error?"))</f>
        <v>Error?</v>
      </c>
    </row>
    <row r="5120" spans="1:4" x14ac:dyDescent="0.2">
      <c r="A5120" s="5">
        <v>5059</v>
      </c>
      <c r="B5120" s="1832">
        <f>'Revenues 9-14'!C108</f>
        <v>34044</v>
      </c>
      <c r="C5120" s="2" t="s">
        <v>569</v>
      </c>
      <c r="D5120" s="2" t="str">
        <f t="shared" si="79"/>
        <v>Error?</v>
      </c>
    </row>
    <row r="5121" spans="1:4" x14ac:dyDescent="0.2">
      <c r="A5121" s="5">
        <v>5060</v>
      </c>
      <c r="B5121" s="1832">
        <f>'Revenues 9-14'!C109</f>
        <v>3918410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4226770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4226770</v>
      </c>
      <c r="C5132" s="2" t="s">
        <v>569</v>
      </c>
      <c r="D5132" s="2" t="str">
        <f t="shared" si="79"/>
        <v>Error?</v>
      </c>
    </row>
    <row r="5133" spans="1:4" x14ac:dyDescent="0.2">
      <c r="A5133" s="5">
        <v>5072</v>
      </c>
      <c r="B5133" s="1832">
        <f>'Revenues 9-14'!C125</f>
        <v>35089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35089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14419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3023</v>
      </c>
      <c r="D5167" s="2" t="str">
        <f t="shared" si="79"/>
        <v>Error?</v>
      </c>
    </row>
    <row r="5168" spans="1:4" x14ac:dyDescent="0.2">
      <c r="A5168" s="5">
        <v>5107</v>
      </c>
      <c r="B5168" s="1832">
        <f>'Revenues 9-14'!C148</f>
        <v>9136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190823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252490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4479260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164936</v>
      </c>
      <c r="D5239" s="2" t="str">
        <f t="shared" si="80"/>
        <v>Error?</v>
      </c>
    </row>
    <row r="5240" spans="1:4" x14ac:dyDescent="0.2">
      <c r="A5240" s="5">
        <v>5179</v>
      </c>
      <c r="B5240" s="1832">
        <f>'Revenues 9-14'!C192</f>
        <v>816</v>
      </c>
      <c r="D5240" s="2" t="str">
        <f t="shared" si="80"/>
        <v>Error?</v>
      </c>
    </row>
    <row r="5241" spans="1:4" x14ac:dyDescent="0.2">
      <c r="A5241" s="5">
        <v>5180</v>
      </c>
      <c r="B5241" s="1832">
        <f>'Revenues 9-14'!C193</f>
        <v>47567</v>
      </c>
      <c r="D5241" s="2" t="str">
        <f t="shared" si="80"/>
        <v>Error?</v>
      </c>
    </row>
    <row r="5242" spans="1:4" x14ac:dyDescent="0.2">
      <c r="A5242" s="5">
        <v>5181</v>
      </c>
      <c r="B5242" s="1832">
        <f>'Revenues 9-14'!C194</f>
        <v>107278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320597</v>
      </c>
      <c r="C5246" s="2" t="s">
        <v>569</v>
      </c>
      <c r="D5246" s="2" t="str">
        <f t="shared" si="80"/>
        <v>Error?</v>
      </c>
    </row>
    <row r="5247" spans="1:4" x14ac:dyDescent="0.2">
      <c r="A5247" s="5">
        <v>5186</v>
      </c>
      <c r="B5247" s="1832">
        <f>'Revenues 9-14'!C200</f>
        <v>185441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216915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8198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220704</v>
      </c>
      <c r="D5278" s="2" t="str">
        <f t="shared" si="81"/>
        <v>Error?</v>
      </c>
    </row>
    <row r="5279" spans="1:4" x14ac:dyDescent="0.2">
      <c r="A5279" s="5">
        <v>5218</v>
      </c>
      <c r="B5279" s="1832">
        <f>'Revenues 9-14'!C214</f>
        <v>636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229538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793921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793921</v>
      </c>
      <c r="C5326" s="2" t="s">
        <v>569</v>
      </c>
      <c r="D5326" s="2" t="str">
        <f t="shared" si="82"/>
        <v>Error?</v>
      </c>
    </row>
    <row r="5327" spans="1:5" x14ac:dyDescent="0.2">
      <c r="A5327" s="5">
        <v>5266</v>
      </c>
      <c r="B5327" s="1832">
        <f>'Revenues 9-14'!C268</f>
        <v>9191591</v>
      </c>
      <c r="C5327" s="2" t="s">
        <v>569</v>
      </c>
      <c r="D5327" s="2" t="str">
        <f t="shared" si="82"/>
        <v>Error?</v>
      </c>
    </row>
    <row r="5328" spans="1:5" x14ac:dyDescent="0.2">
      <c r="A5328" s="5">
        <v>5267</v>
      </c>
      <c r="B5328" s="1832">
        <f>'Revenues 9-14'!D5</f>
        <v>592803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592803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440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440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560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560</v>
      </c>
      <c r="C5355" s="2" t="s">
        <v>569</v>
      </c>
      <c r="D5355" s="2" t="str">
        <f t="shared" si="82"/>
        <v>Error?</v>
      </c>
    </row>
    <row r="5356" spans="1:4" x14ac:dyDescent="0.2">
      <c r="A5356" s="5">
        <v>5295</v>
      </c>
      <c r="B5356" s="1832">
        <f>'Revenues 9-14'!D109</f>
        <v>593803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593803</v>
      </c>
      <c r="C5508" s="2" t="s">
        <v>569</v>
      </c>
      <c r="D5508" s="2" t="str">
        <f t="shared" si="85"/>
        <v>Error?</v>
      </c>
    </row>
    <row r="5509" spans="1:4" x14ac:dyDescent="0.2">
      <c r="A5509" s="5">
        <v>5448</v>
      </c>
      <c r="B5509" s="1832">
        <f>'Revenues 9-14'!E5</f>
        <v>425895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425895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647504</v>
      </c>
      <c r="C5526" s="2" t="s">
        <v>569</v>
      </c>
      <c r="D5526" s="2" t="str">
        <f t="shared" si="85"/>
        <v>Error?</v>
      </c>
    </row>
    <row r="5527" spans="1:4" x14ac:dyDescent="0.2">
      <c r="A5527" s="5">
        <v>5466</v>
      </c>
      <c r="B5527" s="1832">
        <f>'Revenues 9-14'!E109</f>
        <v>1073534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1073534</v>
      </c>
      <c r="C5552" s="2" t="s">
        <v>569</v>
      </c>
      <c r="D5552" s="2" t="str">
        <f t="shared" si="85"/>
        <v>Error?</v>
      </c>
    </row>
    <row r="5553" spans="1:4" x14ac:dyDescent="0.2">
      <c r="A5553" s="5">
        <v>5492</v>
      </c>
      <c r="B5553" s="1832">
        <f>'Revenues 9-14'!F5</f>
        <v>237124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237124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3361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3361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28377</v>
      </c>
      <c r="D5586" s="2" t="str">
        <f t="shared" si="86"/>
        <v>Error?</v>
      </c>
    </row>
    <row r="5587" spans="1:4" x14ac:dyDescent="0.2">
      <c r="A5587" s="5">
        <v>5526</v>
      </c>
      <c r="B5587" s="1832">
        <f>'Revenues 9-14'!F108</f>
        <v>28377</v>
      </c>
      <c r="C5587" s="2" t="s">
        <v>569</v>
      </c>
      <c r="D5587" s="2" t="str">
        <f t="shared" si="86"/>
        <v>Error?</v>
      </c>
    </row>
    <row r="5588" spans="1:4" x14ac:dyDescent="0.2">
      <c r="A5588" s="5">
        <v>5527</v>
      </c>
      <c r="B5588" s="1832">
        <f>'Revenues 9-14'!F109</f>
        <v>268862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301456</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301456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301456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401456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670318</v>
      </c>
      <c r="C5720" s="2" t="s">
        <v>569</v>
      </c>
      <c r="D5720" s="2" t="str">
        <f t="shared" si="88"/>
        <v>Error?</v>
      </c>
    </row>
    <row r="5721" spans="1:4" x14ac:dyDescent="0.2">
      <c r="A5721" s="5">
        <v>5660</v>
      </c>
      <c r="B5721" s="1832">
        <f>'Revenues 9-14'!G5</f>
        <v>26731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26731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53462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223864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223864</v>
      </c>
      <c r="C5730" s="2" t="s">
        <v>569</v>
      </c>
      <c r="D5730" s="2" t="str">
        <f t="shared" si="88"/>
        <v>Error?</v>
      </c>
    </row>
    <row r="5731" spans="1:4" x14ac:dyDescent="0.2">
      <c r="A5731" s="5">
        <v>5670</v>
      </c>
      <c r="B5731" s="1832">
        <f>'Revenues 9-14'!G65</f>
        <v>1390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1390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278716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59282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59282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59355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59282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59282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1074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1074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60356</v>
      </c>
      <c r="C6023" s="2" t="s">
        <v>569</v>
      </c>
      <c r="D6023" s="2" t="str">
        <f t="shared" si="93"/>
        <v>Error?</v>
      </c>
    </row>
    <row r="6024" spans="1:5" x14ac:dyDescent="0.2">
      <c r="A6024" s="5">
        <v>5963</v>
      </c>
      <c r="B6024" s="1832">
        <f>'Revenues 9-14'!G109</f>
        <v>278716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59355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60356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197405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49765.67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653.9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268930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52454</v>
      </c>
      <c r="D6134" s="2" t="str">
        <f t="shared" si="94"/>
        <v>Error?</v>
      </c>
      <c r="E6134" s="2" t="s">
        <v>189</v>
      </c>
    </row>
    <row r="6135" spans="1:5" x14ac:dyDescent="0.2">
      <c r="A6135">
        <v>6074</v>
      </c>
      <c r="B6135" s="1832">
        <f>'Assets-Liab 5-6'!E26</f>
        <v>370820</v>
      </c>
      <c r="D6135" s="2" t="str">
        <f t="shared" si="94"/>
        <v>Error?</v>
      </c>
      <c r="E6135" s="2" t="s">
        <v>189</v>
      </c>
    </row>
    <row r="6136" spans="1:5" x14ac:dyDescent="0.2">
      <c r="A6136">
        <v>6075</v>
      </c>
      <c r="B6136" s="1832">
        <f>'Assets-Liab 5-6'!F26</f>
        <v>142914</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268930</v>
      </c>
      <c r="D6215" s="2" t="str">
        <f t="shared" si="96"/>
        <v>Error?</v>
      </c>
      <c r="E6215" s="2" t="s">
        <v>189</v>
      </c>
    </row>
    <row r="6216" spans="1:5" x14ac:dyDescent="0.2">
      <c r="A6216">
        <v>6155</v>
      </c>
      <c r="B6216" s="1832">
        <f>'Assets-Liab 5-6'!J41</f>
        <v>268930</v>
      </c>
      <c r="D6216" s="2" t="str">
        <f t="shared" si="96"/>
        <v>Error?</v>
      </c>
      <c r="E6216" s="2" t="s">
        <v>189</v>
      </c>
    </row>
    <row r="6217" spans="1:5" x14ac:dyDescent="0.2">
      <c r="A6217">
        <v>6156</v>
      </c>
      <c r="B6217" s="1832">
        <f>'Assets-Liab 5-6'!J4</f>
        <v>262184</v>
      </c>
      <c r="D6217" s="2" t="str">
        <f t="shared" si="96"/>
        <v>Error?</v>
      </c>
      <c r="E6217" s="2" t="s">
        <v>189</v>
      </c>
    </row>
    <row r="6218" spans="1:5" x14ac:dyDescent="0.2">
      <c r="A6218">
        <v>6157</v>
      </c>
      <c r="B6218" s="1832">
        <f>'Assets-Liab 5-6'!J5</f>
        <v>6746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240702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240702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240702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176322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176322</v>
      </c>
      <c r="D6229" s="2" t="str">
        <f t="shared" si="96"/>
        <v>Error?</v>
      </c>
      <c r="E6229" s="2" t="s">
        <v>189</v>
      </c>
    </row>
    <row r="6230" spans="1:5" x14ac:dyDescent="0.2">
      <c r="A6230">
        <v>6169</v>
      </c>
      <c r="B6230" s="1832">
        <f>'Acct Summary 7-8'!J20</f>
        <v>64380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64380</v>
      </c>
      <c r="D6263" s="2" t="str">
        <f t="shared" si="96"/>
        <v>Error?</v>
      </c>
      <c r="E6263" s="2" t="s">
        <v>189</v>
      </c>
    </row>
    <row r="6264" spans="1:5" x14ac:dyDescent="0.2">
      <c r="A6264">
        <v>6203</v>
      </c>
      <c r="B6264" s="1832">
        <f>'Acct Summary 7-8'!J79</f>
        <v>204550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268930</v>
      </c>
      <c r="D6266" s="2" t="str">
        <f t="shared" si="96"/>
        <v>Error?</v>
      </c>
      <c r="E6266" s="2" t="s">
        <v>189</v>
      </c>
    </row>
    <row r="6267" spans="1:5" x14ac:dyDescent="0.2">
      <c r="A6267">
        <v>6206</v>
      </c>
      <c r="B6267" s="1832">
        <f>'Acct Summary 7-8'!C82</f>
        <v>-46765</v>
      </c>
      <c r="D6267" s="2" t="str">
        <f t="shared" si="96"/>
        <v>Error?</v>
      </c>
      <c r="E6267" s="2" t="s">
        <v>189</v>
      </c>
    </row>
    <row r="6268" spans="1:5" x14ac:dyDescent="0.2">
      <c r="A6268">
        <v>6207</v>
      </c>
      <c r="B6268" s="1832">
        <f>'Acct Summary 7-8'!D82</f>
        <v>23423</v>
      </c>
      <c r="D6268" s="2" t="str">
        <f t="shared" si="96"/>
        <v>Error?</v>
      </c>
      <c r="E6268" s="2" t="s">
        <v>189</v>
      </c>
    </row>
    <row r="6269" spans="1:5" x14ac:dyDescent="0.2">
      <c r="A6269">
        <v>6208</v>
      </c>
      <c r="B6269" s="1832">
        <f>'Acct Summary 7-8'!E82</f>
        <v>-317</v>
      </c>
      <c r="D6269" s="2" t="str">
        <f t="shared" si="96"/>
        <v>Error?</v>
      </c>
      <c r="E6269" s="2" t="s">
        <v>189</v>
      </c>
    </row>
    <row r="6270" spans="1:5" x14ac:dyDescent="0.2">
      <c r="A6270">
        <v>6209</v>
      </c>
      <c r="B6270" s="1832">
        <f>'Acct Summary 7-8'!F82</f>
        <v>-84445</v>
      </c>
      <c r="D6270" s="2" t="str">
        <f t="shared" si="96"/>
        <v>Error?</v>
      </c>
      <c r="E6270" s="2" t="s">
        <v>189</v>
      </c>
    </row>
    <row r="6271" spans="1:5" x14ac:dyDescent="0.2">
      <c r="A6271">
        <v>6210</v>
      </c>
      <c r="B6271" s="1832">
        <f>'Acct Summary 7-8'!G82</f>
        <v>-21250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-106710</v>
      </c>
      <c r="D6273" s="2" t="str">
        <f t="shared" si="97"/>
        <v>Error?</v>
      </c>
      <c r="E6273" s="2" t="s">
        <v>189</v>
      </c>
    </row>
    <row r="6274" spans="1:5" x14ac:dyDescent="0.2">
      <c r="A6274">
        <v>6213</v>
      </c>
      <c r="B6274" s="1832">
        <f>'Acct Summary 7-8'!J82</f>
        <v>64380</v>
      </c>
      <c r="D6274" s="2" t="str">
        <f t="shared" si="97"/>
        <v>Error?</v>
      </c>
      <c r="E6274" s="2" t="s">
        <v>189</v>
      </c>
    </row>
    <row r="6275" spans="1:5" x14ac:dyDescent="0.2">
      <c r="A6275">
        <v>6214</v>
      </c>
      <c r="B6275" s="1832">
        <f>'Acct Summary 7-8'!K82</f>
        <v>60356</v>
      </c>
      <c r="D6275" s="2" t="str">
        <f t="shared" si="97"/>
        <v>Error?</v>
      </c>
      <c r="E6275" s="2" t="s">
        <v>189</v>
      </c>
    </row>
    <row r="6276" spans="1:5" x14ac:dyDescent="0.2">
      <c r="A6276">
        <v>6215</v>
      </c>
      <c r="B6276" s="1832">
        <f>'Acct Summary 7-8'!C83</f>
        <v>-2.0975131697274555E-2</v>
      </c>
      <c r="D6276" s="2" t="str">
        <f t="shared" si="97"/>
        <v>Error?</v>
      </c>
      <c r="E6276" s="2" t="s">
        <v>189</v>
      </c>
    </row>
    <row r="6277" spans="1:5" x14ac:dyDescent="0.2">
      <c r="A6277">
        <v>6216</v>
      </c>
      <c r="B6277" s="1832">
        <f>'Acct Summary 7-8'!D83</f>
        <v>-1.1236208385301736</v>
      </c>
      <c r="D6277" s="2" t="str">
        <f t="shared" si="97"/>
        <v>Error?</v>
      </c>
      <c r="E6277" s="2" t="s">
        <v>189</v>
      </c>
    </row>
    <row r="6278" spans="1:5" x14ac:dyDescent="0.2">
      <c r="A6278">
        <v>6217</v>
      </c>
      <c r="B6278" s="1832">
        <f>'Acct Summary 7-8'!E83</f>
        <v>8.8467173655201281E-4</v>
      </c>
      <c r="D6278" s="2" t="str">
        <f t="shared" si="97"/>
        <v>Error?</v>
      </c>
      <c r="E6278" s="2" t="s">
        <v>189</v>
      </c>
    </row>
    <row r="6279" spans="1:5" x14ac:dyDescent="0.2">
      <c r="A6279">
        <v>6218</v>
      </c>
      <c r="B6279" s="1832">
        <f>'Acct Summary 7-8'!F83</f>
        <v>-0.72626491102835566</v>
      </c>
      <c r="D6279" s="2" t="str">
        <f t="shared" si="97"/>
        <v>Error?</v>
      </c>
      <c r="E6279" s="2" t="s">
        <v>189</v>
      </c>
    </row>
    <row r="6280" spans="1:5" x14ac:dyDescent="0.2">
      <c r="A6280">
        <v>6219</v>
      </c>
      <c r="B6280" s="1832">
        <f>'Acct Summary 7-8'!G83</f>
        <v>-7.3877839081898364E-2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-3.054092730394963</v>
      </c>
      <c r="D6282" s="2" t="str">
        <f t="shared" si="97"/>
        <v>Error?</v>
      </c>
      <c r="E6282" s="2" t="s">
        <v>189</v>
      </c>
    </row>
    <row r="6283" spans="1:5" x14ac:dyDescent="0.2">
      <c r="A6283">
        <v>6222</v>
      </c>
      <c r="B6283" s="1832">
        <f>'Acct Summary 7-8'!J83</f>
        <v>0.23939315063399397</v>
      </c>
      <c r="D6283" s="2" t="str">
        <f t="shared" si="97"/>
        <v>Error?</v>
      </c>
      <c r="E6283" s="2" t="s">
        <v>189</v>
      </c>
    </row>
    <row r="6284" spans="1:5" x14ac:dyDescent="0.2">
      <c r="A6284">
        <v>6223</v>
      </c>
      <c r="B6284" s="1832">
        <f>'Acct Summary 7-8'!K83</f>
        <v>0.11839199055312104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240543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240543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4530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240702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125735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160708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72064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176322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240702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69654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69654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502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502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69473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69473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16455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16455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20238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20238</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176322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176322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176322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176322</v>
      </c>
      <c r="D7224" s="2" t="str">
        <f t="shared" si="111"/>
        <v>Error?</v>
      </c>
    </row>
    <row r="7225" spans="1:4" x14ac:dyDescent="0.2">
      <c r="A7225">
        <v>7164</v>
      </c>
      <c r="B7225" s="1832">
        <f>'Expenditures 15-22'!K343</f>
        <v>64380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24455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10518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60055</v>
      </c>
      <c r="D7263" s="2" t="str">
        <f t="shared" si="112"/>
        <v>Error?</v>
      </c>
    </row>
    <row r="7264" spans="1:4" x14ac:dyDescent="0.2">
      <c r="A7264">
        <f t="shared" si="113"/>
        <v>7203</v>
      </c>
      <c r="B7264" s="1832">
        <f>'Expenditures 15-22'!D17</f>
        <v>8199</v>
      </c>
      <c r="D7264" s="2" t="str">
        <f t="shared" si="112"/>
        <v>Error?</v>
      </c>
    </row>
    <row r="7265" spans="1:5" x14ac:dyDescent="0.2">
      <c r="A7265">
        <f t="shared" si="113"/>
        <v>7204</v>
      </c>
      <c r="B7265" s="1832">
        <f>'Expenditures 15-22'!E17</f>
        <v>3810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924618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4530</v>
      </c>
      <c r="D7712" s="2" t="str">
        <f t="shared" si="126"/>
        <v>Error?</v>
      </c>
      <c r="E7712" s="2" t="s">
        <v>822</v>
      </c>
    </row>
    <row r="7713" spans="1:6" x14ac:dyDescent="0.2">
      <c r="A7713">
        <v>7652</v>
      </c>
      <c r="B7713" s="1832">
        <f>'Rest Tax Levies-Tort Im 25'!J8</f>
        <v>647504</v>
      </c>
      <c r="D7713" s="2" t="str">
        <f t="shared" si="126"/>
        <v>Error?</v>
      </c>
      <c r="E7713" s="2" t="s">
        <v>822</v>
      </c>
    </row>
    <row r="7714" spans="1:6" x14ac:dyDescent="0.2">
      <c r="A7714">
        <v>7653</v>
      </c>
      <c r="B7714" s="1832">
        <f>'Rest Tax Levies-Tort Im 25'!K9</f>
        <v>9136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647504</v>
      </c>
      <c r="D7718" s="2" t="str">
        <f t="shared" si="126"/>
        <v>Error?</v>
      </c>
      <c r="E7718" s="2" t="s">
        <v>822</v>
      </c>
    </row>
    <row r="7719" spans="1:6" x14ac:dyDescent="0.2">
      <c r="A7719">
        <v>7658</v>
      </c>
      <c r="B7719" s="1832">
        <f>'Rest Tax Levies-Tort Im 25'!K12</f>
        <v>13666</v>
      </c>
      <c r="D7719" s="2" t="str">
        <f t="shared" si="126"/>
        <v>Error?</v>
      </c>
      <c r="E7719" s="2" t="s">
        <v>822</v>
      </c>
    </row>
    <row r="7720" spans="1:6" x14ac:dyDescent="0.2">
      <c r="A7720">
        <v>7659</v>
      </c>
      <c r="B7720" s="1832">
        <f>'Rest Tax Levies-Tort Im 25'!H14</f>
        <v>641511</v>
      </c>
      <c r="D7720" s="2" t="str">
        <f t="shared" si="126"/>
        <v>Error?</v>
      </c>
      <c r="E7720" s="2" t="s">
        <v>822</v>
      </c>
    </row>
    <row r="7721" spans="1:6" x14ac:dyDescent="0.2">
      <c r="A7721">
        <v>7660</v>
      </c>
      <c r="B7721" s="1832">
        <f>'Rest Tax Levies-Tort Im 25'!K14</f>
        <v>72064</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432351</v>
      </c>
      <c r="D7724" s="2" t="str">
        <f t="shared" si="126"/>
        <v>Error?</v>
      </c>
      <c r="E7724" s="2" t="s">
        <v>822</v>
      </c>
      <c r="F7724" s="2"/>
    </row>
    <row r="7725" spans="1:6" x14ac:dyDescent="0.2">
      <c r="A7725">
        <v>7664</v>
      </c>
      <c r="B7725" s="1832">
        <f>'Rest Tax Levies-Tort Im 25'!J19</f>
        <v>640000</v>
      </c>
      <c r="D7725" s="2" t="str">
        <f t="shared" si="126"/>
        <v>Error?</v>
      </c>
      <c r="E7725" s="2" t="s">
        <v>822</v>
      </c>
    </row>
    <row r="7726" spans="1:6" x14ac:dyDescent="0.2">
      <c r="A7726">
        <v>7665</v>
      </c>
      <c r="B7726" s="1832">
        <f>'Rest Tax Levies-Tort Im 25'!J20</f>
        <v>1500</v>
      </c>
      <c r="D7726" s="2" t="str">
        <f t="shared" si="126"/>
        <v>Error?</v>
      </c>
      <c r="E7726" s="2" t="s">
        <v>822</v>
      </c>
    </row>
    <row r="7727" spans="1:6" x14ac:dyDescent="0.2">
      <c r="A7727">
        <v>7666</v>
      </c>
      <c r="B7727" s="1832">
        <f>'Rest Tax Levies-Tort Im 25'!J21</f>
        <v>1073851</v>
      </c>
      <c r="D7727" s="2" t="str">
        <f t="shared" si="126"/>
        <v>Error?</v>
      </c>
      <c r="E7727" s="2" t="s">
        <v>822</v>
      </c>
    </row>
    <row r="7728" spans="1:6" x14ac:dyDescent="0.2">
      <c r="A7728">
        <v>7667</v>
      </c>
      <c r="B7728" s="1832">
        <f>'Revenues 9-14'!E103</f>
        <v>647504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1073851</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-426347</v>
      </c>
      <c r="D7732" s="2" t="str">
        <f t="shared" si="126"/>
        <v>Error?</v>
      </c>
      <c r="E7732" s="2" t="s">
        <v>822</v>
      </c>
    </row>
    <row r="7733" spans="1:6" x14ac:dyDescent="0.2">
      <c r="A7733">
        <v>7672</v>
      </c>
      <c r="B7733" s="1832">
        <f>'Rest Tax Levies-Tort Im 25'!K24</f>
        <v>-58398</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-594088</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-426347</v>
      </c>
      <c r="D7742" s="2" t="str">
        <f t="shared" si="126"/>
        <v>Error?</v>
      </c>
      <c r="E7742" s="2" t="s">
        <v>822</v>
      </c>
    </row>
    <row r="7743" spans="1:6" x14ac:dyDescent="0.2">
      <c r="A7743">
        <v>7682</v>
      </c>
      <c r="B7743" s="1832">
        <f>'Rest Tax Levies-Tort Im 25'!K26</f>
        <v>-58398</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166065</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72064</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15270000</v>
      </c>
      <c r="D7817" s="2" t="str">
        <f t="shared" si="128"/>
        <v>Error?</v>
      </c>
      <c r="E7817" s="4" t="s">
        <v>1964</v>
      </c>
    </row>
    <row r="7818" spans="1:5" x14ac:dyDescent="0.2">
      <c r="A7818">
        <v>7757</v>
      </c>
      <c r="B7818" s="1832">
        <f>'PCTC-OEPP 27-28'!F172</f>
        <v>243525.95</v>
      </c>
      <c r="D7818" s="2" t="str">
        <f t="shared" si="128"/>
        <v>Error?</v>
      </c>
      <c r="E7818" s="4" t="s">
        <v>1978</v>
      </c>
    </row>
    <row r="7819" spans="1:5" x14ac:dyDescent="0.2">
      <c r="A7819">
        <v>7758</v>
      </c>
      <c r="B7819" s="1832">
        <f>'PCTC-OEPP 27-28'!F173</f>
        <v>43.11</v>
      </c>
      <c r="D7819" s="2" t="str">
        <f t="shared" si="128"/>
        <v>Error?</v>
      </c>
      <c r="E7819" s="4" t="s">
        <v>1978</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12279703</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160708</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0</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2444092</v>
      </c>
      <c r="D7834" s="2" t="str">
        <f t="shared" si="129"/>
        <v>Error?</v>
      </c>
      <c r="E7834" s="4" t="s">
        <v>1996</v>
      </c>
    </row>
    <row r="7835" spans="1:5" x14ac:dyDescent="0.2">
      <c r="A7835">
        <v>7774</v>
      </c>
      <c r="B7835" s="1832">
        <f>'PCTC-OEPP 27-28'!F78</f>
        <v>9835611</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15041.460467961462</v>
      </c>
      <c r="D7837" s="2" t="str">
        <f t="shared" si="129"/>
        <v>Error?</v>
      </c>
      <c r="E7837" s="4" t="s">
        <v>1996</v>
      </c>
    </row>
    <row r="7838" spans="1:5" x14ac:dyDescent="0.2">
      <c r="A7838">
        <v>7777</v>
      </c>
      <c r="B7838" s="1832">
        <f>'PCTC-OEPP 27-28'!F96</f>
        <v>40919</v>
      </c>
      <c r="D7838" s="2" t="str">
        <f t="shared" si="129"/>
        <v>Error?</v>
      </c>
      <c r="E7838" s="4" t="s">
        <v>1996</v>
      </c>
    </row>
    <row r="7839" spans="1:5" x14ac:dyDescent="0.2">
      <c r="A7839">
        <v>7778</v>
      </c>
      <c r="B7839" s="1832">
        <f>'PCTC-OEPP 27-28'!F102</f>
        <v>560</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35089</v>
      </c>
      <c r="D7842" s="2" t="str">
        <f t="shared" si="129"/>
        <v>Error?</v>
      </c>
      <c r="E7842" s="4" t="s">
        <v>1996</v>
      </c>
    </row>
    <row r="7843" spans="1:5" x14ac:dyDescent="0.2">
      <c r="A7843">
        <v>7782</v>
      </c>
      <c r="B7843" s="1832">
        <f>'PCTC-OEPP 27-28'!F107</f>
        <v>14419</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9136</v>
      </c>
      <c r="D7846" s="2" t="str">
        <f t="shared" si="129"/>
        <v>Error?</v>
      </c>
      <c r="E7846" s="4" t="s">
        <v>1996</v>
      </c>
    </row>
    <row r="7847" spans="1:5" x14ac:dyDescent="0.2">
      <c r="A7847">
        <v>7786</v>
      </c>
      <c r="B7847" s="1832">
        <f>'PCTC-OEPP 27-28'!F112</f>
        <v>301456</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320597</v>
      </c>
      <c r="D7858" s="2" t="str">
        <f t="shared" si="129"/>
        <v>Error?</v>
      </c>
      <c r="E7858" s="4" t="s">
        <v>1996</v>
      </c>
    </row>
    <row r="7859" spans="1:5" x14ac:dyDescent="0.2">
      <c r="A7859">
        <v>7798</v>
      </c>
      <c r="B7859" s="1832">
        <f>'PCTC-OEPP 27-28'!F127</f>
        <v>216915</v>
      </c>
      <c r="D7859" s="2" t="str">
        <f t="shared" si="129"/>
        <v>Error?</v>
      </c>
      <c r="E7859" s="4" t="s">
        <v>1996</v>
      </c>
    </row>
    <row r="7860" spans="1:5" x14ac:dyDescent="0.2">
      <c r="A7860">
        <v>7799</v>
      </c>
      <c r="B7860" s="1832">
        <f>'PCTC-OEPP 27-28'!F128</f>
        <v>0</v>
      </c>
      <c r="D7860" s="2" t="str">
        <f t="shared" si="129"/>
        <v>Error?</v>
      </c>
      <c r="E7860" s="4" t="s">
        <v>1996</v>
      </c>
    </row>
    <row r="7861" spans="1:5" x14ac:dyDescent="0.2">
      <c r="A7861">
        <v>7800</v>
      </c>
      <c r="B7861" s="1832">
        <f>'PCTC-OEPP 27-28'!F129</f>
        <v>220704</v>
      </c>
      <c r="D7861" s="2" t="str">
        <f t="shared" si="129"/>
        <v>Error?</v>
      </c>
      <c r="E7861" s="4" t="s">
        <v>1996</v>
      </c>
    </row>
    <row r="7862" spans="1:5" x14ac:dyDescent="0.2">
      <c r="A7862">
        <v>7801</v>
      </c>
      <c r="B7862" s="1832">
        <f>'PCTC-OEPP 27-28'!F130</f>
        <v>636</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21453</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0</v>
      </c>
      <c r="D7874" s="2" t="str">
        <f t="shared" si="129"/>
        <v>Error?</v>
      </c>
      <c r="E7874" s="4" t="s">
        <v>1996</v>
      </c>
    </row>
    <row r="7875" spans="1:5" x14ac:dyDescent="0.2">
      <c r="A7875">
        <v>7814</v>
      </c>
      <c r="B7875" s="1832">
        <f>'PCTC-OEPP 27-28'!F170</f>
        <v>0</v>
      </c>
      <c r="D7875" s="2" t="str">
        <f t="shared" si="129"/>
        <v>Error?</v>
      </c>
      <c r="E7875" s="4" t="s">
        <v>1996</v>
      </c>
    </row>
    <row r="7876" spans="1:5" x14ac:dyDescent="0.2">
      <c r="A7876">
        <v>7815</v>
      </c>
      <c r="B7876" s="1832">
        <f>'PCTC-OEPP 27-28'!F171</f>
        <v>5418</v>
      </c>
      <c r="D7876" s="2" t="str">
        <f t="shared" si="129"/>
        <v>Error?</v>
      </c>
      <c r="E7876" s="4" t="s">
        <v>1996</v>
      </c>
    </row>
    <row r="7877" spans="1:5" x14ac:dyDescent="0.2">
      <c r="A7877">
        <v>7816</v>
      </c>
      <c r="B7877" s="1832">
        <f>'PCTC-OEPP 27-28'!F175</f>
        <v>1705978.06</v>
      </c>
      <c r="D7877" s="2" t="str">
        <f t="shared" si="129"/>
        <v>Error?</v>
      </c>
      <c r="E7877" s="4" t="s">
        <v>1996</v>
      </c>
    </row>
    <row r="7878" spans="1:5" x14ac:dyDescent="0.2">
      <c r="A7878">
        <v>7817</v>
      </c>
      <c r="B7878" s="1832">
        <f>'PCTC-OEPP 27-28'!F176</f>
        <v>8129632.9399999995</v>
      </c>
      <c r="D7878" s="2" t="str">
        <f t="shared" si="129"/>
        <v>Error?</v>
      </c>
      <c r="E7878" s="4" t="s">
        <v>1996</v>
      </c>
    </row>
    <row r="7879" spans="1:5" x14ac:dyDescent="0.2">
      <c r="A7879">
        <v>7818</v>
      </c>
      <c r="B7879" s="1832">
        <f>'PCTC-OEPP 27-28'!F178</f>
        <v>9054250.9399999995</v>
      </c>
      <c r="D7879" s="2" t="str">
        <f t="shared" si="129"/>
        <v>Error?</v>
      </c>
      <c r="E7879" s="4" t="s">
        <v>1996</v>
      </c>
    </row>
    <row r="7880" spans="1:5" x14ac:dyDescent="0.2">
      <c r="A7880">
        <v>7819</v>
      </c>
      <c r="B7880" s="1832">
        <f>'PCTC-OEPP 27-28'!F180</f>
        <v>13846.537605138399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topLeftCell="A22" zoomScale="110" zoomScaleNormal="110" workbookViewId="0">
      <selection activeCell="I42" sqref="I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Knoxville CUSD 202</v>
      </c>
      <c r="B7" s="2518"/>
      <c r="C7" s="2518"/>
      <c r="D7" s="2556"/>
      <c r="E7" s="2557">
        <f>COVER!A13</f>
        <v>33048202026</v>
      </c>
      <c r="F7" s="2558"/>
      <c r="G7" s="2524" t="str">
        <f>COVER!T23</f>
        <v>065-024137</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BLUCKER, KNEER &amp; ASSOCIATES, LTD</v>
      </c>
      <c r="H9" s="2531"/>
      <c r="I9" s="2531"/>
      <c r="J9" s="2531"/>
      <c r="K9" s="2531"/>
      <c r="L9" s="2532"/>
    </row>
    <row r="10" spans="1:29" ht="13.5" customHeight="1" x14ac:dyDescent="0.2">
      <c r="A10" s="2514" t="str">
        <f>COVER!A38</f>
        <v>JOE BURGESS, JR</v>
      </c>
      <c r="B10" s="2515"/>
      <c r="C10" s="2515"/>
      <c r="D10" s="2515"/>
      <c r="E10" s="2515"/>
      <c r="F10" s="2516"/>
      <c r="G10" s="2530" t="str">
        <f>COVER!T17</f>
        <v>P.O. BOX 1464</v>
      </c>
      <c r="H10" s="2543"/>
      <c r="I10" s="2543"/>
      <c r="J10" s="2543"/>
      <c r="K10" s="2543"/>
      <c r="L10" s="2544"/>
    </row>
    <row r="11" spans="1:29" ht="13.5" customHeight="1" x14ac:dyDescent="0.2">
      <c r="A11" s="963" t="s">
        <v>1502</v>
      </c>
      <c r="B11" s="964"/>
      <c r="C11" s="965"/>
      <c r="D11" s="970"/>
      <c r="E11" s="965"/>
      <c r="F11" s="969"/>
      <c r="G11" s="2530" t="str">
        <f>COVER!T19</f>
        <v>GALESBURG</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teresabka@gmail.com</v>
      </c>
      <c r="J13" s="2552"/>
      <c r="K13" s="2552"/>
      <c r="L13" s="2553"/>
    </row>
    <row r="14" spans="1:29" ht="13.5" customHeight="1" x14ac:dyDescent="0.2">
      <c r="A14" s="2530" t="str">
        <f>COVER!A19</f>
        <v>809 EAST MAIN STREET</v>
      </c>
      <c r="B14" s="2543"/>
      <c r="C14" s="2543"/>
      <c r="D14" s="2543"/>
      <c r="E14" s="2543"/>
      <c r="F14" s="2544"/>
      <c r="G14" s="974" t="s">
        <v>1175</v>
      </c>
      <c r="H14" s="972"/>
      <c r="I14" s="972"/>
      <c r="J14" s="972"/>
      <c r="K14" s="972"/>
      <c r="L14" s="973"/>
    </row>
    <row r="15" spans="1:29" ht="13.5" customHeight="1" x14ac:dyDescent="0.2">
      <c r="A15" s="2530" t="str">
        <f>COVER!A21</f>
        <v xml:space="preserve">KNOXVILLE </v>
      </c>
      <c r="B15" s="2543"/>
      <c r="C15" s="2543"/>
      <c r="D15" s="2543"/>
      <c r="E15" s="2543"/>
      <c r="F15" s="2544"/>
      <c r="G15" s="2540" t="str">
        <f>COVER!T15</f>
        <v>TERESA A. WELCH</v>
      </c>
      <c r="H15" s="2541"/>
      <c r="I15" s="2541"/>
      <c r="J15" s="2541"/>
      <c r="K15" s="2541"/>
      <c r="L15" s="2542"/>
    </row>
    <row r="16" spans="1:29" ht="12.2" customHeight="1" x14ac:dyDescent="0.2">
      <c r="A16" s="2520">
        <f>COVER!A25</f>
        <v>61448</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309-343-4156</v>
      </c>
      <c r="H18" s="2518"/>
      <c r="I18" s="2518"/>
      <c r="J18" s="2518"/>
      <c r="K18" s="2517" t="str">
        <f>COVER!X21</f>
        <v>309-343-0174</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2053</v>
      </c>
      <c r="C23" s="981" t="s">
        <v>1172</v>
      </c>
    </row>
    <row r="24" spans="1:13" ht="10.15" customHeight="1" x14ac:dyDescent="0.2">
      <c r="A24" s="979"/>
      <c r="C24" s="981" t="s">
        <v>1171</v>
      </c>
    </row>
    <row r="25" spans="1:13" ht="9.1999999999999993" customHeight="1" x14ac:dyDescent="0.2">
      <c r="B25" s="982" t="s">
        <v>1159</v>
      </c>
      <c r="C25" s="983"/>
    </row>
    <row r="26" spans="1:13" s="977" customFormat="1" ht="12.2" customHeight="1" x14ac:dyDescent="0.2">
      <c r="B26" s="980" t="s">
        <v>2053</v>
      </c>
      <c r="C26" s="981" t="s">
        <v>1677</v>
      </c>
    </row>
    <row r="27" spans="1:13" s="977" customFormat="1" ht="9.1999999999999993" customHeight="1" x14ac:dyDescent="0.2">
      <c r="B27" s="982"/>
      <c r="C27" s="981"/>
    </row>
    <row r="28" spans="1:13" s="977" customFormat="1" ht="12.2" customHeight="1" x14ac:dyDescent="0.2">
      <c r="A28" s="984"/>
      <c r="B28" s="980" t="s">
        <v>2053</v>
      </c>
      <c r="C28" s="981" t="s">
        <v>1678</v>
      </c>
    </row>
    <row r="29" spans="1:13" s="977" customFormat="1" ht="9.1999999999999993" customHeight="1" x14ac:dyDescent="0.2">
      <c r="A29" s="984"/>
      <c r="B29" s="982"/>
      <c r="C29" s="981"/>
    </row>
    <row r="30" spans="1:13" s="977" customFormat="1" ht="12.2" customHeight="1" x14ac:dyDescent="0.2">
      <c r="B30" s="980" t="s">
        <v>2053</v>
      </c>
      <c r="C30" s="981" t="s">
        <v>1545</v>
      </c>
      <c r="D30" s="975"/>
      <c r="E30" s="975"/>
    </row>
    <row r="31" spans="1:13" s="977" customFormat="1" ht="9.1999999999999993" customHeight="1" x14ac:dyDescent="0.2">
      <c r="B31" s="982"/>
      <c r="C31" s="981"/>
      <c r="D31" s="975"/>
      <c r="E31" s="975"/>
    </row>
    <row r="32" spans="1:13" s="977" customFormat="1" ht="12.2" customHeight="1" x14ac:dyDescent="0.2">
      <c r="B32" s="980" t="s">
        <v>2053</v>
      </c>
      <c r="C32" s="981" t="s">
        <v>1546</v>
      </c>
      <c r="D32" s="975"/>
      <c r="E32" s="975"/>
    </row>
    <row r="33" spans="1:8" s="977" customFormat="1" ht="11.1" customHeight="1" x14ac:dyDescent="0.2">
      <c r="B33" s="982"/>
      <c r="C33" s="985" t="s">
        <v>1679</v>
      </c>
      <c r="D33" s="975"/>
      <c r="E33" s="975"/>
    </row>
    <row r="34" spans="1:8" ht="9.1999999999999993" customHeight="1" x14ac:dyDescent="0.2">
      <c r="B34" s="982"/>
      <c r="C34" s="985"/>
    </row>
    <row r="35" spans="1:8" s="977" customFormat="1" ht="13.5" customHeight="1" x14ac:dyDescent="0.2">
      <c r="B35" s="980" t="s">
        <v>2053</v>
      </c>
      <c r="C35" s="981" t="s">
        <v>1547</v>
      </c>
    </row>
    <row r="36" spans="1:8" s="977" customFormat="1" ht="11.1" customHeight="1" x14ac:dyDescent="0.2">
      <c r="B36" s="982"/>
      <c r="C36" s="985" t="s">
        <v>1548</v>
      </c>
    </row>
    <row r="37" spans="1:8" ht="9.1999999999999993" customHeight="1" x14ac:dyDescent="0.2">
      <c r="B37" s="982"/>
      <c r="C37" s="985"/>
    </row>
    <row r="38" spans="1:8" s="977" customFormat="1" ht="12.2" customHeight="1" x14ac:dyDescent="0.2">
      <c r="B38" s="980" t="s">
        <v>2053</v>
      </c>
      <c r="C38" s="981" t="s">
        <v>1549</v>
      </c>
    </row>
    <row r="39" spans="1:8" ht="9.1999999999999993" customHeight="1" x14ac:dyDescent="0.2">
      <c r="B39" s="982"/>
      <c r="C39" s="985"/>
    </row>
    <row r="40" spans="1:8" s="977" customFormat="1" ht="13.5" customHeight="1" x14ac:dyDescent="0.2">
      <c r="B40" s="980" t="s">
        <v>2053</v>
      </c>
      <c r="C40" s="981" t="s">
        <v>1550</v>
      </c>
    </row>
    <row r="41" spans="1:8" ht="9.1999999999999993" customHeight="1" x14ac:dyDescent="0.2">
      <c r="A41" s="986"/>
      <c r="B41" s="982"/>
      <c r="C41" s="985"/>
    </row>
    <row r="42" spans="1:8" s="977" customFormat="1" ht="13.5" customHeight="1" x14ac:dyDescent="0.2">
      <c r="B42" s="980" t="s">
        <v>2053</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1999999999999993" customHeight="1" x14ac:dyDescent="0.2"/>
    <row r="48" spans="1:8" ht="12.2" customHeight="1" x14ac:dyDescent="0.2">
      <c r="B48" s="1541"/>
      <c r="C48" s="989" t="s">
        <v>1552</v>
      </c>
    </row>
    <row r="49" spans="1:12" ht="9.1999999999999993"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Knoxville CUSD 202</v>
      </c>
      <c r="B1" s="2560"/>
      <c r="C1" s="2560"/>
      <c r="D1" s="2560"/>
    </row>
    <row r="2" spans="1:11" s="991" customFormat="1" ht="12.75" x14ac:dyDescent="0.2">
      <c r="A2" s="2561">
        <f>'Single Audit Cover'!E7</f>
        <v>33048202026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Knoxville CUSD 202</v>
      </c>
      <c r="B1" s="2564"/>
      <c r="C1" s="2564"/>
      <c r="D1" s="2564"/>
      <c r="E1" s="2564"/>
    </row>
    <row r="2" spans="1:5" x14ac:dyDescent="0.2">
      <c r="A2" s="2565">
        <f>'Single Audit Cover'!E7</f>
        <v>33048202026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793921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49765.67</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0</v>
      </c>
    </row>
    <row r="19" spans="1:4" ht="13.5" thickBot="1" x14ac:dyDescent="0.25">
      <c r="A19" s="1041" t="s">
        <v>1224</v>
      </c>
      <c r="D19" s="1042">
        <f>SUM(D10:D17)</f>
        <v>843686.67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843686.67</v>
      </c>
    </row>
    <row r="33" spans="1:4" x14ac:dyDescent="0.2">
      <c r="D33" s="1045"/>
    </row>
    <row r="34" spans="1:4" x14ac:dyDescent="0.2">
      <c r="A34" s="295" t="s">
        <v>1221</v>
      </c>
    </row>
    <row r="35" spans="1:4" x14ac:dyDescent="0.2">
      <c r="A35" s="295" t="s">
        <v>1220</v>
      </c>
      <c r="B35" s="1034" t="s">
        <v>1219</v>
      </c>
      <c r="D35" s="1046">
        <v>843687</v>
      </c>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843687</v>
      </c>
    </row>
    <row r="49" spans="2:4" x14ac:dyDescent="0.2">
      <c r="B49" s="1048" t="s">
        <v>1215</v>
      </c>
      <c r="C49" s="1048"/>
      <c r="D49" s="1049">
        <f>D32-D47</f>
        <v>-0.32999999995809048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52"/>
  <sheetViews>
    <sheetView showGridLines="0" topLeftCell="A16"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Knoxville CUSD 202</v>
      </c>
      <c r="C1" s="2568"/>
      <c r="D1" s="2568"/>
      <c r="E1" s="2568"/>
      <c r="F1" s="2568"/>
      <c r="G1" s="2568"/>
      <c r="H1" s="2568"/>
      <c r="I1" s="2568"/>
      <c r="J1" s="2568"/>
      <c r="K1" s="2568"/>
      <c r="L1" s="2568"/>
      <c r="M1" s="2568"/>
    </row>
    <row r="2" spans="2:14" ht="15" x14ac:dyDescent="0.2">
      <c r="B2" s="2569">
        <f>'Single Audit Cover'!E7</f>
        <v>33048202026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1709</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2130</v>
      </c>
      <c r="C11" s="1821"/>
      <c r="D11" s="1822"/>
      <c r="E11" s="1823"/>
      <c r="F11" s="1823"/>
      <c r="G11" s="1823"/>
      <c r="H11" s="1823"/>
      <c r="I11" s="1823"/>
      <c r="J11" s="1823"/>
      <c r="K11" s="1823"/>
      <c r="L11" s="1823">
        <f>+G11+I11+K11</f>
        <v>0</v>
      </c>
      <c r="M11" s="1823"/>
    </row>
    <row r="12" spans="2:14" ht="20.100000000000001" customHeight="1" x14ac:dyDescent="0.2">
      <c r="B12" s="1113" t="s">
        <v>2131</v>
      </c>
      <c r="C12" s="1824"/>
      <c r="D12" s="1825"/>
      <c r="E12" s="1826"/>
      <c r="F12" s="1826"/>
      <c r="G12" s="1826"/>
      <c r="H12" s="1826"/>
      <c r="I12" s="1826"/>
      <c r="J12" s="1826"/>
      <c r="K12" s="1826"/>
      <c r="L12" s="1823">
        <f t="shared" ref="L12:L27" si="0">+G12+I12+K12</f>
        <v>0</v>
      </c>
      <c r="M12" s="1826"/>
    </row>
    <row r="13" spans="2:14" ht="20.100000000000001" customHeight="1" x14ac:dyDescent="0.2">
      <c r="B13" s="1113" t="s">
        <v>2132</v>
      </c>
      <c r="C13" s="1824"/>
      <c r="D13" s="1825"/>
      <c r="E13" s="1826"/>
      <c r="F13" s="1826"/>
      <c r="G13" s="1826"/>
      <c r="H13" s="1826"/>
      <c r="I13" s="1826"/>
      <c r="J13" s="1826"/>
      <c r="K13" s="1826"/>
      <c r="L13" s="1823">
        <f t="shared" si="0"/>
        <v>0</v>
      </c>
      <c r="M13" s="1826"/>
    </row>
    <row r="14" spans="2:14" ht="20.100000000000001" customHeight="1" x14ac:dyDescent="0.2">
      <c r="B14" s="1113" t="s">
        <v>2188</v>
      </c>
      <c r="C14" s="1824">
        <v>10.555</v>
      </c>
      <c r="D14" s="1825" t="s">
        <v>2133</v>
      </c>
      <c r="E14" s="1826">
        <v>171721</v>
      </c>
      <c r="F14" s="1826">
        <v>36829</v>
      </c>
      <c r="G14" s="1826">
        <v>171721</v>
      </c>
      <c r="H14" s="1826"/>
      <c r="I14" s="1826">
        <v>36829</v>
      </c>
      <c r="J14" s="1826"/>
      <c r="K14" s="1826"/>
      <c r="L14" s="1823">
        <f t="shared" si="0"/>
        <v>208550</v>
      </c>
      <c r="M14" s="1826" t="s">
        <v>2134</v>
      </c>
    </row>
    <row r="15" spans="2:14" ht="20.100000000000001" customHeight="1" x14ac:dyDescent="0.2">
      <c r="B15" s="1113" t="s">
        <v>2188</v>
      </c>
      <c r="C15" s="1824">
        <v>10.555</v>
      </c>
      <c r="D15" s="1825" t="s">
        <v>2135</v>
      </c>
      <c r="E15" s="1826"/>
      <c r="F15" s="1826">
        <v>128107</v>
      </c>
      <c r="G15" s="1826"/>
      <c r="H15" s="1826"/>
      <c r="I15" s="1826">
        <v>128107</v>
      </c>
      <c r="J15" s="1826"/>
      <c r="K15" s="1826"/>
      <c r="L15" s="1823">
        <f t="shared" si="0"/>
        <v>128107</v>
      </c>
      <c r="M15" s="1826" t="s">
        <v>2134</v>
      </c>
    </row>
    <row r="16" spans="2:14" ht="20.100000000000001" customHeight="1" x14ac:dyDescent="0.2">
      <c r="B16" s="1113" t="s">
        <v>2189</v>
      </c>
      <c r="C16" s="1824"/>
      <c r="D16" s="1825"/>
      <c r="E16" s="1826"/>
      <c r="F16" s="1826"/>
      <c r="G16" s="1826"/>
      <c r="H16" s="1826"/>
      <c r="I16" s="1826"/>
      <c r="J16" s="1826"/>
      <c r="K16" s="1826"/>
      <c r="L16" s="1823">
        <f t="shared" si="0"/>
        <v>0</v>
      </c>
      <c r="M16" s="1826"/>
    </row>
    <row r="17" spans="2:14" ht="20.100000000000001" customHeight="1" x14ac:dyDescent="0.2">
      <c r="B17" s="1113" t="s">
        <v>2182</v>
      </c>
      <c r="C17" s="1824">
        <v>10.555</v>
      </c>
      <c r="D17" s="1825" t="s">
        <v>2136</v>
      </c>
      <c r="E17" s="1826"/>
      <c r="F17" s="1826">
        <v>29766</v>
      </c>
      <c r="G17" s="1826"/>
      <c r="H17" s="1826"/>
      <c r="I17" s="1826">
        <v>29766</v>
      </c>
      <c r="J17" s="1826"/>
      <c r="K17" s="1826"/>
      <c r="L17" s="1823">
        <f t="shared" si="0"/>
        <v>29766</v>
      </c>
      <c r="M17" s="1826" t="s">
        <v>2134</v>
      </c>
    </row>
    <row r="18" spans="2:14" ht="20.100000000000001" customHeight="1" x14ac:dyDescent="0.2">
      <c r="B18" s="1113" t="s">
        <v>2183</v>
      </c>
      <c r="C18" s="1824">
        <v>10.555</v>
      </c>
      <c r="D18" s="1825" t="s">
        <v>2136</v>
      </c>
      <c r="E18" s="1826"/>
      <c r="F18" s="1826">
        <v>20000</v>
      </c>
      <c r="G18" s="1826"/>
      <c r="H18" s="1826"/>
      <c r="I18" s="1826">
        <v>20000</v>
      </c>
      <c r="J18" s="1826"/>
      <c r="K18" s="1826"/>
      <c r="L18" s="1823">
        <f t="shared" si="0"/>
        <v>20000</v>
      </c>
      <c r="M18" s="1826" t="s">
        <v>2134</v>
      </c>
    </row>
    <row r="19" spans="2:14" ht="20.100000000000001" customHeight="1" x14ac:dyDescent="0.2">
      <c r="B19" s="1113" t="s">
        <v>2137</v>
      </c>
      <c r="C19" s="1824"/>
      <c r="D19" s="1825"/>
      <c r="E19" s="1826">
        <v>171721</v>
      </c>
      <c r="F19" s="1826">
        <v>214702</v>
      </c>
      <c r="G19" s="1826">
        <v>171721</v>
      </c>
      <c r="H19" s="1826"/>
      <c r="I19" s="1826">
        <v>214702</v>
      </c>
      <c r="J19" s="1826"/>
      <c r="K19" s="1826"/>
      <c r="L19" s="1823">
        <f t="shared" si="0"/>
        <v>386423</v>
      </c>
      <c r="M19" s="1826"/>
    </row>
    <row r="20" spans="2:14" ht="20.100000000000001" customHeight="1" x14ac:dyDescent="0.2">
      <c r="B20" s="1113" t="s">
        <v>2187</v>
      </c>
      <c r="C20" s="1824">
        <v>10.555999999999999</v>
      </c>
      <c r="D20" s="1825" t="s">
        <v>2138</v>
      </c>
      <c r="E20" s="1826">
        <v>884</v>
      </c>
      <c r="F20" s="1826">
        <v>165</v>
      </c>
      <c r="G20" s="1826">
        <v>884</v>
      </c>
      <c r="H20" s="1826"/>
      <c r="I20" s="1826">
        <v>165</v>
      </c>
      <c r="J20" s="1826"/>
      <c r="K20" s="1826"/>
      <c r="L20" s="1823">
        <f t="shared" si="0"/>
        <v>1049</v>
      </c>
      <c r="M20" s="1826" t="s">
        <v>2134</v>
      </c>
    </row>
    <row r="21" spans="2:14" ht="20.100000000000001" customHeight="1" x14ac:dyDescent="0.2">
      <c r="B21" s="1113" t="s">
        <v>2184</v>
      </c>
      <c r="C21" s="1824">
        <v>10.555999999999999</v>
      </c>
      <c r="D21" s="1825" t="s">
        <v>2139</v>
      </c>
      <c r="E21" s="1826"/>
      <c r="F21" s="1826">
        <v>651</v>
      </c>
      <c r="G21" s="1826"/>
      <c r="H21" s="1826"/>
      <c r="I21" s="1826">
        <v>651</v>
      </c>
      <c r="J21" s="1826"/>
      <c r="K21" s="1826"/>
      <c r="L21" s="1823">
        <f t="shared" si="0"/>
        <v>651</v>
      </c>
      <c r="M21" s="1826" t="s">
        <v>2134</v>
      </c>
    </row>
    <row r="22" spans="2:14" ht="20.100000000000001" customHeight="1" x14ac:dyDescent="0.2">
      <c r="B22" s="1113" t="s">
        <v>2140</v>
      </c>
      <c r="C22" s="1824"/>
      <c r="D22" s="1825"/>
      <c r="E22" s="1826">
        <v>884</v>
      </c>
      <c r="F22" s="1826">
        <v>816</v>
      </c>
      <c r="G22" s="1826">
        <v>884</v>
      </c>
      <c r="H22" s="1826"/>
      <c r="I22" s="1826">
        <v>816</v>
      </c>
      <c r="J22" s="1826"/>
      <c r="K22" s="1826"/>
      <c r="L22" s="1823">
        <v>1700</v>
      </c>
      <c r="M22" s="1826"/>
    </row>
    <row r="23" spans="2:14" ht="20.100000000000001" customHeight="1" x14ac:dyDescent="0.2">
      <c r="B23" s="1113" t="s">
        <v>2185</v>
      </c>
      <c r="C23" s="1824">
        <v>10.553000000000001</v>
      </c>
      <c r="D23" s="1825" t="s">
        <v>2141</v>
      </c>
      <c r="E23" s="1826">
        <v>49938</v>
      </c>
      <c r="F23" s="1826">
        <v>10038</v>
      </c>
      <c r="G23" s="1826">
        <v>49938</v>
      </c>
      <c r="H23" s="1826"/>
      <c r="I23" s="1826">
        <v>10038</v>
      </c>
      <c r="J23" s="1826"/>
      <c r="K23" s="1826"/>
      <c r="L23" s="1823">
        <f t="shared" si="0"/>
        <v>59976</v>
      </c>
      <c r="M23" s="1826" t="s">
        <v>2134</v>
      </c>
    </row>
    <row r="24" spans="2:14" ht="20.100000000000001" customHeight="1" x14ac:dyDescent="0.2">
      <c r="B24" s="1113" t="s">
        <v>2185</v>
      </c>
      <c r="C24" s="1824">
        <v>10.553000000000001</v>
      </c>
      <c r="D24" s="1825" t="s">
        <v>2142</v>
      </c>
      <c r="E24" s="1826"/>
      <c r="F24" s="1826">
        <v>37529</v>
      </c>
      <c r="G24" s="1826"/>
      <c r="H24" s="1826"/>
      <c r="I24" s="1826">
        <v>37529</v>
      </c>
      <c r="J24" s="1826"/>
      <c r="K24" s="1826"/>
      <c r="L24" s="1823">
        <f t="shared" si="0"/>
        <v>37529</v>
      </c>
      <c r="M24" s="1826" t="s">
        <v>2134</v>
      </c>
    </row>
    <row r="25" spans="2:14" ht="20.100000000000001" customHeight="1" x14ac:dyDescent="0.2">
      <c r="B25" s="1113" t="s">
        <v>2143</v>
      </c>
      <c r="C25" s="1824"/>
      <c r="D25" s="1825"/>
      <c r="E25" s="1826">
        <v>49938</v>
      </c>
      <c r="F25" s="1826">
        <v>47567</v>
      </c>
      <c r="G25" s="1826">
        <v>49938</v>
      </c>
      <c r="H25" s="1826"/>
      <c r="I25" s="1826">
        <v>47567</v>
      </c>
      <c r="J25" s="1826"/>
      <c r="K25" s="1826"/>
      <c r="L25" s="1823">
        <f t="shared" si="0"/>
        <v>97505</v>
      </c>
      <c r="M25" s="1826"/>
    </row>
    <row r="26" spans="2:14" ht="20.100000000000001" customHeight="1" x14ac:dyDescent="0.2">
      <c r="B26" s="1113" t="s">
        <v>2186</v>
      </c>
      <c r="C26" s="1824">
        <v>10.558999999999999</v>
      </c>
      <c r="D26" s="1825" t="s">
        <v>2144</v>
      </c>
      <c r="E26" s="1826"/>
      <c r="F26" s="1826">
        <v>107278</v>
      </c>
      <c r="G26" s="1826"/>
      <c r="H26" s="1826"/>
      <c r="I26" s="1826">
        <v>107278</v>
      </c>
      <c r="J26" s="1826"/>
      <c r="K26" s="1826"/>
      <c r="L26" s="1823">
        <f t="shared" si="0"/>
        <v>107278</v>
      </c>
      <c r="M26" s="1826" t="s">
        <v>2134</v>
      </c>
    </row>
    <row r="27" spans="2:14" ht="20.100000000000001" customHeight="1" x14ac:dyDescent="0.2">
      <c r="B27" s="1113" t="s">
        <v>2145</v>
      </c>
      <c r="C27" s="1824"/>
      <c r="D27" s="1825"/>
      <c r="E27" s="1826">
        <v>222543</v>
      </c>
      <c r="F27" s="1826">
        <v>370363</v>
      </c>
      <c r="G27" s="1826">
        <v>222543</v>
      </c>
      <c r="H27" s="1826"/>
      <c r="I27" s="1826">
        <v>370363</v>
      </c>
      <c r="J27" s="1826"/>
      <c r="K27" s="1826"/>
      <c r="L27" s="1823">
        <f t="shared" si="0"/>
        <v>592906</v>
      </c>
      <c r="M27" s="1826" t="s">
        <v>2134</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B1:N152"/>
  <sheetViews>
    <sheetView showGridLines="0" topLeftCell="A7" zoomScaleNormal="100" workbookViewId="0">
      <selection activeCell="F18" sqref="F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Knoxville CUSD 202</v>
      </c>
      <c r="C1" s="2568"/>
      <c r="D1" s="2568"/>
      <c r="E1" s="2568"/>
      <c r="F1" s="2568"/>
      <c r="G1" s="2568"/>
      <c r="H1" s="2568"/>
      <c r="I1" s="2568"/>
      <c r="J1" s="2568"/>
      <c r="K1" s="2568"/>
      <c r="L1" s="2568"/>
      <c r="M1" s="2568"/>
    </row>
    <row r="2" spans="2:14" ht="15" x14ac:dyDescent="0.2">
      <c r="B2" s="2569">
        <f>'Single Audit Cover'!E7</f>
        <v>33048202026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1709</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2146</v>
      </c>
      <c r="C11" s="1821"/>
      <c r="D11" s="1822"/>
      <c r="E11" s="1823"/>
      <c r="F11" s="1823"/>
      <c r="G11" s="1823"/>
      <c r="H11" s="1823"/>
      <c r="I11" s="1823"/>
      <c r="J11" s="1823"/>
      <c r="K11" s="1823"/>
      <c r="L11" s="1823">
        <f>+G11+I11+K11</f>
        <v>0</v>
      </c>
      <c r="M11" s="1823"/>
    </row>
    <row r="12" spans="2:14" ht="20.100000000000001" customHeight="1" x14ac:dyDescent="0.2">
      <c r="B12" s="1113" t="s">
        <v>2131</v>
      </c>
      <c r="C12" s="1824"/>
      <c r="D12" s="1825"/>
      <c r="E12" s="1826"/>
      <c r="F12" s="1826"/>
      <c r="G12" s="1826"/>
      <c r="H12" s="1826"/>
      <c r="I12" s="1826"/>
      <c r="J12" s="1826"/>
      <c r="K12" s="1826"/>
      <c r="L12" s="1823">
        <f t="shared" ref="L12:L27" si="0">+G12+I12+K12</f>
        <v>0</v>
      </c>
      <c r="M12" s="1826"/>
    </row>
    <row r="13" spans="2:14" ht="20.100000000000001" customHeight="1" x14ac:dyDescent="0.2">
      <c r="B13" s="1113" t="s">
        <v>2147</v>
      </c>
      <c r="C13" s="1824" t="s">
        <v>2148</v>
      </c>
      <c r="D13" s="1825" t="s">
        <v>2149</v>
      </c>
      <c r="E13" s="1826">
        <v>138947</v>
      </c>
      <c r="F13" s="1826">
        <v>14970</v>
      </c>
      <c r="G13" s="1826">
        <v>138947</v>
      </c>
      <c r="H13" s="1826"/>
      <c r="I13" s="1826">
        <v>14970</v>
      </c>
      <c r="J13" s="1826"/>
      <c r="K13" s="1826"/>
      <c r="L13" s="1823">
        <f t="shared" si="0"/>
        <v>153917</v>
      </c>
      <c r="M13" s="1826">
        <v>164117</v>
      </c>
    </row>
    <row r="14" spans="2:14" ht="20.100000000000001" customHeight="1" x14ac:dyDescent="0.2">
      <c r="B14" s="1113" t="s">
        <v>2147</v>
      </c>
      <c r="C14" s="1824" t="s">
        <v>2148</v>
      </c>
      <c r="D14" s="1825" t="s">
        <v>2150</v>
      </c>
      <c r="E14" s="1826"/>
      <c r="F14" s="1826">
        <v>150338</v>
      </c>
      <c r="G14" s="1826"/>
      <c r="H14" s="1826"/>
      <c r="I14" s="1826">
        <v>190306</v>
      </c>
      <c r="J14" s="1826"/>
      <c r="K14" s="1826"/>
      <c r="L14" s="1823">
        <f t="shared" si="0"/>
        <v>190306</v>
      </c>
      <c r="M14" s="1826">
        <v>190306</v>
      </c>
    </row>
    <row r="15" spans="2:14" ht="20.100000000000001" customHeight="1" x14ac:dyDescent="0.2">
      <c r="B15" s="1113" t="s">
        <v>2151</v>
      </c>
      <c r="C15" s="1824" t="s">
        <v>2148</v>
      </c>
      <c r="D15" s="1825" t="s">
        <v>2153</v>
      </c>
      <c r="E15" s="1826">
        <v>7574</v>
      </c>
      <c r="F15" s="1826">
        <v>26972</v>
      </c>
      <c r="G15" s="1826">
        <v>7574</v>
      </c>
      <c r="H15" s="1826"/>
      <c r="I15" s="1826">
        <v>26972</v>
      </c>
      <c r="J15" s="1826"/>
      <c r="K15" s="1826"/>
      <c r="L15" s="1823">
        <f t="shared" si="0"/>
        <v>34546</v>
      </c>
      <c r="M15" s="1826">
        <v>48183</v>
      </c>
    </row>
    <row r="16" spans="2:14" ht="20.100000000000001" customHeight="1" x14ac:dyDescent="0.2">
      <c r="B16" s="1113" t="s">
        <v>2151</v>
      </c>
      <c r="C16" s="1824" t="s">
        <v>2148</v>
      </c>
      <c r="D16" s="1825" t="s">
        <v>2152</v>
      </c>
      <c r="E16" s="1826"/>
      <c r="F16" s="1826">
        <v>4502</v>
      </c>
      <c r="G16" s="1826"/>
      <c r="H16" s="1826"/>
      <c r="I16" s="1826">
        <v>5001</v>
      </c>
      <c r="J16" s="1826"/>
      <c r="K16" s="1826"/>
      <c r="L16" s="1823">
        <f t="shared" si="0"/>
        <v>5001</v>
      </c>
      <c r="M16" s="1826">
        <v>30000</v>
      </c>
    </row>
    <row r="17" spans="2:14" ht="20.100000000000001" customHeight="1" x14ac:dyDescent="0.2">
      <c r="B17" s="1113" t="s">
        <v>2155</v>
      </c>
      <c r="C17" s="1824"/>
      <c r="D17" s="1825"/>
      <c r="E17" s="1826">
        <v>146521</v>
      </c>
      <c r="F17" s="1826">
        <v>196782</v>
      </c>
      <c r="G17" s="1826">
        <v>146521</v>
      </c>
      <c r="H17" s="1826"/>
      <c r="I17" s="1826">
        <v>237249</v>
      </c>
      <c r="J17" s="1826"/>
      <c r="K17" s="1826"/>
      <c r="L17" s="1823">
        <f t="shared" si="0"/>
        <v>383770</v>
      </c>
      <c r="M17" s="1826"/>
    </row>
    <row r="18" spans="2:14" ht="20.100000000000001" customHeight="1" x14ac:dyDescent="0.2">
      <c r="B18" s="1113" t="s">
        <v>2177</v>
      </c>
      <c r="C18" s="1824" t="s">
        <v>2154</v>
      </c>
      <c r="D18" s="1825" t="s">
        <v>2149</v>
      </c>
      <c r="E18" s="1826"/>
      <c r="F18" s="1826">
        <v>10000</v>
      </c>
      <c r="G18" s="1826"/>
      <c r="H18" s="1826"/>
      <c r="I18" s="1826">
        <v>10000</v>
      </c>
      <c r="J18" s="1826"/>
      <c r="K18" s="1826"/>
      <c r="L18" s="1823">
        <f t="shared" ref="L18" si="1">+G18+I18+K18</f>
        <v>10000</v>
      </c>
      <c r="M18" s="1826"/>
    </row>
    <row r="19" spans="2:14" ht="20.100000000000001" customHeight="1" x14ac:dyDescent="0.2">
      <c r="B19" s="1113" t="s">
        <v>2176</v>
      </c>
      <c r="C19" s="1824" t="s">
        <v>2154</v>
      </c>
      <c r="D19" s="1825" t="s">
        <v>2150</v>
      </c>
      <c r="E19" s="1826"/>
      <c r="F19" s="1826">
        <v>10133</v>
      </c>
      <c r="G19" s="1826"/>
      <c r="H19" s="1826"/>
      <c r="I19" s="1826">
        <v>10133</v>
      </c>
      <c r="J19" s="1826"/>
      <c r="K19" s="1826"/>
      <c r="L19" s="1823">
        <f t="shared" si="0"/>
        <v>10133</v>
      </c>
      <c r="M19" s="1826"/>
    </row>
    <row r="20" spans="2:14" ht="20.100000000000001" customHeight="1" x14ac:dyDescent="0.2">
      <c r="B20" s="1113" t="s">
        <v>2156</v>
      </c>
      <c r="C20" s="1824"/>
      <c r="D20" s="1825"/>
      <c r="E20" s="1826"/>
      <c r="F20" s="1826">
        <v>20133</v>
      </c>
      <c r="G20" s="1826"/>
      <c r="H20" s="1826"/>
      <c r="I20" s="1826">
        <v>20133</v>
      </c>
      <c r="J20" s="1826"/>
      <c r="K20" s="1826"/>
      <c r="L20" s="1823">
        <f t="shared" si="0"/>
        <v>20133</v>
      </c>
      <c r="M20" s="1826"/>
    </row>
    <row r="21" spans="2:14" ht="20.100000000000001" customHeight="1" x14ac:dyDescent="0.2">
      <c r="B21" s="1113" t="s">
        <v>2165</v>
      </c>
      <c r="C21" s="1824" t="s">
        <v>2166</v>
      </c>
      <c r="D21" s="1825" t="s">
        <v>2167</v>
      </c>
      <c r="E21" s="1826">
        <v>24238</v>
      </c>
      <c r="F21" s="1826">
        <v>1235</v>
      </c>
      <c r="G21" s="1826">
        <v>24238</v>
      </c>
      <c r="H21" s="1826"/>
      <c r="I21" s="1826">
        <v>1235</v>
      </c>
      <c r="J21" s="1826"/>
      <c r="K21" s="1826"/>
      <c r="L21" s="1823">
        <f t="shared" si="0"/>
        <v>25473</v>
      </c>
      <c r="M21" s="1826">
        <v>25473</v>
      </c>
    </row>
    <row r="22" spans="2:14" ht="20.100000000000001" customHeight="1" x14ac:dyDescent="0.2">
      <c r="B22" s="1113" t="s">
        <v>2165</v>
      </c>
      <c r="C22" s="1824" t="s">
        <v>2166</v>
      </c>
      <c r="D22" s="1825" t="s">
        <v>2168</v>
      </c>
      <c r="E22" s="1826"/>
      <c r="F22" s="1826">
        <v>20218</v>
      </c>
      <c r="G22" s="1826"/>
      <c r="H22" s="1826"/>
      <c r="I22" s="1826">
        <v>22642</v>
      </c>
      <c r="J22" s="1826"/>
      <c r="K22" s="1826"/>
      <c r="L22" s="1823">
        <f t="shared" si="0"/>
        <v>22642</v>
      </c>
      <c r="M22" s="1826">
        <v>29510</v>
      </c>
    </row>
    <row r="23" spans="2:14" ht="20.100000000000001" customHeight="1" x14ac:dyDescent="0.2">
      <c r="B23" s="1113" t="s">
        <v>2169</v>
      </c>
      <c r="C23" s="1824"/>
      <c r="D23" s="1825"/>
      <c r="E23" s="1826">
        <v>24238</v>
      </c>
      <c r="F23" s="1826">
        <v>21453</v>
      </c>
      <c r="G23" s="1826">
        <v>24238</v>
      </c>
      <c r="H23" s="1826"/>
      <c r="I23" s="1826">
        <v>23877</v>
      </c>
      <c r="J23" s="1826"/>
      <c r="K23" s="1826"/>
      <c r="L23" s="1823">
        <f t="shared" si="0"/>
        <v>48115</v>
      </c>
      <c r="M23" s="1826"/>
    </row>
    <row r="24" spans="2:14" ht="20.100000000000001" customHeight="1" x14ac:dyDescent="0.2">
      <c r="B24" s="1113" t="s">
        <v>1159</v>
      </c>
      <c r="C24" s="1824"/>
      <c r="D24" s="1825"/>
      <c r="E24" s="1826"/>
      <c r="F24" s="1826"/>
      <c r="G24" s="1826"/>
      <c r="H24" s="1826"/>
      <c r="I24" s="1826"/>
      <c r="J24" s="1826"/>
      <c r="K24" s="1826"/>
      <c r="L24" s="1823">
        <f t="shared" si="0"/>
        <v>0</v>
      </c>
      <c r="M24" s="1826"/>
    </row>
    <row r="25" spans="2:14" ht="20.100000000000001" customHeight="1" x14ac:dyDescent="0.2">
      <c r="B25" s="1113" t="s">
        <v>1159</v>
      </c>
      <c r="C25" s="1824"/>
      <c r="D25" s="1825"/>
      <c r="E25" s="1826"/>
      <c r="F25" s="1826"/>
      <c r="G25" s="1826"/>
      <c r="H25" s="1826"/>
      <c r="I25" s="1826"/>
      <c r="J25" s="1826"/>
      <c r="K25" s="1826"/>
      <c r="L25" s="1823">
        <f t="shared" si="0"/>
        <v>0</v>
      </c>
      <c r="M25" s="1826"/>
    </row>
    <row r="26" spans="2:14" ht="20.100000000000001" customHeight="1" x14ac:dyDescent="0.2">
      <c r="B26" s="1113" t="s">
        <v>1159</v>
      </c>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D110"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9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1999999999999993" customHeight="1" x14ac:dyDescent="0.2">
      <c r="A67" s="249"/>
      <c r="B67" s="2183"/>
      <c r="C67" s="2184"/>
      <c r="D67" s="2184"/>
      <c r="E67" s="2184"/>
      <c r="F67" s="2184"/>
      <c r="G67" s="2184"/>
      <c r="H67" s="2184"/>
      <c r="I67" s="2184"/>
      <c r="J67" s="2185"/>
    </row>
    <row r="68" spans="1:11" s="176" customFormat="1" ht="9.1999999999999993"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4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1987</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1987</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2072</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4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B1:N152"/>
  <sheetViews>
    <sheetView showGridLines="0" zoomScaleNormal="100" workbookViewId="0">
      <selection activeCell="F24" sqref="F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Knoxville CUSD 202</v>
      </c>
      <c r="C1" s="2568"/>
      <c r="D1" s="2568"/>
      <c r="E1" s="2568"/>
      <c r="F1" s="2568"/>
      <c r="G1" s="2568"/>
      <c r="H1" s="2568"/>
      <c r="I1" s="2568"/>
      <c r="J1" s="2568"/>
      <c r="K1" s="2568"/>
      <c r="L1" s="2568"/>
      <c r="M1" s="2568"/>
    </row>
    <row r="2" spans="2:14" ht="15" x14ac:dyDescent="0.2">
      <c r="B2" s="2569">
        <f>'Single Audit Cover'!E7</f>
        <v>33048202026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1709</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2157</v>
      </c>
      <c r="C11" s="1824" t="s">
        <v>1159</v>
      </c>
      <c r="D11" s="1825" t="s">
        <v>1159</v>
      </c>
      <c r="E11" s="1826" t="s">
        <v>1159</v>
      </c>
      <c r="F11" s="1826" t="s">
        <v>1159</v>
      </c>
      <c r="G11" s="1826"/>
      <c r="H11" s="1826"/>
      <c r="I11" s="1826" t="s">
        <v>1159</v>
      </c>
      <c r="J11" s="1826"/>
      <c r="K11" s="1823"/>
      <c r="L11" s="1823">
        <v>0</v>
      </c>
      <c r="M11" s="1823"/>
    </row>
    <row r="12" spans="2:14" ht="20.100000000000001" customHeight="1" x14ac:dyDescent="0.2">
      <c r="B12" s="1113" t="s">
        <v>2179</v>
      </c>
      <c r="C12" s="1824" t="s">
        <v>2158</v>
      </c>
      <c r="D12" s="1825" t="s">
        <v>2159</v>
      </c>
      <c r="E12" s="1826"/>
      <c r="F12" s="1826">
        <v>636</v>
      </c>
      <c r="G12" s="1826"/>
      <c r="H12" s="1826"/>
      <c r="I12" s="1826">
        <v>636</v>
      </c>
      <c r="J12" s="1826"/>
      <c r="K12" s="1826"/>
      <c r="L12" s="1823">
        <v>636</v>
      </c>
      <c r="M12" s="1826"/>
    </row>
    <row r="13" spans="2:14" ht="20.100000000000001" customHeight="1" x14ac:dyDescent="0.2">
      <c r="B13" s="1113" t="s">
        <v>2180</v>
      </c>
      <c r="C13" s="1824" t="s">
        <v>2158</v>
      </c>
      <c r="D13" s="1825" t="s">
        <v>2160</v>
      </c>
      <c r="E13" s="1826"/>
      <c r="F13" s="1826">
        <v>220704</v>
      </c>
      <c r="G13" s="1826"/>
      <c r="H13" s="1826"/>
      <c r="I13" s="1826">
        <v>220704</v>
      </c>
      <c r="J13" s="1826"/>
      <c r="K13" s="1826"/>
      <c r="L13" s="1823">
        <v>220704</v>
      </c>
      <c r="M13" s="1826">
        <v>220704</v>
      </c>
    </row>
    <row r="14" spans="2:14" ht="20.100000000000001" customHeight="1" x14ac:dyDescent="0.2">
      <c r="B14" s="1113" t="s">
        <v>2161</v>
      </c>
      <c r="C14" s="1824"/>
      <c r="D14" s="1825"/>
      <c r="E14" s="1826"/>
      <c r="F14" s="1826">
        <v>221340</v>
      </c>
      <c r="G14" s="1826"/>
      <c r="H14" s="1826"/>
      <c r="I14" s="1826">
        <v>221340</v>
      </c>
      <c r="J14" s="1826"/>
      <c r="K14" s="1826"/>
      <c r="L14" s="1823">
        <v>221340</v>
      </c>
      <c r="M14" s="1826"/>
    </row>
    <row r="15" spans="2:14" ht="20.100000000000001" customHeight="1" x14ac:dyDescent="0.2">
      <c r="B15" s="1113" t="s">
        <v>2178</v>
      </c>
      <c r="C15" s="1824" t="s">
        <v>2162</v>
      </c>
      <c r="D15" s="1825" t="s">
        <v>2163</v>
      </c>
      <c r="E15" s="1826"/>
      <c r="F15" s="1826">
        <v>8198</v>
      </c>
      <c r="G15" s="1826"/>
      <c r="H15" s="1826"/>
      <c r="I15" s="1826">
        <v>8198</v>
      </c>
      <c r="J15" s="1826"/>
      <c r="K15" s="1826"/>
      <c r="L15" s="1823">
        <v>8198</v>
      </c>
      <c r="M15" s="1826">
        <v>8198</v>
      </c>
    </row>
    <row r="16" spans="2:14" ht="20.100000000000001" customHeight="1" x14ac:dyDescent="0.2">
      <c r="B16" s="1113" t="s">
        <v>2164</v>
      </c>
      <c r="C16" s="1824"/>
      <c r="D16" s="1825"/>
      <c r="E16" s="1826">
        <v>170759</v>
      </c>
      <c r="F16" s="1826">
        <v>467904</v>
      </c>
      <c r="G16" s="1826">
        <v>170759</v>
      </c>
      <c r="H16" s="1826"/>
      <c r="I16" s="1826">
        <v>510797</v>
      </c>
      <c r="J16" s="1826"/>
      <c r="K16" s="1826"/>
      <c r="L16" s="1823">
        <v>467904</v>
      </c>
      <c r="M16" s="1826"/>
    </row>
    <row r="17" spans="2:14" ht="20.100000000000001" customHeight="1" x14ac:dyDescent="0.2">
      <c r="B17" s="1113" t="s">
        <v>2170</v>
      </c>
      <c r="C17" s="1824"/>
      <c r="D17" s="1825"/>
      <c r="E17" s="1826"/>
      <c r="F17" s="1826"/>
      <c r="G17" s="1826"/>
      <c r="H17" s="1826"/>
      <c r="I17" s="1826"/>
      <c r="J17" s="1826"/>
      <c r="K17" s="1826"/>
      <c r="L17" s="1823">
        <v>0</v>
      </c>
      <c r="M17" s="1826"/>
    </row>
    <row r="18" spans="2:14" ht="20.100000000000001" customHeight="1" x14ac:dyDescent="0.2">
      <c r="B18" s="1113" t="s">
        <v>2171</v>
      </c>
      <c r="C18" s="1824"/>
      <c r="D18" s="1825"/>
      <c r="E18" s="1826"/>
      <c r="F18" s="1826"/>
      <c r="G18" s="1826"/>
      <c r="H18" s="1826"/>
      <c r="I18" s="1826"/>
      <c r="J18" s="1826"/>
      <c r="K18" s="1826"/>
      <c r="L18" s="1823">
        <v>0</v>
      </c>
      <c r="M18" s="1826"/>
    </row>
    <row r="19" spans="2:14" ht="20.100000000000001" customHeight="1" x14ac:dyDescent="0.2">
      <c r="B19" s="1113" t="s">
        <v>2172</v>
      </c>
      <c r="C19" s="1824">
        <v>93.778000000000006</v>
      </c>
      <c r="D19" s="1825" t="s">
        <v>2175</v>
      </c>
      <c r="E19" s="1826"/>
      <c r="F19" s="1826">
        <v>1394</v>
      </c>
      <c r="G19" s="1826"/>
      <c r="H19" s="1826"/>
      <c r="I19" s="1826">
        <v>1394</v>
      </c>
      <c r="J19" s="1826"/>
      <c r="K19" s="1826"/>
      <c r="L19" s="1823">
        <f t="shared" ref="L19:L27" si="0">+G19+I19+K19</f>
        <v>1394</v>
      </c>
      <c r="M19" s="1826"/>
    </row>
    <row r="20" spans="2:14" ht="20.100000000000001" customHeight="1" x14ac:dyDescent="0.2">
      <c r="B20" s="1113" t="s">
        <v>2172</v>
      </c>
      <c r="C20" s="1824">
        <v>93.778000000000006</v>
      </c>
      <c r="D20" s="1825" t="s">
        <v>2136</v>
      </c>
      <c r="E20" s="1826"/>
      <c r="F20" s="1826">
        <v>4024</v>
      </c>
      <c r="G20" s="1826"/>
      <c r="H20" s="1826"/>
      <c r="I20" s="1826">
        <v>4024</v>
      </c>
      <c r="J20" s="1826"/>
      <c r="K20" s="1826"/>
      <c r="L20" s="1823">
        <f t="shared" si="0"/>
        <v>4024</v>
      </c>
      <c r="M20" s="1826"/>
    </row>
    <row r="21" spans="2:14" ht="20.100000000000001" customHeight="1" x14ac:dyDescent="0.2">
      <c r="B21" s="1113" t="s">
        <v>2173</v>
      </c>
      <c r="C21" s="1824"/>
      <c r="D21" s="1825"/>
      <c r="E21" s="1826"/>
      <c r="F21" s="1826">
        <v>5418</v>
      </c>
      <c r="G21" s="1826"/>
      <c r="H21" s="1826"/>
      <c r="I21" s="1826">
        <v>5418</v>
      </c>
      <c r="J21" s="1826"/>
      <c r="K21" s="1826"/>
      <c r="L21" s="1823">
        <f t="shared" si="0"/>
        <v>5418</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2174</v>
      </c>
      <c r="C23" s="1824"/>
      <c r="D23" s="1825"/>
      <c r="E23" s="1826">
        <v>393302</v>
      </c>
      <c r="F23" s="1826">
        <v>873687</v>
      </c>
      <c r="G23" s="1826">
        <v>393302</v>
      </c>
      <c r="H23" s="1826"/>
      <c r="I23" s="1826">
        <v>886578</v>
      </c>
      <c r="J23" s="1826"/>
      <c r="K23" s="1826"/>
      <c r="L23" s="1823">
        <f t="shared" si="0"/>
        <v>1279880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oddFooter>&amp;RThe notes to the financial statements are an integral part of this statement.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G52"/>
  <sheetViews>
    <sheetView showGridLines="0" topLeftCell="A4" zoomScale="120" zoomScaleNormal="120" workbookViewId="0">
      <selection activeCell="A14" sqref="A1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Knoxville CUSD 202</v>
      </c>
      <c r="B1" s="2573"/>
      <c r="C1" s="2573"/>
      <c r="D1" s="2573"/>
      <c r="E1" s="2573"/>
      <c r="F1" s="2573"/>
    </row>
    <row r="2" spans="1:7" ht="13.5" customHeight="1" x14ac:dyDescent="0.2">
      <c r="A2" s="2569">
        <f>'Single Audit Cover'!E7</f>
        <v>33048202026</v>
      </c>
      <c r="B2" s="2569"/>
      <c r="C2" s="2569"/>
      <c r="D2" s="2569"/>
      <c r="E2" s="2569"/>
      <c r="F2" s="2569"/>
      <c r="G2" s="1051"/>
    </row>
    <row r="3" spans="1:7" ht="15.9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2181</v>
      </c>
      <c r="B7" s="2572"/>
      <c r="C7" s="2572"/>
      <c r="D7" s="2572"/>
      <c r="E7" s="2572"/>
      <c r="F7" s="257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2053</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2190</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t="s">
        <v>2083</v>
      </c>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1707</v>
      </c>
      <c r="B32" s="2580"/>
      <c r="C32" s="2580"/>
      <c r="D32" s="2580"/>
      <c r="E32" s="2580"/>
      <c r="F32" s="2580"/>
    </row>
    <row r="33" spans="1:6" ht="13.5" customHeight="1" x14ac:dyDescent="0.2">
      <c r="A33" s="306" t="s">
        <v>1417</v>
      </c>
      <c r="B33" s="306"/>
      <c r="C33" s="1064">
        <v>29766</v>
      </c>
      <c r="D33" s="1526"/>
      <c r="E33" s="1062"/>
    </row>
    <row r="34" spans="1:6" ht="13.5" customHeight="1" x14ac:dyDescent="0.2">
      <c r="A34" s="306" t="s">
        <v>1809</v>
      </c>
      <c r="B34" s="306"/>
      <c r="C34" s="1065">
        <v>20000</v>
      </c>
      <c r="D34" s="1526" t="s">
        <v>1572</v>
      </c>
      <c r="E34" s="2581">
        <f>+C33+C34</f>
        <v>49766</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4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oddFooter>&amp;RThe notes to the financial statements are an integral part of this statement.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J63"/>
  <sheetViews>
    <sheetView showGridLines="0" zoomScale="110" zoomScaleNormal="110" workbookViewId="0">
      <selection activeCell="I46" sqref="I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Knoxville CUSD 202</v>
      </c>
      <c r="C1" s="2589"/>
      <c r="D1" s="2589"/>
      <c r="E1" s="2589"/>
      <c r="F1" s="2589"/>
      <c r="G1" s="2589"/>
      <c r="H1" s="2589"/>
      <c r="I1" s="2589"/>
      <c r="J1" s="1178"/>
    </row>
    <row r="2" spans="2:10" s="295" customFormat="1" ht="12.75" customHeight="1" x14ac:dyDescent="0.2">
      <c r="B2" s="2590">
        <f>'Single Audit Cover'!E7</f>
        <v>33048202026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4" customHeight="1" x14ac:dyDescent="0.2">
      <c r="B8" s="1182" t="s">
        <v>1159</v>
      </c>
      <c r="C8" s="1183"/>
      <c r="D8" s="1183"/>
      <c r="E8" s="1184"/>
      <c r="F8" s="1183"/>
      <c r="G8" s="1183"/>
      <c r="H8" s="1183"/>
      <c r="I8" s="1183"/>
    </row>
    <row r="9" spans="2:10" s="295" customFormat="1" ht="9.1999999999999993"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t="s">
        <v>1154</v>
      </c>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2053</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2053</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2053</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2053</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t="s">
        <v>2129</v>
      </c>
      <c r="E29" s="2595"/>
      <c r="F29" s="2595"/>
      <c r="G29" s="2595"/>
      <c r="H29" s="2595"/>
      <c r="I29" s="2595"/>
    </row>
    <row r="30" spans="2:9" s="295" customFormat="1" x14ac:dyDescent="0.2">
      <c r="B30" s="1138"/>
      <c r="C30" s="300"/>
      <c r="D30" s="1189" t="s">
        <v>1723</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2053</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6" t="s">
        <v>1726</v>
      </c>
      <c r="D37" s="2597"/>
      <c r="E37" s="2597"/>
      <c r="F37" s="2598"/>
      <c r="G37" s="2596" t="s">
        <v>1575</v>
      </c>
      <c r="H37" s="2597"/>
      <c r="I37" s="2598"/>
    </row>
    <row r="38" spans="2:9" ht="16.5" customHeight="1" x14ac:dyDescent="0.2">
      <c r="B38" s="1200" t="s">
        <v>2191</v>
      </c>
      <c r="C38" s="2584" t="s">
        <v>2192</v>
      </c>
      <c r="D38" s="2585"/>
      <c r="E38" s="2585"/>
      <c r="F38" s="2586"/>
      <c r="G38" s="2599">
        <v>370363</v>
      </c>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370363</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886578</v>
      </c>
      <c r="E45" s="2607"/>
    </row>
    <row r="46" spans="2:9" ht="5.45" customHeight="1" x14ac:dyDescent="0.2">
      <c r="B46" s="1201"/>
      <c r="D46" s="1202"/>
      <c r="E46" s="1203"/>
    </row>
    <row r="47" spans="2:9" ht="12.75" customHeight="1" x14ac:dyDescent="0.2">
      <c r="B47" s="1076" t="s">
        <v>1577</v>
      </c>
      <c r="C47" s="1076"/>
      <c r="D47" s="1204">
        <f>+G43/D45</f>
        <v>0.41774440601954932</v>
      </c>
      <c r="E47" s="1205"/>
      <c r="F47" s="1206"/>
      <c r="I47" s="1207"/>
    </row>
    <row r="48" spans="2:9" ht="10.15" customHeight="1" x14ac:dyDescent="0.2"/>
    <row r="49" spans="1:9" x14ac:dyDescent="0.2">
      <c r="B49" s="1138" t="s">
        <v>1262</v>
      </c>
      <c r="C49" s="1058"/>
      <c r="D49" s="1058"/>
      <c r="E49" s="2608">
        <v>750000</v>
      </c>
      <c r="F49" s="2608"/>
      <c r="G49" s="2608"/>
      <c r="H49" s="300"/>
    </row>
    <row r="51" spans="1:9" ht="13.5" customHeight="1" x14ac:dyDescent="0.2">
      <c r="B51" s="1138" t="s">
        <v>1261</v>
      </c>
      <c r="C51" s="1058"/>
      <c r="E51" s="1194"/>
      <c r="F51" s="1076" t="s">
        <v>879</v>
      </c>
      <c r="G51" s="1194" t="s">
        <v>2053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Knoxville CUSD 202</v>
      </c>
      <c r="C1" s="2588"/>
      <c r="D1" s="2588"/>
      <c r="E1" s="2588"/>
      <c r="F1" s="2588"/>
      <c r="G1" s="2588"/>
      <c r="H1" s="2588"/>
      <c r="I1" s="2588"/>
      <c r="J1" s="2588"/>
      <c r="K1" s="2588"/>
      <c r="L1" s="1144"/>
      <c r="M1" s="1144"/>
    </row>
    <row r="2" spans="1:13" ht="12" customHeight="1" x14ac:dyDescent="0.2">
      <c r="B2" s="2590">
        <f>'Single Audit Cover'!E7</f>
        <v>33048202026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0" t="str">
        <f>'AFR20'!$E$2&amp;"-"</f>
        <v>2020-</v>
      </c>
      <c r="D10" s="1155">
        <v>1</v>
      </c>
      <c r="E10" s="300"/>
      <c r="F10" s="1156" t="s">
        <v>1284</v>
      </c>
      <c r="G10" s="1157"/>
      <c r="H10" s="1158" t="s">
        <v>1283</v>
      </c>
      <c r="I10" s="1157" t="s">
        <v>2053</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2097</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2098</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4" t="s">
        <v>2099</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0" t="s">
        <v>2100</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2101</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2102</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9" t="s">
        <v>2103</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75"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M41"/>
  <sheetViews>
    <sheetView showGridLines="0" topLeftCell="A25" zoomScale="110" zoomScaleNormal="110" workbookViewId="0">
      <selection activeCell="B35" sqref="B3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Knoxville CUSD 202</v>
      </c>
      <c r="C1" s="2588"/>
      <c r="D1" s="2588"/>
      <c r="E1" s="2588"/>
      <c r="F1" s="2588"/>
      <c r="G1" s="2588"/>
      <c r="H1" s="2588"/>
      <c r="I1" s="2588"/>
      <c r="J1" s="2588"/>
      <c r="K1" s="2588"/>
      <c r="L1" s="1144"/>
      <c r="M1" s="1144"/>
    </row>
    <row r="2" spans="1:13" ht="12" customHeight="1" x14ac:dyDescent="0.2">
      <c r="B2" s="2590">
        <f>'Single Audit Cover'!E7</f>
        <v>33048202026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2036"/>
      <c r="M3" s="2036"/>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0" t="str">
        <f>'AFR20'!$E$2&amp;"-"</f>
        <v>2020-</v>
      </c>
      <c r="D10" s="1155">
        <v>2</v>
      </c>
      <c r="E10" s="300"/>
      <c r="F10" s="1156" t="s">
        <v>1284</v>
      </c>
      <c r="G10" s="1157"/>
      <c r="H10" s="1158" t="s">
        <v>1283</v>
      </c>
      <c r="I10" s="1157" t="s">
        <v>2053</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2104</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2105</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0" t="s">
        <v>2106</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2107</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2108</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9" t="s">
        <v>2109</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75"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M41"/>
  <sheetViews>
    <sheetView showGridLines="0" topLeftCell="A28" zoomScale="110" zoomScaleNormal="110" workbookViewId="0">
      <selection activeCell="B36" sqref="B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Knoxville CUSD 202</v>
      </c>
      <c r="C1" s="2588"/>
      <c r="D1" s="2588"/>
      <c r="E1" s="2588"/>
      <c r="F1" s="2588"/>
      <c r="G1" s="2588"/>
      <c r="H1" s="2588"/>
      <c r="I1" s="2588"/>
      <c r="J1" s="2588"/>
      <c r="K1" s="2588"/>
      <c r="L1" s="1144"/>
      <c r="M1" s="1144"/>
    </row>
    <row r="2" spans="1:13" ht="12" customHeight="1" x14ac:dyDescent="0.2">
      <c r="B2" s="2590">
        <f>'Single Audit Cover'!E7</f>
        <v>33048202026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2036"/>
      <c r="M3" s="2036"/>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0" t="str">
        <f>'AFR20'!$E$2&amp;"-"</f>
        <v>2020-</v>
      </c>
      <c r="D10" s="1155">
        <v>3</v>
      </c>
      <c r="E10" s="300"/>
      <c r="F10" s="1156" t="s">
        <v>1284</v>
      </c>
      <c r="G10" s="1157"/>
      <c r="H10" s="1158" t="s">
        <v>1283</v>
      </c>
      <c r="I10" s="1157" t="s">
        <v>2053</v>
      </c>
      <c r="J10" s="1159" t="s">
        <v>1282</v>
      </c>
      <c r="K10" s="300"/>
      <c r="L10" s="1151"/>
    </row>
    <row r="11" spans="1:13" ht="13.5" customHeight="1" x14ac:dyDescent="0.2">
      <c r="B11" s="300"/>
      <c r="C11" s="300"/>
      <c r="D11" s="300"/>
      <c r="E11" s="300"/>
      <c r="F11" s="300"/>
      <c r="G11" s="1153"/>
      <c r="H11" s="300"/>
      <c r="I11" s="1160" t="s">
        <v>1281</v>
      </c>
      <c r="J11" s="300"/>
      <c r="K11" s="1161">
        <v>2017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2110</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2111</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4" t="s">
        <v>2112</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0" t="s">
        <v>2113</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2114</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2115</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9" t="s">
        <v>2116</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75"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Knoxville CUSD 202</v>
      </c>
      <c r="C1" s="2615"/>
      <c r="D1" s="2615"/>
      <c r="E1" s="2615"/>
      <c r="F1" s="2615"/>
      <c r="G1" s="2615"/>
      <c r="H1" s="2615"/>
      <c r="I1" s="2615"/>
      <c r="J1" s="2615"/>
      <c r="K1" s="2615"/>
      <c r="L1" s="1221"/>
    </row>
    <row r="2" spans="1:12" ht="12.75" customHeight="1" x14ac:dyDescent="0.2">
      <c r="B2" s="2616">
        <f>'Single Audit Cover'!E7</f>
        <v>33048202026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4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4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700000000000003"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700000000000003"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700000000000003"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700000000000003"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700000000000003"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950000000000003"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&amp;RThe notes to the financial statements are an integral part of this statement.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B1:E73"/>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Knoxville CUSD 202</v>
      </c>
      <c r="C1" s="2588"/>
      <c r="D1" s="2588"/>
      <c r="E1" s="1240"/>
    </row>
    <row r="2" spans="2:5" s="1058" customFormat="1" ht="12.75" customHeight="1" x14ac:dyDescent="0.2">
      <c r="B2" s="2590">
        <f>'Single Audit Cover'!E7</f>
        <v>33048202026</v>
      </c>
      <c r="C2" s="2590"/>
      <c r="D2" s="2590"/>
      <c r="E2" s="1241"/>
    </row>
    <row r="3" spans="2:5" ht="12.75" customHeight="1" x14ac:dyDescent="0.2">
      <c r="B3" s="2611" t="s">
        <v>1741</v>
      </c>
      <c r="C3" s="2611"/>
      <c r="D3" s="2611"/>
      <c r="E3" s="1050"/>
    </row>
    <row r="4" spans="2:5" s="1058" customFormat="1" ht="12.75" customHeight="1" x14ac:dyDescent="0.2">
      <c r="B4" s="2621" t="str">
        <f>'Single Audit Cover'!A4</f>
        <v>Year Ending June 30, 2020</v>
      </c>
      <c r="C4" s="2621"/>
      <c r="D4" s="2621"/>
      <c r="E4" s="1242"/>
    </row>
    <row r="5" spans="2:5" s="1058" customFormat="1" ht="40.3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t="s">
        <v>2117</v>
      </c>
      <c r="C8" s="302" t="s">
        <v>2118</v>
      </c>
      <c r="D8" s="302" t="s">
        <v>2119</v>
      </c>
      <c r="E8" s="302"/>
    </row>
    <row r="9" spans="2:5" ht="13.5" customHeight="1" x14ac:dyDescent="0.2">
      <c r="B9" s="1246"/>
      <c r="C9" s="301"/>
      <c r="D9" s="301" t="s">
        <v>2120</v>
      </c>
      <c r="E9" s="301"/>
    </row>
    <row r="10" spans="2:5" ht="13.5" customHeight="1" x14ac:dyDescent="0.2">
      <c r="B10" s="1245"/>
      <c r="C10" s="301"/>
      <c r="D10" s="301"/>
      <c r="E10" s="301"/>
    </row>
    <row r="11" spans="2:5" ht="13.5" customHeight="1" x14ac:dyDescent="0.2">
      <c r="B11" s="1245" t="s">
        <v>2121</v>
      </c>
      <c r="C11" s="301" t="s">
        <v>2122</v>
      </c>
      <c r="D11" s="302" t="s">
        <v>2119</v>
      </c>
      <c r="E11" s="301"/>
    </row>
    <row r="12" spans="2:5" ht="13.5" customHeight="1" x14ac:dyDescent="0.2">
      <c r="B12" s="1245"/>
      <c r="C12" s="301" t="s">
        <v>2123</v>
      </c>
      <c r="D12" s="301" t="s">
        <v>2120</v>
      </c>
      <c r="E12" s="301"/>
    </row>
    <row r="13" spans="2:5" ht="13.5" customHeight="1" x14ac:dyDescent="0.2">
      <c r="B13" s="1245"/>
      <c r="C13" s="301"/>
      <c r="D13" s="301"/>
      <c r="E13" s="301"/>
    </row>
    <row r="14" spans="2:5" ht="13.5" customHeight="1" x14ac:dyDescent="0.2">
      <c r="B14" s="1245" t="s">
        <v>2124</v>
      </c>
      <c r="C14" s="301" t="s">
        <v>2125</v>
      </c>
      <c r="D14" s="302" t="s">
        <v>2126</v>
      </c>
      <c r="E14" s="301"/>
    </row>
    <row r="15" spans="2:5" ht="13.5" customHeight="1" x14ac:dyDescent="0.2">
      <c r="B15" s="1245"/>
      <c r="C15" s="301"/>
      <c r="D15" s="301" t="s">
        <v>2127</v>
      </c>
      <c r="E15" s="301"/>
    </row>
    <row r="16" spans="2:5" ht="13.5" customHeight="1" x14ac:dyDescent="0.2">
      <c r="B16" s="1245"/>
      <c r="C16" s="301"/>
      <c r="D16" s="301" t="s">
        <v>2128</v>
      </c>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topLeftCell="A19" colorId="8" zoomScale="110" zoomScaleNormal="110" workbookViewId="0">
      <selection activeCell="B59" sqref="B5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114735603</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2.9000000000000001E-2</v>
      </c>
      <c r="E10" s="333" t="s">
        <v>998</v>
      </c>
      <c r="F10" s="332">
        <v>5.0000000000000001E-3</v>
      </c>
      <c r="G10" s="333" t="s">
        <v>998</v>
      </c>
      <c r="H10" s="332">
        <v>2E-3</v>
      </c>
      <c r="I10" s="333" t="s">
        <v>999</v>
      </c>
      <c r="J10" s="1424">
        <f>ROUND(D10+F10+H10,5)</f>
        <v>3.5999999999999997E-2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10515067</v>
      </c>
      <c r="E16" s="1547"/>
      <c r="F16" s="1546">
        <f>SUM('Acct Summary 7-8'!C17,'Acct Summary 7-8'!D17,'Acct Summary 7-8'!F17)</f>
        <v>10729564</v>
      </c>
      <c r="G16" s="1547"/>
      <c r="H16" s="1546">
        <f>SUM(D16-F16)</f>
        <v>-214497</v>
      </c>
      <c r="I16" s="1548"/>
      <c r="J16" s="1546">
        <f>SUM('Acct Summary 7-8'!C81,'Acct Summary 7-8'!D81,'Acct Summary 7-8'!F81,'Acct Summary 7-8'!I81)</f>
        <v>2359912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15833513.214000002</v>
      </c>
      <c r="I31" s="345"/>
      <c r="J31" s="217"/>
      <c r="K31" s="217"/>
      <c r="L31" s="217"/>
      <c r="M31" s="217"/>
    </row>
    <row r="32" spans="1:13" ht="13.35" customHeight="1" x14ac:dyDescent="0.2">
      <c r="B32" s="346" t="s">
        <v>2049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11410000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t="s">
        <v>2049</v>
      </c>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t="s">
        <v>2071</v>
      </c>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A4" sqref="A4:R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Knoxville CUSD 202</v>
      </c>
      <c r="E7" s="368"/>
      <c r="G7" s="247"/>
      <c r="H7" s="364"/>
      <c r="I7" s="364"/>
      <c r="J7" s="364"/>
      <c r="K7" s="364"/>
      <c r="L7" s="307"/>
      <c r="M7" s="307"/>
      <c r="N7" s="307"/>
      <c r="O7" s="307"/>
      <c r="P7" s="307"/>
    </row>
    <row r="8" spans="1:18" ht="12.75" x14ac:dyDescent="0.2">
      <c r="A8" s="307"/>
      <c r="B8" s="307"/>
      <c r="C8" s="366" t="s">
        <v>1115</v>
      </c>
      <c r="D8" s="369">
        <f>COVER!A13</f>
        <v>33048202026</v>
      </c>
      <c r="E8" s="370"/>
      <c r="G8" s="307"/>
      <c r="H8" s="307"/>
      <c r="I8" s="307"/>
      <c r="J8" s="307"/>
      <c r="K8" s="307"/>
      <c r="L8" s="307"/>
      <c r="M8" s="307"/>
      <c r="N8" s="307"/>
      <c r="O8" s="307"/>
      <c r="P8" s="307"/>
    </row>
    <row r="9" spans="1:18" ht="12.75" x14ac:dyDescent="0.2">
      <c r="A9" s="307"/>
      <c r="B9" s="307"/>
      <c r="C9" s="366" t="s">
        <v>708</v>
      </c>
      <c r="D9" s="371" t="str">
        <f>COVER!A15</f>
        <v>KNOX</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2359912</v>
      </c>
      <c r="I12" s="380"/>
      <c r="J12" s="380"/>
      <c r="K12" s="1559">
        <f>TRUNC((H12/H13*100000),5)/100000</f>
        <v>0.22443147529999999</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10515067</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10729564</v>
      </c>
      <c r="I17" s="380"/>
      <c r="J17" s="389"/>
      <c r="K17" s="1559">
        <f>TRUNC((H17/H18*100000),5)/100000</f>
        <v>1.0203990141000001</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10515067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6.0998769000000008</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2555280</v>
      </c>
      <c r="I24" s="394"/>
      <c r="J24" s="394"/>
      <c r="K24" s="1555">
        <f>TRUNC(((H24/H25*100000)/100000),2)</f>
        <v>85.73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29804.344440000001</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3510909.4517999999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11410000</v>
      </c>
      <c r="I32" s="392"/>
      <c r="J32" s="392"/>
      <c r="K32" s="1555">
        <f>TRUNC(100-((((H32/H33*100))*100)/100),2)</f>
        <v>27.93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15833513.214000002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2.9</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colorId="8" zoomScale="110" zoomScaleNormal="110" workbookViewId="0">
      <pane ySplit="2" topLeftCell="A3" activePane="bottomLeft" state="frozen"/>
      <selection pane="bottomLeft" activeCell="N21" sqref="N2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1738126</v>
      </c>
      <c r="D4" s="1573"/>
      <c r="E4" s="1573"/>
      <c r="F4" s="1573"/>
      <c r="G4" s="1573">
        <v>183365</v>
      </c>
      <c r="H4" s="1573"/>
      <c r="I4" s="1573">
        <v>34940</v>
      </c>
      <c r="J4" s="1574">
        <v>262184</v>
      </c>
      <c r="K4" s="1573">
        <v>438280</v>
      </c>
      <c r="L4" s="1573">
        <v>179546</v>
      </c>
      <c r="M4" s="1575"/>
      <c r="N4" s="1576"/>
    </row>
    <row r="5" spans="1:14" x14ac:dyDescent="0.2">
      <c r="A5" s="427" t="s">
        <v>985</v>
      </c>
      <c r="B5" s="429">
        <v>120</v>
      </c>
      <c r="C5" s="1572">
        <v>491419</v>
      </c>
      <c r="D5" s="1573">
        <v>31608</v>
      </c>
      <c r="E5" s="1573">
        <v>12495</v>
      </c>
      <c r="F5" s="1573">
        <v>259187</v>
      </c>
      <c r="G5" s="1573">
        <v>104272</v>
      </c>
      <c r="H5" s="1573"/>
      <c r="I5" s="1573"/>
      <c r="J5" s="1574">
        <v>6746</v>
      </c>
      <c r="K5" s="1577">
        <v>71518</v>
      </c>
      <c r="L5" s="1578">
        <v>22704</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2229545</v>
      </c>
      <c r="D13" s="1587">
        <f t="shared" ref="D13:L13" si="0">SUM(D4:D12)</f>
        <v>31608</v>
      </c>
      <c r="E13" s="1587">
        <f t="shared" si="0"/>
        <v>12495</v>
      </c>
      <c r="F13" s="1587">
        <f t="shared" si="0"/>
        <v>259187</v>
      </c>
      <c r="G13" s="1587">
        <f t="shared" si="0"/>
        <v>287637</v>
      </c>
      <c r="H13" s="1587">
        <f t="shared" si="0"/>
        <v>0</v>
      </c>
      <c r="I13" s="1587">
        <f t="shared" si="0"/>
        <v>34940</v>
      </c>
      <c r="J13" s="1587">
        <f t="shared" si="0"/>
        <v>268930</v>
      </c>
      <c r="K13" s="1587">
        <f t="shared" si="0"/>
        <v>509798</v>
      </c>
      <c r="L13" s="1587">
        <f t="shared" si="0"/>
        <v>202250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186182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46536441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2124064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28605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12495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11397505</v>
      </c>
    </row>
    <row r="23" spans="1:14" ht="13.5" customHeight="1" thickBot="1" x14ac:dyDescent="0.25">
      <c r="A23" s="1426" t="s">
        <v>638</v>
      </c>
      <c r="B23" s="1429"/>
      <c r="C23" s="1575"/>
      <c r="D23" s="1575"/>
      <c r="E23" s="1575"/>
      <c r="F23" s="1575"/>
      <c r="G23" s="1575"/>
      <c r="H23" s="1575"/>
      <c r="I23" s="1575"/>
      <c r="J23" s="1575"/>
      <c r="K23" s="1575"/>
      <c r="L23" s="1575"/>
      <c r="M23" s="1594">
        <f>SUM(M15:M22)</f>
        <v>48875292</v>
      </c>
      <c r="N23" s="1594">
        <f>SUM(N21:N22)</f>
        <v>11410000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v>52454</v>
      </c>
      <c r="E26" s="1574">
        <v>370820</v>
      </c>
      <c r="F26" s="1574">
        <v>142914</v>
      </c>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202250</v>
      </c>
      <c r="M33" s="1575"/>
      <c r="N33" s="1576"/>
    </row>
    <row r="34" spans="1:14" ht="13.5" customHeight="1" thickBot="1" x14ac:dyDescent="0.25">
      <c r="A34" s="1427" t="s">
        <v>649</v>
      </c>
      <c r="B34" s="1428"/>
      <c r="C34" s="1600">
        <f>SUM(C25:C33)</f>
        <v>0</v>
      </c>
      <c r="D34" s="1600">
        <f t="shared" ref="D34:K34" si="1">SUM(D25:D33)</f>
        <v>52454</v>
      </c>
      <c r="E34" s="1600">
        <f t="shared" si="1"/>
        <v>370820</v>
      </c>
      <c r="F34" s="1600">
        <f t="shared" si="1"/>
        <v>142914</v>
      </c>
      <c r="G34" s="1600">
        <f t="shared" si="1"/>
        <v>0</v>
      </c>
      <c r="H34" s="1600">
        <f t="shared" si="1"/>
        <v>0</v>
      </c>
      <c r="I34" s="1600">
        <f t="shared" si="1"/>
        <v>0</v>
      </c>
      <c r="J34" s="1600">
        <f t="shared" si="1"/>
        <v>0</v>
      </c>
      <c r="K34" s="1600">
        <f t="shared" si="1"/>
        <v>0</v>
      </c>
      <c r="L34" s="1601">
        <f>SUM(L33)</f>
        <v>202250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11410000</v>
      </c>
    </row>
    <row r="37" spans="1:14" ht="13.5" thickBot="1" x14ac:dyDescent="0.25">
      <c r="A37" s="1426" t="s">
        <v>648</v>
      </c>
      <c r="B37" s="1429"/>
      <c r="C37" s="1582"/>
      <c r="D37" s="1582"/>
      <c r="E37" s="1582"/>
      <c r="F37" s="1582"/>
      <c r="G37" s="1582"/>
      <c r="H37" s="1582"/>
      <c r="I37" s="1582"/>
      <c r="J37" s="1582"/>
      <c r="K37" s="1582"/>
      <c r="L37" s="1585"/>
      <c r="M37" s="1575"/>
      <c r="N37" s="1594">
        <f>SUM(N36:N36)</f>
        <v>11410000</v>
      </c>
    </row>
    <row r="38" spans="1:14" s="307" customFormat="1" ht="13.5" customHeight="1" thickTop="1" x14ac:dyDescent="0.2">
      <c r="A38" s="438" t="s">
        <v>417</v>
      </c>
      <c r="B38" s="432">
        <v>714</v>
      </c>
      <c r="C38" s="1573"/>
      <c r="D38" s="1573"/>
      <c r="E38" s="1573"/>
      <c r="F38" s="1573"/>
      <c r="G38" s="1573">
        <v>287637</v>
      </c>
      <c r="H38" s="1573"/>
      <c r="I38" s="1573"/>
      <c r="J38" s="1574"/>
      <c r="K38" s="1573"/>
      <c r="L38" s="1586"/>
      <c r="M38" s="1604"/>
      <c r="N38" s="1604"/>
    </row>
    <row r="39" spans="1:14" s="307" customFormat="1" ht="13.5" customHeight="1" x14ac:dyDescent="0.2">
      <c r="A39" s="438" t="s">
        <v>339</v>
      </c>
      <c r="B39" s="432">
        <v>730</v>
      </c>
      <c r="C39" s="1573">
        <v>2229545</v>
      </c>
      <c r="D39" s="1573">
        <v>-20846</v>
      </c>
      <c r="E39" s="1573">
        <v>-358325</v>
      </c>
      <c r="F39" s="1573">
        <v>116273</v>
      </c>
      <c r="G39" s="1573"/>
      <c r="H39" s="1573"/>
      <c r="I39" s="1573">
        <v>34940</v>
      </c>
      <c r="J39" s="1574">
        <v>268930</v>
      </c>
      <c r="K39" s="1573">
        <v>509798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48875292</v>
      </c>
      <c r="N40" s="1604"/>
    </row>
    <row r="41" spans="1:14" ht="13.5" customHeight="1" thickBot="1" x14ac:dyDescent="0.25">
      <c r="A41" s="1426" t="s">
        <v>650</v>
      </c>
      <c r="B41" s="1405"/>
      <c r="C41" s="1594">
        <f>(SUM(C34,C37,C38,C39))</f>
        <v>2229545</v>
      </c>
      <c r="D41" s="1594">
        <f t="shared" ref="D41:L41" si="2">SUM(D34,D37,D38:D39)</f>
        <v>31608</v>
      </c>
      <c r="E41" s="1594">
        <f t="shared" si="2"/>
        <v>12495</v>
      </c>
      <c r="F41" s="1594">
        <f t="shared" si="2"/>
        <v>259187</v>
      </c>
      <c r="G41" s="1594">
        <f t="shared" si="2"/>
        <v>287637</v>
      </c>
      <c r="H41" s="1594">
        <f t="shared" si="2"/>
        <v>0</v>
      </c>
      <c r="I41" s="1594">
        <f t="shared" si="2"/>
        <v>34940</v>
      </c>
      <c r="J41" s="1594">
        <f t="shared" si="2"/>
        <v>268930</v>
      </c>
      <c r="K41" s="1594">
        <f t="shared" si="2"/>
        <v>509798</v>
      </c>
      <c r="L41" s="1594">
        <f t="shared" si="2"/>
        <v>202250</v>
      </c>
      <c r="M41" s="1594">
        <f>SUM(M40)</f>
        <v>48875292</v>
      </c>
      <c r="N41" s="1594">
        <f>SUM(N37)</f>
        <v>11410000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colorId="8" zoomScale="110" zoomScaleNormal="110" zoomScaleSheetLayoutView="100" workbookViewId="0">
      <pane ySplit="2" topLeftCell="A3" activePane="bottomLeft" state="frozen"/>
      <selection pane="bottomLeft" activeCell="C7" sqref="C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700000000000003"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95" customHeight="1" x14ac:dyDescent="0.2">
      <c r="A4" s="1537" t="s">
        <v>1482</v>
      </c>
      <c r="B4" s="1538">
        <v>1000</v>
      </c>
      <c r="C4" s="1606">
        <f>'Revenues 9-14'!C109</f>
        <v>3918410</v>
      </c>
      <c r="D4" s="1606">
        <f>'Revenues 9-14'!D109</f>
        <v>593803</v>
      </c>
      <c r="E4" s="1606">
        <f>'Revenues 9-14'!E109</f>
        <v>1073534</v>
      </c>
      <c r="F4" s="1606">
        <f>'Revenues 9-14'!F109</f>
        <v>268862</v>
      </c>
      <c r="G4" s="1606">
        <f>'Revenues 9-14'!G109</f>
        <v>278716</v>
      </c>
      <c r="H4" s="1606">
        <f>'Revenues 9-14'!H109</f>
        <v>0</v>
      </c>
      <c r="I4" s="1606">
        <f>'Revenues 9-14'!I109</f>
        <v>59355</v>
      </c>
      <c r="J4" s="1606">
        <f>'Revenues 9-14'!J109</f>
        <v>240702</v>
      </c>
      <c r="K4" s="1606">
        <f>'Revenues 9-14'!K109</f>
        <v>60356</v>
      </c>
      <c r="L4" s="325"/>
    </row>
    <row r="5" spans="1:13" ht="15.9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95" customHeight="1" x14ac:dyDescent="0.2">
      <c r="A6" s="1314" t="s">
        <v>1484</v>
      </c>
      <c r="B6" s="1316">
        <v>3000</v>
      </c>
      <c r="C6" s="1607">
        <f>'Revenues 9-14'!C170</f>
        <v>4479260</v>
      </c>
      <c r="D6" s="1607">
        <f>'Revenues 9-14'!D170</f>
        <v>0</v>
      </c>
      <c r="E6" s="1607">
        <f>'Revenues 9-14'!E170</f>
        <v>0</v>
      </c>
      <c r="F6" s="1607">
        <f>'Revenues 9-14'!F170</f>
        <v>401456</v>
      </c>
      <c r="G6" s="1607">
        <f>'Revenues 9-14'!G170</f>
        <v>0</v>
      </c>
      <c r="H6" s="1607">
        <f>'Revenues 9-14'!H170</f>
        <v>0</v>
      </c>
      <c r="I6" s="1607">
        <f>'Revenues 9-14'!I170</f>
        <v>0</v>
      </c>
      <c r="J6" s="1607">
        <f>'Revenues 9-14'!J170</f>
        <v>0</v>
      </c>
      <c r="K6" s="1607">
        <f>'Revenues 9-14'!K170</f>
        <v>0</v>
      </c>
      <c r="L6" s="325"/>
      <c r="M6" s="448"/>
    </row>
    <row r="7" spans="1:13" ht="15.95" customHeight="1" x14ac:dyDescent="0.2">
      <c r="A7" s="1314" t="s">
        <v>1485</v>
      </c>
      <c r="B7" s="1316">
        <v>4000</v>
      </c>
      <c r="C7" s="1607">
        <f>'Revenues 9-14'!C267</f>
        <v>793921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9191591</v>
      </c>
      <c r="D8" s="1594">
        <f t="shared" ref="D8:K8" si="0">SUM(D4:D7)</f>
        <v>593803</v>
      </c>
      <c r="E8" s="1594">
        <f t="shared" si="0"/>
        <v>1073534</v>
      </c>
      <c r="F8" s="1594">
        <f t="shared" si="0"/>
        <v>670318</v>
      </c>
      <c r="G8" s="1594">
        <f t="shared" si="0"/>
        <v>278716</v>
      </c>
      <c r="H8" s="1594">
        <f t="shared" si="0"/>
        <v>0</v>
      </c>
      <c r="I8" s="1594">
        <f t="shared" si="0"/>
        <v>59355</v>
      </c>
      <c r="J8" s="1594">
        <f t="shared" si="0"/>
        <v>240702</v>
      </c>
      <c r="K8" s="1594">
        <f t="shared" si="0"/>
        <v>60356</v>
      </c>
      <c r="L8" s="325"/>
    </row>
    <row r="9" spans="1:13" ht="15.75" thickTop="1" x14ac:dyDescent="0.2">
      <c r="A9" s="449" t="s">
        <v>1634</v>
      </c>
      <c r="B9" s="450">
        <v>3998</v>
      </c>
      <c r="C9" s="1586">
        <v>3507485</v>
      </c>
      <c r="D9" s="1613"/>
      <c r="E9" s="1586"/>
      <c r="F9" s="1586"/>
      <c r="G9" s="1614"/>
      <c r="H9" s="1586"/>
      <c r="I9" s="1609" t="s">
        <v>1159</v>
      </c>
      <c r="J9" s="1583"/>
      <c r="K9" s="1586"/>
      <c r="L9" s="325"/>
    </row>
    <row r="10" spans="1:13" s="452" customFormat="1" ht="13.5" thickBot="1" x14ac:dyDescent="0.25">
      <c r="A10" s="1426" t="s">
        <v>1163</v>
      </c>
      <c r="B10" s="1407"/>
      <c r="C10" s="1594">
        <f>SUM(C8:C9)</f>
        <v>12699076</v>
      </c>
      <c r="D10" s="1594">
        <f t="shared" ref="D10:K10" si="1">SUM(D8:D9)</f>
        <v>593803</v>
      </c>
      <c r="E10" s="1594">
        <f t="shared" si="1"/>
        <v>1073534</v>
      </c>
      <c r="F10" s="1594">
        <f t="shared" si="1"/>
        <v>670318</v>
      </c>
      <c r="G10" s="1594">
        <f t="shared" si="1"/>
        <v>278716</v>
      </c>
      <c r="H10" s="1594">
        <f t="shared" si="1"/>
        <v>0</v>
      </c>
      <c r="I10" s="1594">
        <f t="shared" si="1"/>
        <v>59355</v>
      </c>
      <c r="J10" s="1594">
        <f t="shared" si="1"/>
        <v>240702</v>
      </c>
      <c r="K10" s="1594">
        <f t="shared" si="1"/>
        <v>60356</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95" customHeight="1" x14ac:dyDescent="0.2">
      <c r="A12" s="1314" t="s">
        <v>453</v>
      </c>
      <c r="B12" s="1316">
        <v>1000</v>
      </c>
      <c r="C12" s="1606">
        <f>'Expenditures 15-22'!K33</f>
        <v>5224757</v>
      </c>
      <c r="D12" s="1616" t="s">
        <v>1159</v>
      </c>
      <c r="E12" s="1575" t="s">
        <v>1159</v>
      </c>
      <c r="F12" s="1575" t="s">
        <v>1159</v>
      </c>
      <c r="G12" s="1606">
        <f>'Expenditures 15-22'!K229</f>
        <v>221348</v>
      </c>
      <c r="H12" s="1617"/>
      <c r="I12" s="1575" t="s">
        <v>1159</v>
      </c>
      <c r="J12" s="1575" t="s">
        <v>1159</v>
      </c>
      <c r="K12" s="1617" t="s">
        <v>1159</v>
      </c>
      <c r="L12" s="325"/>
    </row>
    <row r="13" spans="1:13" ht="15.95" customHeight="1" x14ac:dyDescent="0.2">
      <c r="A13" s="1314" t="s">
        <v>454</v>
      </c>
      <c r="B13" s="1316">
        <v>2000</v>
      </c>
      <c r="C13" s="1607">
        <f>'Expenditures 15-22'!K74</f>
        <v>2858616</v>
      </c>
      <c r="D13" s="1607">
        <f>'Expenditures 15-22'!K129</f>
        <v>736445</v>
      </c>
      <c r="E13" s="1576" t="s">
        <v>1159</v>
      </c>
      <c r="F13" s="1607">
        <f>'Expenditures 15-22'!K184</f>
        <v>735617</v>
      </c>
      <c r="G13" s="1607">
        <f>'Expenditures 15-22'!K279</f>
        <v>78618</v>
      </c>
      <c r="H13" s="1607">
        <f>'Expenditures 15-22'!K303</f>
        <v>0</v>
      </c>
      <c r="I13" s="1575" t="s">
        <v>1159</v>
      </c>
      <c r="J13" s="1607">
        <f>'Expenditures 15-22'!K330</f>
        <v>176322</v>
      </c>
      <c r="K13" s="1618">
        <f>'Expenditures 15-22'!K352</f>
        <v>0</v>
      </c>
      <c r="L13" s="325"/>
    </row>
    <row r="14" spans="1:13" ht="15.9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95" customHeight="1" x14ac:dyDescent="0.2">
      <c r="A15" s="1314" t="s">
        <v>107</v>
      </c>
      <c r="B15" s="1316">
        <v>4000</v>
      </c>
      <c r="C15" s="1607">
        <f>'Expenditures 15-22'!K102</f>
        <v>1154983</v>
      </c>
      <c r="D15" s="1607">
        <f>'Expenditures 15-22'!K139</f>
        <v>0</v>
      </c>
      <c r="E15" s="1607">
        <f>'Expenditures 15-22'!K160</f>
        <v>0</v>
      </c>
      <c r="F15" s="1607">
        <f>'Expenditures 15-22'!K196</f>
        <v>19146</v>
      </c>
      <c r="G15" s="1607">
        <f>'Expenditures 15-22'!K285</f>
        <v>0</v>
      </c>
      <c r="H15" s="1607">
        <f>'Expenditures 15-22'!K310</f>
        <v>0</v>
      </c>
      <c r="I15" s="1575" t="s">
        <v>1159</v>
      </c>
      <c r="J15" s="1619">
        <f>'Expenditures 15-22'!K334</f>
        <v>0</v>
      </c>
      <c r="K15" s="1607">
        <f>'Expenditures 15-22'!K357</f>
        <v>0</v>
      </c>
      <c r="L15" s="325"/>
    </row>
    <row r="16" spans="1:13" ht="15.95" customHeight="1" x14ac:dyDescent="0.2">
      <c r="A16" s="1314" t="s">
        <v>447</v>
      </c>
      <c r="B16" s="1316">
        <v>5000</v>
      </c>
      <c r="C16" s="1607">
        <f>'Expenditures 15-22'!K112</f>
        <v>0</v>
      </c>
      <c r="D16" s="1607">
        <f>'Expenditures 15-22'!K149</f>
        <v>0</v>
      </c>
      <c r="E16" s="1607">
        <f>'Expenditures 15-22'!K172</f>
        <v>1073851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9238356</v>
      </c>
      <c r="D17" s="1594">
        <f t="shared" si="2"/>
        <v>736445</v>
      </c>
      <c r="E17" s="1594">
        <f t="shared" si="2"/>
        <v>1073851</v>
      </c>
      <c r="F17" s="1594">
        <f t="shared" si="2"/>
        <v>754763</v>
      </c>
      <c r="G17" s="1594">
        <f t="shared" si="2"/>
        <v>299966</v>
      </c>
      <c r="H17" s="1594">
        <f t="shared" si="2"/>
        <v>0</v>
      </c>
      <c r="I17" s="1575"/>
      <c r="J17" s="1594">
        <f>SUM(J12:J16)</f>
        <v>176322</v>
      </c>
      <c r="K17" s="1594">
        <f>SUM(K12:K16)</f>
        <v>0</v>
      </c>
      <c r="L17" s="325"/>
    </row>
    <row r="18" spans="1:12" ht="15" customHeight="1" thickTop="1" x14ac:dyDescent="0.2">
      <c r="A18" s="1430" t="s">
        <v>1635</v>
      </c>
      <c r="B18" s="1431">
        <v>4180</v>
      </c>
      <c r="C18" s="1606">
        <f t="shared" ref="C18:H18" si="3">C9</f>
        <v>3507485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12745841</v>
      </c>
      <c r="D19" s="1594">
        <f t="shared" si="4"/>
        <v>736445</v>
      </c>
      <c r="E19" s="1594">
        <f t="shared" si="4"/>
        <v>1073851</v>
      </c>
      <c r="F19" s="1594">
        <f t="shared" si="4"/>
        <v>754763</v>
      </c>
      <c r="G19" s="1594">
        <f t="shared" si="4"/>
        <v>299966</v>
      </c>
      <c r="H19" s="1594">
        <f t="shared" si="4"/>
        <v>0</v>
      </c>
      <c r="I19" s="1575"/>
      <c r="J19" s="1594">
        <f>SUM(J17:J18)</f>
        <v>176322</v>
      </c>
      <c r="K19" s="1594">
        <f>SUM(K17:K18)</f>
        <v>0</v>
      </c>
      <c r="L19" s="325"/>
    </row>
    <row r="20" spans="1:12" ht="16.5" thickTop="1" thickBot="1" x14ac:dyDescent="0.25">
      <c r="A20" s="2233" t="s">
        <v>1636</v>
      </c>
      <c r="B20" s="2234"/>
      <c r="C20" s="1622">
        <f>C8-C17</f>
        <v>-46765</v>
      </c>
      <c r="D20" s="1622">
        <f t="shared" ref="D20:K20" si="5">D8-D17</f>
        <v>-142642</v>
      </c>
      <c r="E20" s="1622">
        <f t="shared" si="5"/>
        <v>-317</v>
      </c>
      <c r="F20" s="1622">
        <f t="shared" si="5"/>
        <v>-84445</v>
      </c>
      <c r="G20" s="1622">
        <f t="shared" si="5"/>
        <v>-21250</v>
      </c>
      <c r="H20" s="1622">
        <f t="shared" si="5"/>
        <v>0</v>
      </c>
      <c r="I20" s="1622">
        <f t="shared" si="5"/>
        <v>59355</v>
      </c>
      <c r="J20" s="1622">
        <f t="shared" si="5"/>
        <v>64380</v>
      </c>
      <c r="K20" s="1622">
        <f t="shared" si="5"/>
        <v>60356</v>
      </c>
      <c r="L20" s="325"/>
    </row>
    <row r="21" spans="1:12" ht="16.7" customHeight="1" thickTop="1" x14ac:dyDescent="0.2">
      <c r="A21" s="2245" t="s">
        <v>591</v>
      </c>
      <c r="B21" s="2246"/>
      <c r="C21" s="1602"/>
      <c r="D21" s="1603"/>
      <c r="E21" s="1603"/>
      <c r="F21" s="1603"/>
      <c r="G21" s="1603"/>
      <c r="H21" s="1603"/>
      <c r="I21" s="1603"/>
      <c r="J21" s="1603"/>
      <c r="K21" s="1615"/>
      <c r="L21" s="453"/>
    </row>
    <row r="22" spans="1:12" ht="15.95" customHeight="1" collapsed="1" x14ac:dyDescent="0.2">
      <c r="A22" s="2241" t="s">
        <v>592</v>
      </c>
      <c r="B22" s="2242"/>
      <c r="C22" s="1582"/>
      <c r="D22" s="1582"/>
      <c r="E22" s="1582"/>
      <c r="F22" s="1582"/>
      <c r="G22" s="1582"/>
      <c r="H22" s="1582"/>
      <c r="I22" s="1582"/>
      <c r="J22" s="1582"/>
      <c r="K22" s="1582"/>
      <c r="L22" s="325"/>
    </row>
    <row r="23" spans="1:12" s="433" customFormat="1" ht="15.9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166065</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9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166065</v>
      </c>
      <c r="E44" s="1624">
        <f t="shared" si="6"/>
        <v>0</v>
      </c>
      <c r="F44" s="1624">
        <f t="shared" si="6"/>
        <v>0</v>
      </c>
      <c r="G44" s="1624">
        <f t="shared" si="6"/>
        <v>0</v>
      </c>
      <c r="H44" s="1624">
        <f t="shared" si="6"/>
        <v>0</v>
      </c>
      <c r="I44" s="1624">
        <f t="shared" si="6"/>
        <v>0</v>
      </c>
      <c r="J44" s="1624">
        <f t="shared" si="6"/>
        <v>0</v>
      </c>
      <c r="K44" s="1624">
        <f t="shared" si="6"/>
        <v>0</v>
      </c>
      <c r="L44" s="453"/>
    </row>
    <row r="45" spans="1:12" ht="15.95" customHeight="1" thickTop="1" x14ac:dyDescent="0.2">
      <c r="A45" s="2241" t="s">
        <v>108</v>
      </c>
      <c r="B45" s="2242"/>
      <c r="C45" s="1625"/>
      <c r="D45" s="1625"/>
      <c r="E45" s="1625"/>
      <c r="F45" s="1625"/>
      <c r="G45" s="1625"/>
      <c r="H45" s="1625"/>
      <c r="I45" s="1625"/>
      <c r="J45" s="1625"/>
      <c r="K45" s="1625"/>
      <c r="L45" s="325"/>
    </row>
    <row r="46" spans="1:12" s="433" customFormat="1" ht="15.9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166065</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166065</v>
      </c>
      <c r="J76" s="1624">
        <f t="shared" si="7"/>
        <v>0</v>
      </c>
      <c r="K76" s="1624">
        <f t="shared" si="7"/>
        <v>0</v>
      </c>
      <c r="L76" s="453"/>
    </row>
    <row r="77" spans="1:12" ht="14.25" thickTop="1" thickBot="1" x14ac:dyDescent="0.25">
      <c r="A77" s="2225" t="s">
        <v>1167</v>
      </c>
      <c r="B77" s="2226"/>
      <c r="C77" s="1624">
        <f t="shared" ref="C77:K77" si="8">C44-C76</f>
        <v>0</v>
      </c>
      <c r="D77" s="1624">
        <f t="shared" si="8"/>
        <v>166065</v>
      </c>
      <c r="E77" s="1624">
        <f t="shared" si="8"/>
        <v>0</v>
      </c>
      <c r="F77" s="1624">
        <f t="shared" si="8"/>
        <v>0</v>
      </c>
      <c r="G77" s="1624">
        <f t="shared" si="8"/>
        <v>0</v>
      </c>
      <c r="H77" s="1624">
        <f t="shared" si="8"/>
        <v>0</v>
      </c>
      <c r="I77" s="1624">
        <f t="shared" si="8"/>
        <v>-166065</v>
      </c>
      <c r="J77" s="1624">
        <f t="shared" si="8"/>
        <v>0</v>
      </c>
      <c r="K77" s="1624">
        <f t="shared" si="8"/>
        <v>0</v>
      </c>
      <c r="L77" s="325"/>
    </row>
    <row r="78" spans="1:12" ht="21.75" customHeight="1" thickTop="1" thickBot="1" x14ac:dyDescent="0.25">
      <c r="A78" s="2229" t="s">
        <v>593</v>
      </c>
      <c r="B78" s="2230"/>
      <c r="C78" s="1629">
        <f t="shared" ref="C78:K78" si="9">C20+C77</f>
        <v>-46765</v>
      </c>
      <c r="D78" s="1629">
        <f t="shared" si="9"/>
        <v>23423</v>
      </c>
      <c r="E78" s="1629">
        <f t="shared" si="9"/>
        <v>-317</v>
      </c>
      <c r="F78" s="1629">
        <f t="shared" si="9"/>
        <v>-84445</v>
      </c>
      <c r="G78" s="1629">
        <f t="shared" si="9"/>
        <v>-21250</v>
      </c>
      <c r="H78" s="1629">
        <f t="shared" si="9"/>
        <v>0</v>
      </c>
      <c r="I78" s="1629">
        <f t="shared" si="9"/>
        <v>-106710</v>
      </c>
      <c r="J78" s="1629">
        <f t="shared" si="9"/>
        <v>64380</v>
      </c>
      <c r="K78" s="1629">
        <f t="shared" si="9"/>
        <v>60356</v>
      </c>
      <c r="L78" s="457"/>
    </row>
    <row r="79" spans="1:12" ht="13.5" thickTop="1" x14ac:dyDescent="0.2">
      <c r="A79" s="1844" t="str">
        <f>"Fund Balances - July 1, "&amp;'AFR20'!E2-1</f>
        <v>Fund Balances - July 1, 2019</v>
      </c>
      <c r="B79" s="458"/>
      <c r="C79" s="1583">
        <v>2276310</v>
      </c>
      <c r="D79" s="1630">
        <v>-44269</v>
      </c>
      <c r="E79" s="1630">
        <v>-358008</v>
      </c>
      <c r="F79" s="1630">
        <v>200718</v>
      </c>
      <c r="G79" s="1630">
        <v>308887</v>
      </c>
      <c r="H79" s="1630">
        <v>0</v>
      </c>
      <c r="I79" s="1630">
        <v>141650</v>
      </c>
      <c r="J79" s="1630">
        <v>204550</v>
      </c>
      <c r="K79" s="1630">
        <v>449442</v>
      </c>
      <c r="L79" s="325"/>
    </row>
    <row r="80" spans="1:12" x14ac:dyDescent="0.2">
      <c r="A80" s="2235" t="s">
        <v>1770</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2229545</v>
      </c>
      <c r="D81" s="1594">
        <f>SUM(D78:D80)</f>
        <v>-20846</v>
      </c>
      <c r="E81" s="1594">
        <f t="shared" ref="E81:K81" si="10">SUM(E78:E80)</f>
        <v>-358325</v>
      </c>
      <c r="F81" s="1594">
        <f t="shared" si="10"/>
        <v>116273</v>
      </c>
      <c r="G81" s="1594">
        <f t="shared" si="10"/>
        <v>287637</v>
      </c>
      <c r="H81" s="1594">
        <f t="shared" si="10"/>
        <v>0</v>
      </c>
      <c r="I81" s="1594">
        <f t="shared" si="10"/>
        <v>34940</v>
      </c>
      <c r="J81" s="1594">
        <f t="shared" si="10"/>
        <v>268930</v>
      </c>
      <c r="K81" s="1594">
        <f t="shared" si="10"/>
        <v>509798</v>
      </c>
      <c r="L81" s="325"/>
    </row>
    <row r="82" spans="1:12" ht="0.75" customHeight="1" thickTop="1" thickBot="1" x14ac:dyDescent="0.25">
      <c r="A82" s="459" t="s">
        <v>340</v>
      </c>
      <c r="B82" s="460"/>
      <c r="C82" s="461">
        <f>(C81-C79)</f>
        <v>-46765</v>
      </c>
      <c r="D82" s="461">
        <f t="shared" ref="D82:K82" si="11">(D81-D79)</f>
        <v>23423</v>
      </c>
      <c r="E82" s="461">
        <f t="shared" si="11"/>
        <v>-317</v>
      </c>
      <c r="F82" s="461">
        <f t="shared" si="11"/>
        <v>-84445</v>
      </c>
      <c r="G82" s="461">
        <f t="shared" si="11"/>
        <v>-21250</v>
      </c>
      <c r="H82" s="461">
        <f t="shared" si="11"/>
        <v>0</v>
      </c>
      <c r="I82" s="461">
        <f t="shared" si="11"/>
        <v>-106710</v>
      </c>
      <c r="J82" s="461">
        <f t="shared" si="11"/>
        <v>64380</v>
      </c>
      <c r="K82" s="461">
        <f t="shared" si="11"/>
        <v>60356</v>
      </c>
    </row>
    <row r="83" spans="1:12" ht="14.25" hidden="1" thickTop="1" thickBot="1" x14ac:dyDescent="0.25">
      <c r="A83" s="462" t="s">
        <v>341</v>
      </c>
      <c r="B83" s="428"/>
      <c r="C83" s="463">
        <f>C82/C81</f>
        <v>-2.0975131697274555E-2</v>
      </c>
      <c r="D83" s="463">
        <f t="shared" ref="D83:K83" si="12">D82/D81</f>
        <v>-1.1236208385301736</v>
      </c>
      <c r="E83" s="463">
        <f t="shared" si="12"/>
        <v>8.8467173655201281E-4</v>
      </c>
      <c r="F83" s="463">
        <f t="shared" si="12"/>
        <v>-0.72626491102835566</v>
      </c>
      <c r="G83" s="463">
        <f t="shared" si="12"/>
        <v>-7.3877839081898364E-2</v>
      </c>
      <c r="H83" s="463" t="e">
        <f t="shared" si="12"/>
        <v>#DIV/0!</v>
      </c>
      <c r="I83" s="463">
        <f t="shared" si="12"/>
        <v>-3.054092730394963</v>
      </c>
      <c r="J83" s="463">
        <f t="shared" si="12"/>
        <v>0.23939315063399397</v>
      </c>
      <c r="K83" s="463">
        <f t="shared" si="12"/>
        <v>0.11839199055312104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235"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1777</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95" customHeight="1" x14ac:dyDescent="0.2">
      <c r="A4" s="1328" t="s">
        <v>376</v>
      </c>
      <c r="B4" s="1329">
        <v>1100</v>
      </c>
      <c r="C4" s="466"/>
      <c r="D4" s="466"/>
      <c r="E4" s="466"/>
      <c r="F4" s="467"/>
      <c r="G4" s="468"/>
      <c r="H4" s="469"/>
      <c r="I4" s="469"/>
      <c r="J4" s="469"/>
      <c r="K4" s="469"/>
    </row>
    <row r="5" spans="1:12" ht="15" x14ac:dyDescent="0.2">
      <c r="A5" s="436" t="s">
        <v>1642</v>
      </c>
      <c r="B5" s="470"/>
      <c r="C5" s="1586">
        <v>3438267</v>
      </c>
      <c r="D5" s="1586">
        <v>592803</v>
      </c>
      <c r="E5" s="1573">
        <f>62583+363312</f>
        <v>425895</v>
      </c>
      <c r="F5" s="1631">
        <v>237124</v>
      </c>
      <c r="G5" s="1573">
        <f>3924+22807</f>
        <v>26731</v>
      </c>
      <c r="H5" s="1573"/>
      <c r="I5" s="1573">
        <f>9004+50278</f>
        <v>59282</v>
      </c>
      <c r="J5" s="1574">
        <v>240543</v>
      </c>
      <c r="K5" s="1573">
        <f>9004+50278</f>
        <v>59282</v>
      </c>
    </row>
    <row r="6" spans="1:12" ht="15" x14ac:dyDescent="0.2">
      <c r="A6" s="427" t="s">
        <v>1643</v>
      </c>
      <c r="B6" s="429">
        <v>1130</v>
      </c>
      <c r="C6" s="1573">
        <v>59282</v>
      </c>
      <c r="D6" s="1573"/>
      <c r="E6" s="1580"/>
      <c r="F6" s="1580"/>
      <c r="G6" s="1575"/>
      <c r="H6" s="1575"/>
      <c r="I6" s="1575"/>
      <c r="J6" s="1575"/>
      <c r="K6" s="1575"/>
    </row>
    <row r="7" spans="1:12" x14ac:dyDescent="0.2">
      <c r="A7" s="427" t="s">
        <v>110</v>
      </c>
      <c r="B7" s="471">
        <v>1140</v>
      </c>
      <c r="C7" s="1573">
        <v>47423</v>
      </c>
      <c r="D7" s="1573"/>
      <c r="E7" s="1575"/>
      <c r="F7" s="1574"/>
      <c r="G7" s="1574"/>
      <c r="H7" s="1574"/>
      <c r="I7" s="1575"/>
      <c r="J7" s="1575"/>
      <c r="K7" s="1575"/>
    </row>
    <row r="8" spans="1:12" x14ac:dyDescent="0.2">
      <c r="A8" s="427" t="s">
        <v>410</v>
      </c>
      <c r="B8" s="429">
        <v>1150</v>
      </c>
      <c r="C8" s="1580"/>
      <c r="D8" s="1580"/>
      <c r="E8" s="1582"/>
      <c r="F8" s="1582"/>
      <c r="G8" s="1586">
        <f>22807+3924</f>
        <v>26731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3544972</v>
      </c>
      <c r="D12" s="1633">
        <f t="shared" si="0"/>
        <v>592803</v>
      </c>
      <c r="E12" s="1633">
        <f t="shared" si="0"/>
        <v>425895</v>
      </c>
      <c r="F12" s="1633">
        <f t="shared" si="0"/>
        <v>237124</v>
      </c>
      <c r="G12" s="1633">
        <f t="shared" si="0"/>
        <v>53462</v>
      </c>
      <c r="H12" s="1633">
        <f t="shared" si="0"/>
        <v>0</v>
      </c>
      <c r="I12" s="1633">
        <f t="shared" si="0"/>
        <v>59282</v>
      </c>
      <c r="J12" s="1633">
        <f t="shared" si="0"/>
        <v>240543</v>
      </c>
      <c r="K12" s="1594">
        <f t="shared" si="0"/>
        <v>59282</v>
      </c>
    </row>
    <row r="13" spans="1:12" ht="15.9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v>223864</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223864</v>
      </c>
      <c r="H18" s="1635">
        <f t="shared" si="1"/>
        <v>0</v>
      </c>
      <c r="I18" s="1635">
        <f t="shared" si="1"/>
        <v>0</v>
      </c>
      <c r="J18" s="1635">
        <f t="shared" si="1"/>
        <v>0</v>
      </c>
      <c r="K18" s="1636">
        <f t="shared" si="1"/>
        <v>0</v>
      </c>
    </row>
    <row r="19" spans="1:11" ht="15.9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19917</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19917</v>
      </c>
      <c r="D40" s="1575"/>
      <c r="E40" s="1575"/>
      <c r="F40" s="1575"/>
      <c r="G40" s="1575"/>
      <c r="H40" s="1575"/>
      <c r="I40" s="1575"/>
      <c r="J40" s="1575"/>
      <c r="K40" s="1575"/>
    </row>
    <row r="41" spans="1:11" ht="15.9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9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7654</v>
      </c>
      <c r="D65" s="1573">
        <v>440</v>
      </c>
      <c r="E65" s="1573">
        <v>135</v>
      </c>
      <c r="F65" s="1574">
        <v>3361</v>
      </c>
      <c r="G65" s="1573">
        <v>1390</v>
      </c>
      <c r="H65" s="1573"/>
      <c r="I65" s="1573">
        <v>73</v>
      </c>
      <c r="J65" s="1574">
        <v>159</v>
      </c>
      <c r="K65" s="1573">
        <v>1074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7654</v>
      </c>
      <c r="D67" s="1594">
        <f t="shared" ref="D67:K67" si="2">SUM(D65:D66)</f>
        <v>440</v>
      </c>
      <c r="E67" s="1594">
        <f t="shared" si="2"/>
        <v>135</v>
      </c>
      <c r="F67" s="1594">
        <f t="shared" si="2"/>
        <v>3361</v>
      </c>
      <c r="G67" s="1594">
        <f t="shared" si="2"/>
        <v>1390</v>
      </c>
      <c r="H67" s="1594">
        <f t="shared" si="2"/>
        <v>0</v>
      </c>
      <c r="I67" s="1594">
        <f t="shared" si="2"/>
        <v>73</v>
      </c>
      <c r="J67" s="1594">
        <f t="shared" si="2"/>
        <v>159</v>
      </c>
      <c r="K67" s="1594">
        <f t="shared" si="2"/>
        <v>1074</v>
      </c>
    </row>
    <row r="68" spans="1:11" ht="15.9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197405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197405</v>
      </c>
      <c r="D75" s="1575"/>
      <c r="E75" s="1575"/>
      <c r="F75" s="1575"/>
      <c r="G75" s="1575"/>
      <c r="H75" s="1575"/>
      <c r="I75" s="1575"/>
      <c r="J75" s="1575"/>
      <c r="K75" s="1575"/>
    </row>
    <row r="76" spans="1:11" ht="15.9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29666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11253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40919</v>
      </c>
      <c r="D82" s="1594">
        <f>SUM(D77:D81)</f>
        <v>0</v>
      </c>
      <c r="E82" s="1575"/>
      <c r="F82" s="1575"/>
      <c r="G82" s="1575"/>
      <c r="H82" s="1575"/>
      <c r="I82" s="1575"/>
      <c r="J82" s="1575"/>
      <c r="K82" s="1575"/>
    </row>
    <row r="83" spans="1:11" ht="15.9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70499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3000</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73499</v>
      </c>
      <c r="D93" s="1575"/>
      <c r="E93" s="1575"/>
      <c r="F93" s="1575"/>
      <c r="G93" s="1575"/>
      <c r="H93" s="1575"/>
      <c r="I93" s="1575"/>
      <c r="J93" s="1575"/>
      <c r="K93" s="1575"/>
    </row>
    <row r="94" spans="1:11" ht="15.9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560</v>
      </c>
      <c r="E95" s="1617"/>
      <c r="F95" s="1617"/>
      <c r="G95" s="1617"/>
      <c r="H95" s="1617"/>
      <c r="I95" s="1617"/>
      <c r="J95" s="1617"/>
      <c r="K95" s="1617"/>
    </row>
    <row r="96" spans="1:11" ht="12.75" customHeight="1" x14ac:dyDescent="0.2">
      <c r="A96" s="427" t="s">
        <v>388</v>
      </c>
      <c r="B96" s="429">
        <v>1920</v>
      </c>
      <c r="C96" s="1632">
        <v>25162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4530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647504</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1180</v>
      </c>
      <c r="D106" s="1598"/>
      <c r="E106" s="1574"/>
      <c r="F106" s="1574"/>
      <c r="G106" s="1574"/>
      <c r="H106" s="1574"/>
      <c r="I106" s="1617"/>
      <c r="J106" s="1574"/>
      <c r="K106" s="1574"/>
    </row>
    <row r="107" spans="1:12" ht="12.75" customHeight="1" x14ac:dyDescent="0.2">
      <c r="A107" s="427" t="s">
        <v>78</v>
      </c>
      <c r="B107" s="429">
        <v>1999</v>
      </c>
      <c r="C107" s="1632">
        <v>3172</v>
      </c>
      <c r="D107" s="1573"/>
      <c r="E107" s="1573"/>
      <c r="F107" s="1573">
        <v>28377</v>
      </c>
      <c r="G107" s="1573"/>
      <c r="H107" s="1573"/>
      <c r="I107" s="1573"/>
      <c r="J107" s="1574"/>
      <c r="K107" s="1573"/>
    </row>
    <row r="108" spans="1:12" ht="12.75" customHeight="1" thickBot="1" x14ac:dyDescent="0.25">
      <c r="A108" s="1406" t="s">
        <v>484</v>
      </c>
      <c r="B108" s="1408"/>
      <c r="C108" s="1633">
        <f>SUM(C95:C107)</f>
        <v>34044</v>
      </c>
      <c r="D108" s="1633">
        <f t="shared" ref="D108:K108" si="3">SUM(D95:D107)</f>
        <v>560</v>
      </c>
      <c r="E108" s="1633">
        <f t="shared" si="3"/>
        <v>647504</v>
      </c>
      <c r="F108" s="1633">
        <f t="shared" si="3"/>
        <v>28377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3918410</v>
      </c>
      <c r="D109" s="1641">
        <f t="shared" si="4"/>
        <v>593803</v>
      </c>
      <c r="E109" s="1641">
        <f t="shared" si="4"/>
        <v>1073534</v>
      </c>
      <c r="F109" s="1641">
        <f t="shared" si="4"/>
        <v>268862</v>
      </c>
      <c r="G109" s="1641">
        <f t="shared" si="4"/>
        <v>278716</v>
      </c>
      <c r="H109" s="1641">
        <f t="shared" si="4"/>
        <v>0</v>
      </c>
      <c r="I109" s="1641">
        <f t="shared" si="4"/>
        <v>59355</v>
      </c>
      <c r="J109" s="1641">
        <f t="shared" si="4"/>
        <v>240702</v>
      </c>
      <c r="K109" s="1629">
        <f t="shared" si="4"/>
        <v>60356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4226770</v>
      </c>
      <c r="D117" s="1586"/>
      <c r="E117" s="1573"/>
      <c r="F117" s="1586">
        <v>100000</v>
      </c>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75" customHeight="1" thickBot="1" x14ac:dyDescent="0.25">
      <c r="A122" s="1406" t="s">
        <v>485</v>
      </c>
      <c r="B122" s="1413"/>
      <c r="C122" s="1633">
        <f t="shared" ref="C122:H122" si="5">SUM(C117:C121)</f>
        <v>4226770</v>
      </c>
      <c r="D122" s="1633">
        <f t="shared" si="5"/>
        <v>0</v>
      </c>
      <c r="E122" s="1633">
        <f t="shared" si="5"/>
        <v>0</v>
      </c>
      <c r="F122" s="1633">
        <f t="shared" si="5"/>
        <v>100000</v>
      </c>
      <c r="G122" s="1633">
        <f t="shared" si="5"/>
        <v>0</v>
      </c>
      <c r="H122" s="1633">
        <f t="shared" si="5"/>
        <v>0</v>
      </c>
      <c r="I122" s="1575"/>
      <c r="J122" s="1633">
        <f>SUM(J117:J121)</f>
        <v>0</v>
      </c>
      <c r="K122" s="1594">
        <f>SUM(K117:K121)</f>
        <v>0</v>
      </c>
    </row>
    <row r="123" spans="1:11" ht="15.9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35089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35089</v>
      </c>
      <c r="D132" s="1633">
        <f>SUM(D125:D131)</f>
        <v>0</v>
      </c>
      <c r="E132" s="1576" t="s">
        <v>1159</v>
      </c>
      <c r="F132" s="1633">
        <f>SUM(F125:F131)</f>
        <v>0</v>
      </c>
      <c r="G132" s="1575" t="s">
        <v>1159</v>
      </c>
      <c r="H132" s="1575" t="s">
        <v>1159</v>
      </c>
      <c r="I132" s="1575" t="s">
        <v>1159</v>
      </c>
      <c r="J132" s="1575" t="s">
        <v>1159</v>
      </c>
      <c r="K132" s="1575" t="s">
        <v>1159</v>
      </c>
    </row>
    <row r="133" spans="1:11" ht="15.9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14419</v>
      </c>
      <c r="D140" s="1573"/>
      <c r="E140" s="1640"/>
      <c r="F140" s="1582"/>
      <c r="G140" s="1574"/>
      <c r="H140" s="1575"/>
      <c r="I140" s="1575"/>
      <c r="J140" s="1575"/>
      <c r="K140" s="1575"/>
    </row>
    <row r="141" spans="1:11" ht="12.75" customHeight="1" thickBot="1" x14ac:dyDescent="0.25">
      <c r="A141" s="1406" t="s">
        <v>599</v>
      </c>
      <c r="B141" s="1414"/>
      <c r="C141" s="1633">
        <f>SUM(C134:C140)</f>
        <v>14419</v>
      </c>
      <c r="D141" s="1633">
        <f>SUM(D134:D140)</f>
        <v>0</v>
      </c>
      <c r="E141" s="1640" t="s">
        <v>1159</v>
      </c>
      <c r="F141" s="1582"/>
      <c r="G141" s="1633">
        <f>SUM(G134:G140)</f>
        <v>0</v>
      </c>
      <c r="H141" s="1575" t="s">
        <v>1159</v>
      </c>
      <c r="I141" s="1575" t="s">
        <v>1159</v>
      </c>
      <c r="J141" s="1575" t="s">
        <v>1159</v>
      </c>
      <c r="K141" s="1575" t="s">
        <v>1159</v>
      </c>
    </row>
    <row r="142" spans="1:11" ht="15.9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3023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9136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9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301456</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301456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190823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252490</v>
      </c>
      <c r="D169" s="1658">
        <f t="shared" si="6"/>
        <v>0</v>
      </c>
      <c r="E169" s="1658">
        <f t="shared" si="6"/>
        <v>0</v>
      </c>
      <c r="F169" s="1658">
        <f t="shared" si="6"/>
        <v>301456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4479260</v>
      </c>
      <c r="D170" s="1641">
        <f t="shared" si="7"/>
        <v>0</v>
      </c>
      <c r="E170" s="1641">
        <f t="shared" si="7"/>
        <v>0</v>
      </c>
      <c r="F170" s="1641">
        <f t="shared" si="7"/>
        <v>401456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95" customHeight="1" x14ac:dyDescent="0.2">
      <c r="A172" s="2253" t="s">
        <v>1475</v>
      </c>
      <c r="B172" s="2254"/>
      <c r="C172" s="1616"/>
      <c r="D172" s="1616"/>
      <c r="E172" s="1609"/>
      <c r="F172" s="1575"/>
      <c r="G172" s="1575"/>
      <c r="H172" s="1575"/>
      <c r="I172" s="1575"/>
      <c r="J172" s="1575"/>
      <c r="K172" s="1575"/>
    </row>
    <row r="173" spans="1:11" ht="12.75"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9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1778</v>
      </c>
      <c r="B182" s="2256"/>
      <c r="C182" s="1663"/>
      <c r="D182" s="1645"/>
      <c r="E182" s="1609"/>
      <c r="F182" s="1645"/>
      <c r="G182" s="1645"/>
      <c r="H182" s="1575"/>
      <c r="I182" s="1575"/>
      <c r="J182" s="1575"/>
      <c r="K182" s="1575"/>
    </row>
    <row r="183" spans="1:11" ht="15.9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9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164936</v>
      </c>
      <c r="D191" s="1575"/>
      <c r="E191" s="1640"/>
      <c r="F191" s="1575"/>
      <c r="G191" s="1664"/>
      <c r="H191" s="1575"/>
      <c r="I191" s="1575"/>
      <c r="J191" s="1575"/>
      <c r="K191" s="1575"/>
    </row>
    <row r="192" spans="1:11" ht="12.75" customHeight="1" x14ac:dyDescent="0.2">
      <c r="A192" s="427" t="s">
        <v>1038</v>
      </c>
      <c r="B192" s="429">
        <v>4215</v>
      </c>
      <c r="C192" s="1632">
        <v>816</v>
      </c>
      <c r="D192" s="1575"/>
      <c r="E192" s="1640"/>
      <c r="F192" s="1575"/>
      <c r="G192" s="1664"/>
      <c r="H192" s="1575"/>
      <c r="I192" s="1575"/>
      <c r="J192" s="1575"/>
      <c r="K192" s="1575"/>
    </row>
    <row r="193" spans="1:11" ht="12.75" customHeight="1" x14ac:dyDescent="0.2">
      <c r="A193" s="427" t="s">
        <v>1050</v>
      </c>
      <c r="B193" s="429">
        <v>4220</v>
      </c>
      <c r="C193" s="1632">
        <v>47567</v>
      </c>
      <c r="D193" s="1575"/>
      <c r="E193" s="1640"/>
      <c r="F193" s="1575"/>
      <c r="G193" s="1664"/>
      <c r="H193" s="1575"/>
      <c r="I193" s="1575"/>
      <c r="J193" s="1575"/>
      <c r="K193" s="1575"/>
    </row>
    <row r="194" spans="1:11" ht="12.75" customHeight="1" x14ac:dyDescent="0.2">
      <c r="A194" s="427" t="s">
        <v>1434</v>
      </c>
      <c r="B194" s="429">
        <v>4225</v>
      </c>
      <c r="C194" s="1632">
        <v>107278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320597</v>
      </c>
      <c r="D198" s="1575"/>
      <c r="E198" s="1575"/>
      <c r="F198" s="1575"/>
      <c r="G198" s="1594">
        <f>SUM(G190:G197)</f>
        <v>0</v>
      </c>
      <c r="H198" s="1575"/>
      <c r="I198" s="1575"/>
      <c r="J198" s="1575"/>
      <c r="K198" s="1575"/>
    </row>
    <row r="199" spans="1:11" ht="15.9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185441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31474</v>
      </c>
      <c r="D203" s="1573"/>
      <c r="E203" s="1575"/>
      <c r="F203" s="1573"/>
      <c r="G203" s="1573"/>
      <c r="H203" s="1575"/>
      <c r="I203" s="1575"/>
      <c r="J203" s="1575"/>
      <c r="K203" s="1575"/>
    </row>
    <row r="204" spans="1:11" ht="12.75" customHeight="1" thickBot="1" x14ac:dyDescent="0.25">
      <c r="A204" s="1406" t="s">
        <v>397</v>
      </c>
      <c r="B204" s="1407"/>
      <c r="C204" s="1633">
        <f>SUM(C200:C203)</f>
        <v>216915</v>
      </c>
      <c r="D204" s="1633">
        <f>SUM(D200:D203)</f>
        <v>0</v>
      </c>
      <c r="E204" s="1575"/>
      <c r="F204" s="1633">
        <f>SUM(F200:F203)</f>
        <v>0</v>
      </c>
      <c r="G204" s="1633">
        <f>SUM(G200:G203)</f>
        <v>0</v>
      </c>
      <c r="H204" s="1575"/>
      <c r="I204" s="1575"/>
      <c r="J204" s="1575"/>
      <c r="K204" s="1575"/>
    </row>
    <row r="205" spans="1:11" ht="15.9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9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8198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220704</v>
      </c>
      <c r="D213" s="1573"/>
      <c r="E213" s="1575"/>
      <c r="F213" s="1573"/>
      <c r="G213" s="1573"/>
      <c r="H213" s="1575"/>
      <c r="I213" s="1575"/>
      <c r="J213" s="1575"/>
      <c r="K213" s="1575"/>
    </row>
    <row r="214" spans="1:11" ht="12.75" customHeight="1" x14ac:dyDescent="0.2">
      <c r="A214" s="427" t="s">
        <v>1045</v>
      </c>
      <c r="B214" s="429">
        <v>4625</v>
      </c>
      <c r="C214" s="1632">
        <v>636</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229538</v>
      </c>
      <c r="D217" s="1633">
        <f>SUM(D211:D216)</f>
        <v>0</v>
      </c>
      <c r="E217" s="1575"/>
      <c r="F217" s="1633">
        <f>SUM(F211:F216)</f>
        <v>0</v>
      </c>
      <c r="G217" s="1633">
        <f>SUM(G211:G216)</f>
        <v>0</v>
      </c>
      <c r="H217" s="1575"/>
      <c r="I217" s="1575"/>
      <c r="J217" s="1575"/>
      <c r="K217" s="1575"/>
    </row>
    <row r="218" spans="1:11" ht="15.9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21453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5418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793921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793921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9191591</v>
      </c>
      <c r="D268" s="1641">
        <f t="shared" si="12"/>
        <v>593803</v>
      </c>
      <c r="E268" s="1641">
        <f t="shared" si="12"/>
        <v>1073534</v>
      </c>
      <c r="F268" s="1641">
        <f t="shared" si="12"/>
        <v>670318</v>
      </c>
      <c r="G268" s="1641">
        <f t="shared" si="12"/>
        <v>278716</v>
      </c>
      <c r="H268" s="1641">
        <f t="shared" si="12"/>
        <v>0</v>
      </c>
      <c r="I268" s="1641">
        <f t="shared" si="12"/>
        <v>59355</v>
      </c>
      <c r="J268" s="1641">
        <f t="shared" si="12"/>
        <v>240702</v>
      </c>
      <c r="K268" s="1629">
        <f t="shared" si="12"/>
        <v>60356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colorId="8" zoomScale="110" zoomScaleNormal="110" workbookViewId="0">
      <pane ySplit="2" topLeftCell="A135" activePane="bottomLeft" state="frozen"/>
      <selection pane="bottomLeft" activeCell="C41" sqref="C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9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1174067+1027141+1146774</f>
        <v>3347982</v>
      </c>
      <c r="D5" s="1573">
        <f>160633+159842+151409</f>
        <v>471884</v>
      </c>
      <c r="E5" s="1573">
        <f>230+1710+1498</f>
        <v>3438</v>
      </c>
      <c r="F5" s="1573">
        <f>32553+25949+33956</f>
        <v>92458</v>
      </c>
      <c r="G5" s="1573"/>
      <c r="H5" s="1573"/>
      <c r="I5" s="1574"/>
      <c r="J5" s="1574"/>
      <c r="K5" s="1672">
        <f>SUM(C5:J5)</f>
        <v>3915762</v>
      </c>
      <c r="L5" s="1573">
        <v>3936528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125735</v>
      </c>
      <c r="D7" s="1574">
        <v>24455</v>
      </c>
      <c r="E7" s="1574"/>
      <c r="F7" s="1574">
        <v>10518</v>
      </c>
      <c r="G7" s="1574"/>
      <c r="H7" s="1574"/>
      <c r="I7" s="1574"/>
      <c r="J7" s="1574"/>
      <c r="K7" s="1672">
        <f t="shared" ref="K7:K32" si="0">SUM(C7:J7)</f>
        <v>160708</v>
      </c>
      <c r="L7" s="1573">
        <v>154307</v>
      </c>
    </row>
    <row r="8" spans="1:14" x14ac:dyDescent="0.2">
      <c r="A8" s="1274" t="s">
        <v>163</v>
      </c>
      <c r="B8" s="503">
        <v>1200</v>
      </c>
      <c r="C8" s="1573">
        <v>441164</v>
      </c>
      <c r="D8" s="1573">
        <v>102341</v>
      </c>
      <c r="E8" s="1573">
        <v>55</v>
      </c>
      <c r="F8" s="1573">
        <v>81366</v>
      </c>
      <c r="G8" s="1573">
        <v>16585</v>
      </c>
      <c r="H8" s="1573"/>
      <c r="I8" s="1574"/>
      <c r="J8" s="1574"/>
      <c r="K8" s="1672">
        <f t="shared" si="0"/>
        <v>641511</v>
      </c>
      <c r="L8" s="1573">
        <v>678046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108344</v>
      </c>
      <c r="D10" s="1573">
        <v>19888</v>
      </c>
      <c r="E10" s="1573">
        <v>6918</v>
      </c>
      <c r="F10" s="1573"/>
      <c r="G10" s="1573"/>
      <c r="H10" s="1573"/>
      <c r="I10" s="1574"/>
      <c r="J10" s="1574"/>
      <c r="K10" s="1672">
        <f t="shared" si="0"/>
        <v>135150</v>
      </c>
      <c r="L10" s="1573">
        <v>186870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220977</v>
      </c>
      <c r="D14" s="1573">
        <v>28996</v>
      </c>
      <c r="E14" s="1573"/>
      <c r="F14" s="1573">
        <v>27491</v>
      </c>
      <c r="G14" s="1573"/>
      <c r="H14" s="1573">
        <v>22098</v>
      </c>
      <c r="I14" s="1574"/>
      <c r="J14" s="1574"/>
      <c r="K14" s="1672">
        <f t="shared" si="0"/>
        <v>299562</v>
      </c>
      <c r="L14" s="1573">
        <v>296065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60055</v>
      </c>
      <c r="D17" s="1574">
        <v>8199</v>
      </c>
      <c r="E17" s="1574">
        <v>3810</v>
      </c>
      <c r="F17" s="1574"/>
      <c r="G17" s="1574"/>
      <c r="H17" s="1574"/>
      <c r="I17" s="1574"/>
      <c r="J17" s="1574"/>
      <c r="K17" s="1672">
        <f t="shared" si="0"/>
        <v>72064</v>
      </c>
      <c r="L17" s="1573">
        <v>68200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4304257</v>
      </c>
      <c r="D33" s="1674">
        <f t="shared" ref="D33:L33" si="1">SUM(D5:D32)</f>
        <v>655763</v>
      </c>
      <c r="E33" s="1674">
        <f t="shared" si="1"/>
        <v>14221</v>
      </c>
      <c r="F33" s="1674">
        <f t="shared" si="1"/>
        <v>211833</v>
      </c>
      <c r="G33" s="1674">
        <f t="shared" si="1"/>
        <v>16585</v>
      </c>
      <c r="H33" s="1674">
        <f t="shared" si="1"/>
        <v>22098</v>
      </c>
      <c r="I33" s="1674">
        <f t="shared" si="1"/>
        <v>0</v>
      </c>
      <c r="J33" s="1674">
        <f t="shared" si="1"/>
        <v>0</v>
      </c>
      <c r="K33" s="1674">
        <f t="shared" si="1"/>
        <v>5224757</v>
      </c>
      <c r="L33" s="1674">
        <f t="shared" si="1"/>
        <v>5320016</v>
      </c>
    </row>
    <row r="34" spans="1:14" s="506" customFormat="1" ht="15.9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9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174157</v>
      </c>
      <c r="D37" s="1573">
        <v>50093</v>
      </c>
      <c r="E37" s="1573"/>
      <c r="F37" s="1573">
        <v>2659</v>
      </c>
      <c r="G37" s="1573"/>
      <c r="H37" s="1573"/>
      <c r="I37" s="1574"/>
      <c r="J37" s="1574"/>
      <c r="K37" s="1672">
        <f t="shared" si="2"/>
        <v>226909</v>
      </c>
      <c r="L37" s="1573">
        <v>221820</v>
      </c>
    </row>
    <row r="38" spans="1:14" x14ac:dyDescent="0.2">
      <c r="A38" s="1274" t="s">
        <v>196</v>
      </c>
      <c r="B38" s="503">
        <v>2130</v>
      </c>
      <c r="C38" s="1573">
        <v>70082</v>
      </c>
      <c r="D38" s="1573">
        <v>8215</v>
      </c>
      <c r="E38" s="1573">
        <v>4171</v>
      </c>
      <c r="F38" s="1573">
        <v>3989</v>
      </c>
      <c r="G38" s="1573">
        <v>802</v>
      </c>
      <c r="H38" s="1573"/>
      <c r="I38" s="1574"/>
      <c r="J38" s="1574"/>
      <c r="K38" s="1672">
        <f t="shared" si="2"/>
        <v>87259</v>
      </c>
      <c r="L38" s="1573">
        <v>100900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1760</v>
      </c>
      <c r="D41" s="1573"/>
      <c r="E41" s="1573"/>
      <c r="F41" s="1573"/>
      <c r="G41" s="1573"/>
      <c r="H41" s="1573"/>
      <c r="I41" s="1574"/>
      <c r="J41" s="1574"/>
      <c r="K41" s="1672">
        <f t="shared" si="2"/>
        <v>1760</v>
      </c>
      <c r="L41" s="1573">
        <v>1700</v>
      </c>
    </row>
    <row r="42" spans="1:14" ht="12.75" customHeight="1" thickBot="1" x14ac:dyDescent="0.25">
      <c r="A42" s="1380" t="s">
        <v>556</v>
      </c>
      <c r="B42" s="1381" t="s">
        <v>711</v>
      </c>
      <c r="C42" s="1674">
        <f>SUM(C36:C41)</f>
        <v>245999</v>
      </c>
      <c r="D42" s="1674">
        <f t="shared" ref="D42:L42" si="3">SUM(D36:D41)</f>
        <v>58308</v>
      </c>
      <c r="E42" s="1674">
        <f t="shared" si="3"/>
        <v>4171</v>
      </c>
      <c r="F42" s="1674">
        <f t="shared" si="3"/>
        <v>6648</v>
      </c>
      <c r="G42" s="1674">
        <f t="shared" si="3"/>
        <v>802</v>
      </c>
      <c r="H42" s="1674">
        <f t="shared" si="3"/>
        <v>0</v>
      </c>
      <c r="I42" s="1674">
        <f t="shared" si="3"/>
        <v>0</v>
      </c>
      <c r="J42" s="1674">
        <f t="shared" si="3"/>
        <v>0</v>
      </c>
      <c r="K42" s="1674">
        <f t="shared" si="3"/>
        <v>315928</v>
      </c>
      <c r="L42" s="1674">
        <f t="shared" si="3"/>
        <v>324420</v>
      </c>
    </row>
    <row r="43" spans="1:14" ht="15.9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104272</v>
      </c>
      <c r="D45" s="1573">
        <v>17732</v>
      </c>
      <c r="E45" s="1573">
        <v>93209</v>
      </c>
      <c r="F45" s="1573">
        <v>164266</v>
      </c>
      <c r="G45" s="1573">
        <v>-1652</v>
      </c>
      <c r="H45" s="1573"/>
      <c r="I45" s="1574"/>
      <c r="J45" s="1574"/>
      <c r="K45" s="1678">
        <f>SUM(C45:J45)</f>
        <v>377827</v>
      </c>
      <c r="L45" s="1573">
        <v>378052</v>
      </c>
    </row>
    <row r="46" spans="1:14" x14ac:dyDescent="0.2">
      <c r="A46" s="1274" t="s">
        <v>811</v>
      </c>
      <c r="B46" s="503">
        <v>2230</v>
      </c>
      <c r="C46" s="1573"/>
      <c r="D46" s="1573"/>
      <c r="E46" s="1573"/>
      <c r="F46" s="1573">
        <v>102183</v>
      </c>
      <c r="G46" s="1573"/>
      <c r="H46" s="1573"/>
      <c r="I46" s="1574"/>
      <c r="J46" s="1574"/>
      <c r="K46" s="1678">
        <f>SUM(C46:J46)</f>
        <v>102183</v>
      </c>
      <c r="L46" s="1573">
        <v>102000</v>
      </c>
    </row>
    <row r="47" spans="1:14" ht="12.75" customHeight="1" thickBot="1" x14ac:dyDescent="0.25">
      <c r="A47" s="1380" t="s">
        <v>557</v>
      </c>
      <c r="B47" s="1381" t="s">
        <v>32</v>
      </c>
      <c r="C47" s="1674">
        <f>SUM(C44:C46)</f>
        <v>104272</v>
      </c>
      <c r="D47" s="1674">
        <f t="shared" ref="D47:K47" si="4">SUM(D44:D46)</f>
        <v>17732</v>
      </c>
      <c r="E47" s="1674">
        <f t="shared" si="4"/>
        <v>93209</v>
      </c>
      <c r="F47" s="1674">
        <f t="shared" si="4"/>
        <v>266449</v>
      </c>
      <c r="G47" s="1674">
        <f t="shared" si="4"/>
        <v>-1652</v>
      </c>
      <c r="H47" s="1674">
        <f t="shared" si="4"/>
        <v>0</v>
      </c>
      <c r="I47" s="1674">
        <f t="shared" si="4"/>
        <v>0</v>
      </c>
      <c r="J47" s="1674">
        <f t="shared" si="4"/>
        <v>0</v>
      </c>
      <c r="K47" s="1674">
        <f t="shared" si="4"/>
        <v>480010</v>
      </c>
      <c r="L47" s="1674">
        <f>SUM(L44:L46)</f>
        <v>480052</v>
      </c>
    </row>
    <row r="48" spans="1:14" ht="15.9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2439</v>
      </c>
      <c r="D49" s="1586">
        <v>70229</v>
      </c>
      <c r="E49" s="1586">
        <v>108362</v>
      </c>
      <c r="F49" s="1586">
        <v>15055</v>
      </c>
      <c r="G49" s="1586"/>
      <c r="H49" s="1586">
        <v>33481</v>
      </c>
      <c r="I49" s="1574"/>
      <c r="J49" s="1574"/>
      <c r="K49" s="1678">
        <f>SUM(C49:J49)</f>
        <v>229566</v>
      </c>
      <c r="L49" s="1586">
        <v>227400</v>
      </c>
    </row>
    <row r="50" spans="1:14" x14ac:dyDescent="0.2">
      <c r="A50" s="1274" t="s">
        <v>813</v>
      </c>
      <c r="B50" s="503">
        <v>2320</v>
      </c>
      <c r="C50" s="1573">
        <v>183240</v>
      </c>
      <c r="D50" s="1573">
        <v>26107</v>
      </c>
      <c r="E50" s="1573">
        <v>491</v>
      </c>
      <c r="F50" s="1573">
        <v>150</v>
      </c>
      <c r="G50" s="1573"/>
      <c r="H50" s="1573">
        <v>1762</v>
      </c>
      <c r="I50" s="1574"/>
      <c r="J50" s="1574"/>
      <c r="K50" s="1678">
        <f>SUM(C50:J50)</f>
        <v>211750</v>
      </c>
      <c r="L50" s="1573">
        <v>206500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185679</v>
      </c>
      <c r="D53" s="1674">
        <f t="shared" ref="D53:L53" si="5">SUM(D49:D52)</f>
        <v>96336</v>
      </c>
      <c r="E53" s="1674">
        <f t="shared" si="5"/>
        <v>108853</v>
      </c>
      <c r="F53" s="1674">
        <f t="shared" si="5"/>
        <v>15205</v>
      </c>
      <c r="G53" s="1674">
        <f t="shared" si="5"/>
        <v>0</v>
      </c>
      <c r="H53" s="1674">
        <f t="shared" si="5"/>
        <v>35243</v>
      </c>
      <c r="I53" s="1674">
        <f t="shared" si="5"/>
        <v>0</v>
      </c>
      <c r="J53" s="1674">
        <f t="shared" si="5"/>
        <v>0</v>
      </c>
      <c r="K53" s="1674">
        <f t="shared" si="5"/>
        <v>441316</v>
      </c>
      <c r="L53" s="1674">
        <f t="shared" si="5"/>
        <v>433900</v>
      </c>
    </row>
    <row r="54" spans="1:14" ht="15.9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511748</v>
      </c>
      <c r="D55" s="1586">
        <v>90506</v>
      </c>
      <c r="E55" s="1586">
        <v>2717</v>
      </c>
      <c r="F55" s="1586"/>
      <c r="G55" s="1586"/>
      <c r="H55" s="1586">
        <v>1385</v>
      </c>
      <c r="I55" s="1574"/>
      <c r="J55" s="1574"/>
      <c r="K55" s="1678">
        <f>SUM(C55:J55)</f>
        <v>606356</v>
      </c>
      <c r="L55" s="1586">
        <v>573635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511748</v>
      </c>
      <c r="D57" s="1679">
        <f t="shared" ref="D57:K57" si="6">SUM(D55:D56)</f>
        <v>90506</v>
      </c>
      <c r="E57" s="1679">
        <f t="shared" si="6"/>
        <v>2717</v>
      </c>
      <c r="F57" s="1679">
        <f t="shared" si="6"/>
        <v>0</v>
      </c>
      <c r="G57" s="1679">
        <f t="shared" si="6"/>
        <v>0</v>
      </c>
      <c r="H57" s="1679">
        <f t="shared" si="6"/>
        <v>1385</v>
      </c>
      <c r="I57" s="1679">
        <f t="shared" si="6"/>
        <v>0</v>
      </c>
      <c r="J57" s="1679">
        <f t="shared" si="6"/>
        <v>0</v>
      </c>
      <c r="K57" s="1679">
        <f t="shared" si="6"/>
        <v>606356</v>
      </c>
      <c r="L57" s="1674">
        <f>SUM(L55:L56)</f>
        <v>573635</v>
      </c>
      <c r="M57" s="501"/>
      <c r="N57" s="501"/>
    </row>
    <row r="58" spans="1:14" s="321" customFormat="1" ht="15.9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50776</v>
      </c>
      <c r="D60" s="1573">
        <v>318</v>
      </c>
      <c r="E60" s="1573"/>
      <c r="F60" s="1573">
        <v>1528</v>
      </c>
      <c r="G60" s="1573"/>
      <c r="H60" s="1573"/>
      <c r="I60" s="1574"/>
      <c r="J60" s="1574"/>
      <c r="K60" s="1678">
        <f t="shared" si="7"/>
        <v>52622</v>
      </c>
      <c r="L60" s="1573">
        <v>53300</v>
      </c>
      <c r="M60" s="501"/>
      <c r="N60" s="501"/>
    </row>
    <row r="61" spans="1:14" s="321" customFormat="1" x14ac:dyDescent="0.2">
      <c r="A61" s="1274" t="s">
        <v>195</v>
      </c>
      <c r="B61" s="503">
        <v>2540</v>
      </c>
      <c r="C61" s="1573"/>
      <c r="D61" s="1573"/>
      <c r="E61" s="1573">
        <v>58938</v>
      </c>
      <c r="F61" s="1573">
        <v>241030</v>
      </c>
      <c r="G61" s="1573"/>
      <c r="H61" s="1573"/>
      <c r="I61" s="1574"/>
      <c r="J61" s="1574"/>
      <c r="K61" s="1678">
        <f t="shared" si="7"/>
        <v>299968</v>
      </c>
      <c r="L61" s="1573">
        <v>319000</v>
      </c>
      <c r="M61" s="501"/>
      <c r="N61" s="501"/>
    </row>
    <row r="62" spans="1:14" s="321" customFormat="1" x14ac:dyDescent="0.2">
      <c r="A62" s="1274" t="s">
        <v>947</v>
      </c>
      <c r="B62" s="503">
        <v>2550</v>
      </c>
      <c r="C62" s="1573"/>
      <c r="D62" s="1573"/>
      <c r="E62" s="1573">
        <v>1444</v>
      </c>
      <c r="F62" s="1573">
        <v>4713</v>
      </c>
      <c r="G62" s="1573"/>
      <c r="H62" s="1573"/>
      <c r="I62" s="1574"/>
      <c r="J62" s="1574"/>
      <c r="K62" s="1678">
        <f t="shared" si="7"/>
        <v>6157</v>
      </c>
      <c r="L62" s="1573">
        <v>7400</v>
      </c>
      <c r="M62" s="501"/>
      <c r="N62" s="501"/>
    </row>
    <row r="63" spans="1:14" s="501" customFormat="1" x14ac:dyDescent="0.2">
      <c r="A63" s="1274" t="s">
        <v>100</v>
      </c>
      <c r="B63" s="503">
        <v>2560</v>
      </c>
      <c r="C63" s="1573">
        <v>203823</v>
      </c>
      <c r="D63" s="1573">
        <v>16731</v>
      </c>
      <c r="E63" s="1573">
        <v>4077</v>
      </c>
      <c r="F63" s="1573">
        <v>396328</v>
      </c>
      <c r="G63" s="1573">
        <v>34494</v>
      </c>
      <c r="H63" s="1573">
        <v>806</v>
      </c>
      <c r="I63" s="1574"/>
      <c r="J63" s="1574"/>
      <c r="K63" s="1678">
        <f t="shared" si="7"/>
        <v>656259</v>
      </c>
      <c r="L63" s="1573">
        <v>647150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254599</v>
      </c>
      <c r="D65" s="1674">
        <f t="shared" ref="D65:L65" si="8">SUM(D59:D64)</f>
        <v>17049</v>
      </c>
      <c r="E65" s="1674">
        <f t="shared" si="8"/>
        <v>64459</v>
      </c>
      <c r="F65" s="1674">
        <f t="shared" si="8"/>
        <v>643599</v>
      </c>
      <c r="G65" s="1674">
        <f t="shared" si="8"/>
        <v>34494</v>
      </c>
      <c r="H65" s="1674">
        <f t="shared" si="8"/>
        <v>806</v>
      </c>
      <c r="I65" s="1674">
        <f t="shared" si="8"/>
        <v>0</v>
      </c>
      <c r="J65" s="1674">
        <f t="shared" si="8"/>
        <v>0</v>
      </c>
      <c r="K65" s="1674">
        <f t="shared" si="8"/>
        <v>1015006</v>
      </c>
      <c r="L65" s="1674">
        <f t="shared" si="8"/>
        <v>1026850</v>
      </c>
      <c r="M65" s="501"/>
      <c r="N65" s="501"/>
    </row>
    <row r="66" spans="1:14" s="321" customFormat="1" ht="15.9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1302297</v>
      </c>
      <c r="D74" s="1681">
        <f t="shared" ref="D74:K74" si="10">SUM(D42,D47,D53,D57,D65,D72,D73)</f>
        <v>279931</v>
      </c>
      <c r="E74" s="1681">
        <f t="shared" si="10"/>
        <v>273409</v>
      </c>
      <c r="F74" s="1681">
        <f t="shared" si="10"/>
        <v>931901</v>
      </c>
      <c r="G74" s="1681">
        <f t="shared" si="10"/>
        <v>33644</v>
      </c>
      <c r="H74" s="1681">
        <f t="shared" si="10"/>
        <v>37434</v>
      </c>
      <c r="I74" s="1681">
        <f t="shared" si="10"/>
        <v>0</v>
      </c>
      <c r="J74" s="1681">
        <f t="shared" si="10"/>
        <v>0</v>
      </c>
      <c r="K74" s="1681">
        <f t="shared" si="10"/>
        <v>2858616</v>
      </c>
      <c r="L74" s="1681">
        <f>SUM(L42,L47,L53,L57,L65,L72,L73)</f>
        <v>2838857</v>
      </c>
    </row>
    <row r="75" spans="1:14" s="254" customFormat="1" ht="15.9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9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9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22643</v>
      </c>
      <c r="F78" s="1673"/>
      <c r="G78" s="1673"/>
      <c r="H78" s="1682"/>
      <c r="I78" s="1582"/>
      <c r="J78" s="1582"/>
      <c r="K78" s="1672">
        <f t="shared" ref="K78:K83" si="11">SUM(C78:J78)</f>
        <v>22643</v>
      </c>
      <c r="L78" s="1586">
        <v>30000</v>
      </c>
    </row>
    <row r="79" spans="1:14" x14ac:dyDescent="0.2">
      <c r="A79" s="1274" t="s">
        <v>301</v>
      </c>
      <c r="B79" s="503">
        <v>4120</v>
      </c>
      <c r="C79" s="1673"/>
      <c r="D79" s="1673"/>
      <c r="E79" s="1573"/>
      <c r="F79" s="1673"/>
      <c r="G79" s="1673"/>
      <c r="H79" s="1573">
        <f>827186+244434</f>
        <v>1071620</v>
      </c>
      <c r="I79" s="1582"/>
      <c r="J79" s="1582"/>
      <c r="K79" s="1672">
        <f t="shared" si="11"/>
        <v>1071620</v>
      </c>
      <c r="L79" s="1573">
        <v>1002771</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60720</v>
      </c>
      <c r="I81" s="1582"/>
      <c r="J81" s="1582"/>
      <c r="K81" s="1672">
        <f t="shared" si="11"/>
        <v>60720</v>
      </c>
      <c r="L81" s="1573">
        <v>61000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22643</v>
      </c>
      <c r="F84" s="1673"/>
      <c r="G84" s="1673"/>
      <c r="H84" s="1674">
        <f>SUM(H78:H83)</f>
        <v>1132340</v>
      </c>
      <c r="I84" s="1582"/>
      <c r="J84" s="1582"/>
      <c r="K84" s="1674">
        <f>SUM(K78:K83)</f>
        <v>1154983</v>
      </c>
      <c r="L84" s="1674">
        <f>SUM(L78:L83)</f>
        <v>1093771</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22643</v>
      </c>
      <c r="F102" s="1673"/>
      <c r="G102" s="1673"/>
      <c r="H102" s="1681">
        <f>SUM(H84,H92,H100,H101)</f>
        <v>1132340</v>
      </c>
      <c r="I102" s="1582"/>
      <c r="J102" s="1582"/>
      <c r="K102" s="1681">
        <f>SUM(K84,K92,K100,K101)</f>
        <v>1154983</v>
      </c>
      <c r="L102" s="1681">
        <f>SUM(L84,L92,L100,L101)</f>
        <v>1093771</v>
      </c>
    </row>
    <row r="103" spans="1:14" s="516" customFormat="1" ht="15.9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9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9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5606554</v>
      </c>
      <c r="D114" s="1674">
        <f t="shared" ref="D114:K114" si="13">SUM(D33,D74,D75,D102,D112,D113)</f>
        <v>935694</v>
      </c>
      <c r="E114" s="1674">
        <f t="shared" si="13"/>
        <v>310273</v>
      </c>
      <c r="F114" s="1674">
        <f t="shared" si="13"/>
        <v>1143734</v>
      </c>
      <c r="G114" s="1674">
        <f t="shared" si="13"/>
        <v>50229</v>
      </c>
      <c r="H114" s="1674">
        <f>SUM(H33,H74,H75,H102,H112,H113)</f>
        <v>1191872</v>
      </c>
      <c r="I114" s="1674">
        <f t="shared" si="13"/>
        <v>0</v>
      </c>
      <c r="J114" s="1674">
        <f t="shared" si="13"/>
        <v>0</v>
      </c>
      <c r="K114" s="1674">
        <f t="shared" si="13"/>
        <v>9238356</v>
      </c>
      <c r="L114" s="1674">
        <f>SUM(L33,L74,L75,L102,L112,L113)</f>
        <v>9252644</v>
      </c>
    </row>
    <row r="115" spans="1:14" ht="13.5" thickTop="1" x14ac:dyDescent="0.2">
      <c r="A115" s="2263" t="s">
        <v>989</v>
      </c>
      <c r="B115" s="2264"/>
      <c r="C115" s="1675"/>
      <c r="D115" s="1675"/>
      <c r="E115" s="1675"/>
      <c r="F115" s="1675"/>
      <c r="G115" s="1675"/>
      <c r="H115" s="1675"/>
      <c r="I115" s="1675"/>
      <c r="J115" s="1675"/>
      <c r="K115" s="1689">
        <f>'Revenues 9-14'!C268-'Expenditures 15-22'!K114</f>
        <v>-46765</v>
      </c>
      <c r="L115" s="1675"/>
    </row>
    <row r="116" spans="1:14" s="175" customFormat="1" ht="9.1999999999999993"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95" customHeight="1" x14ac:dyDescent="0.2">
      <c r="A118" s="1352" t="s">
        <v>1028</v>
      </c>
      <c r="B118" s="1353" t="s">
        <v>565</v>
      </c>
      <c r="C118" s="1673"/>
      <c r="D118" s="1673"/>
      <c r="E118" s="1673"/>
      <c r="F118" s="1673"/>
      <c r="G118" s="1673"/>
      <c r="H118" s="1673"/>
      <c r="I118" s="1673"/>
      <c r="J118" s="1673"/>
      <c r="K118" s="1673"/>
      <c r="L118" s="1673"/>
    </row>
    <row r="119" spans="1:14" ht="15.9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c r="D120" s="1573"/>
      <c r="E120" s="1573"/>
      <c r="F120" s="1573"/>
      <c r="G120" s="1573"/>
      <c r="H120" s="1573"/>
      <c r="I120" s="1574"/>
      <c r="J120" s="1574"/>
      <c r="K120" s="1672">
        <f>SUM(C120:J120)</f>
        <v>0</v>
      </c>
      <c r="L120" s="1573"/>
    </row>
    <row r="121" spans="1:14" ht="15.9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373971</v>
      </c>
      <c r="D124" s="1573">
        <v>69148</v>
      </c>
      <c r="E124" s="1573">
        <v>67068</v>
      </c>
      <c r="F124" s="1573">
        <v>69184</v>
      </c>
      <c r="G124" s="1573">
        <v>157074</v>
      </c>
      <c r="H124" s="1573"/>
      <c r="I124" s="1574"/>
      <c r="J124" s="1574"/>
      <c r="K124" s="1674">
        <f>SUM(C124:J124)</f>
        <v>736445</v>
      </c>
      <c r="L124" s="1573">
        <v>718750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373971</v>
      </c>
      <c r="D127" s="1674">
        <f t="shared" ref="D127:L127" si="14">SUM(D122:D126)</f>
        <v>69148</v>
      </c>
      <c r="E127" s="1674">
        <f t="shared" si="14"/>
        <v>67068</v>
      </c>
      <c r="F127" s="1674">
        <f t="shared" si="14"/>
        <v>69184</v>
      </c>
      <c r="G127" s="1674">
        <f t="shared" si="14"/>
        <v>157074</v>
      </c>
      <c r="H127" s="1674">
        <f t="shared" si="14"/>
        <v>0</v>
      </c>
      <c r="I127" s="1674">
        <f t="shared" si="14"/>
        <v>0</v>
      </c>
      <c r="J127" s="1674">
        <f t="shared" si="14"/>
        <v>0</v>
      </c>
      <c r="K127" s="1674">
        <f t="shared" si="14"/>
        <v>736445</v>
      </c>
      <c r="L127" s="1674">
        <f t="shared" si="14"/>
        <v>718750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373971</v>
      </c>
      <c r="D129" s="1681">
        <f t="shared" ref="D129:L129" si="15">SUM(D120,D127,D128)</f>
        <v>69148</v>
      </c>
      <c r="E129" s="1681">
        <f t="shared" si="15"/>
        <v>67068</v>
      </c>
      <c r="F129" s="1681">
        <f t="shared" si="15"/>
        <v>69184</v>
      </c>
      <c r="G129" s="1681">
        <f t="shared" si="15"/>
        <v>157074</v>
      </c>
      <c r="H129" s="1681">
        <f t="shared" si="15"/>
        <v>0</v>
      </c>
      <c r="I129" s="1681">
        <f t="shared" si="15"/>
        <v>0</v>
      </c>
      <c r="J129" s="1681">
        <f t="shared" si="15"/>
        <v>0</v>
      </c>
      <c r="K129" s="1681">
        <f t="shared" si="15"/>
        <v>736445</v>
      </c>
      <c r="L129" s="1681">
        <f t="shared" si="15"/>
        <v>718750</v>
      </c>
    </row>
    <row r="130" spans="1:14" ht="15.9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9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95" customHeight="1" thickTop="1" x14ac:dyDescent="0.2">
      <c r="A140" s="1350" t="s">
        <v>1030</v>
      </c>
      <c r="B140" s="1351" t="s">
        <v>489</v>
      </c>
      <c r="C140" s="1673"/>
      <c r="D140" s="1673"/>
      <c r="E140" s="1684"/>
      <c r="F140" s="1684"/>
      <c r="G140" s="1684"/>
      <c r="H140" s="1683"/>
      <c r="I140" s="1582"/>
      <c r="J140" s="1684"/>
      <c r="K140" s="1683"/>
      <c r="L140" s="1683"/>
    </row>
    <row r="141" spans="1:14" ht="15.9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9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9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373971</v>
      </c>
      <c r="D151" s="1674">
        <f t="shared" ref="D151:K151" si="16">SUM(D129,D130,D139,D149,D150)</f>
        <v>69148</v>
      </c>
      <c r="E151" s="1674">
        <f t="shared" si="16"/>
        <v>67068</v>
      </c>
      <c r="F151" s="1674">
        <f t="shared" si="16"/>
        <v>69184</v>
      </c>
      <c r="G151" s="1674">
        <f t="shared" si="16"/>
        <v>157074</v>
      </c>
      <c r="H151" s="1674">
        <f t="shared" si="16"/>
        <v>0</v>
      </c>
      <c r="I151" s="1674">
        <f t="shared" si="16"/>
        <v>0</v>
      </c>
      <c r="J151" s="1674">
        <f t="shared" si="16"/>
        <v>0</v>
      </c>
      <c r="K151" s="1674">
        <f t="shared" si="16"/>
        <v>736445</v>
      </c>
      <c r="L151" s="1674">
        <f>SUM(L129,L130,L139,L149,L150)</f>
        <v>718750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-142642</v>
      </c>
      <c r="L152" s="1675"/>
    </row>
    <row r="153" spans="1:14" s="540" customFormat="1" ht="9.1999999999999993"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9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9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554</v>
      </c>
      <c r="C159" s="1673"/>
      <c r="D159" s="1673"/>
      <c r="E159" s="1673"/>
      <c r="F159" s="1673"/>
      <c r="G159" s="1673"/>
      <c r="H159" s="1574"/>
      <c r="I159" s="1673"/>
      <c r="J159" s="1673"/>
      <c r="K159" s="1672">
        <f>H159</f>
        <v>0</v>
      </c>
      <c r="L159" s="1574"/>
      <c r="M159" s="505"/>
      <c r="N159" s="505"/>
    </row>
    <row r="160" spans="1:14" s="506" customFormat="1" ht="15.9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9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9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95" customHeight="1" thickTop="1" x14ac:dyDescent="0.2">
      <c r="A169" s="543" t="s">
        <v>83</v>
      </c>
      <c r="B169" s="544" t="s">
        <v>38</v>
      </c>
      <c r="C169" s="1673"/>
      <c r="D169" s="1673"/>
      <c r="E169" s="1673"/>
      <c r="F169" s="1673"/>
      <c r="G169" s="1673"/>
      <c r="H169" s="1695">
        <f>172856+259495</f>
        <v>432351</v>
      </c>
      <c r="I169" s="1673"/>
      <c r="J169" s="1673"/>
      <c r="K169" s="1672">
        <f>SUM(C169:H169)</f>
        <v>432351</v>
      </c>
      <c r="L169" s="1695">
        <v>432801</v>
      </c>
    </row>
    <row r="170" spans="1:14" ht="33.950000000000003" customHeight="1" x14ac:dyDescent="0.2">
      <c r="A170" s="543" t="s">
        <v>1651</v>
      </c>
      <c r="B170" s="545" t="s">
        <v>31</v>
      </c>
      <c r="C170" s="1673"/>
      <c r="D170" s="1673"/>
      <c r="E170" s="1673"/>
      <c r="F170" s="1673"/>
      <c r="G170" s="1673"/>
      <c r="H170" s="1646">
        <f>225000+415000</f>
        <v>640000</v>
      </c>
      <c r="I170" s="1673"/>
      <c r="J170" s="1673"/>
      <c r="K170" s="1672">
        <f>SUM(C170:J170)</f>
        <v>640000</v>
      </c>
      <c r="L170" s="1646">
        <v>640000</v>
      </c>
    </row>
    <row r="171" spans="1:14" ht="15.95" customHeight="1" x14ac:dyDescent="0.2">
      <c r="A171" s="507" t="s">
        <v>761</v>
      </c>
      <c r="B171" s="546" t="s">
        <v>84</v>
      </c>
      <c r="C171" s="1673"/>
      <c r="D171" s="1673"/>
      <c r="E171" s="1573"/>
      <c r="F171" s="1673"/>
      <c r="G171" s="1673"/>
      <c r="H171" s="1646">
        <v>1500</v>
      </c>
      <c r="I171" s="1582"/>
      <c r="J171" s="1673"/>
      <c r="K171" s="1672">
        <f>SUM(C171:J171)</f>
        <v>1500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1073851</v>
      </c>
      <c r="I172" s="1684"/>
      <c r="J172" s="1673"/>
      <c r="K172" s="1681">
        <f>SUM(K168,K169,K170,K171)</f>
        <v>1073851</v>
      </c>
      <c r="L172" s="1681">
        <f>SUM(L168,L169,L170,L171)</f>
        <v>1074301</v>
      </c>
    </row>
    <row r="173" spans="1:14" ht="15.9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1073851</v>
      </c>
      <c r="I174" s="1684"/>
      <c r="J174" s="1673"/>
      <c r="K174" s="1681">
        <f>SUM(K160,K172,K173)</f>
        <v>1073851</v>
      </c>
      <c r="L174" s="1681">
        <f>SUM(L160,L172,L173)</f>
        <v>1074301</v>
      </c>
    </row>
    <row r="175" spans="1:14" ht="13.5" thickTop="1" x14ac:dyDescent="0.2">
      <c r="A175" s="2263" t="s">
        <v>989</v>
      </c>
      <c r="B175" s="2264"/>
      <c r="C175" s="1673"/>
      <c r="D175" s="1673"/>
      <c r="E175" s="1673"/>
      <c r="F175" s="1673"/>
      <c r="G175" s="1673"/>
      <c r="H175" s="1675"/>
      <c r="I175" s="1673"/>
      <c r="J175" s="1673"/>
      <c r="K175" s="1689">
        <f>'Revenues 9-14'!E268-'Expenditures 15-22'!K174</f>
        <v>-317</v>
      </c>
      <c r="L175" s="1675"/>
    </row>
    <row r="176" spans="1:14" s="540" customFormat="1" ht="9.1999999999999993"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9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9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c r="D180" s="1573"/>
      <c r="E180" s="1573"/>
      <c r="F180" s="1573"/>
      <c r="G180" s="1573"/>
      <c r="H180" s="1573"/>
      <c r="I180" s="1574"/>
      <c r="J180" s="1574"/>
      <c r="K180" s="1672">
        <f>SUM(C180:J180)</f>
        <v>0</v>
      </c>
      <c r="L180" s="1573"/>
    </row>
    <row r="181" spans="1:14" ht="15.9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345557</v>
      </c>
      <c r="D182" s="1573">
        <v>8259</v>
      </c>
      <c r="E182" s="1573">
        <v>20620</v>
      </c>
      <c r="F182" s="1573">
        <v>99229</v>
      </c>
      <c r="G182" s="1573">
        <v>261952</v>
      </c>
      <c r="H182" s="1573"/>
      <c r="I182" s="1574"/>
      <c r="J182" s="1574"/>
      <c r="K182" s="1672">
        <f>SUM(C182:J182)</f>
        <v>735617</v>
      </c>
      <c r="L182" s="1573">
        <v>747552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345557</v>
      </c>
      <c r="D184" s="1681">
        <f t="shared" ref="D184:J184" si="17">SUM(D180,D182,D183)</f>
        <v>8259</v>
      </c>
      <c r="E184" s="1681">
        <f t="shared" si="17"/>
        <v>20620</v>
      </c>
      <c r="F184" s="1681">
        <f t="shared" si="17"/>
        <v>99229</v>
      </c>
      <c r="G184" s="1681">
        <f t="shared" si="17"/>
        <v>261952</v>
      </c>
      <c r="H184" s="1681">
        <f t="shared" si="17"/>
        <v>0</v>
      </c>
      <c r="I184" s="1681">
        <f t="shared" si="17"/>
        <v>0</v>
      </c>
      <c r="J184" s="1681">
        <f t="shared" si="17"/>
        <v>0</v>
      </c>
      <c r="K184" s="1681">
        <f>SUM(K180,K182,K183)</f>
        <v>735617</v>
      </c>
      <c r="L184" s="1681">
        <f>SUM(L180, L182:L183)</f>
        <v>747552</v>
      </c>
    </row>
    <row r="185" spans="1:14" ht="15.9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9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9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19146</v>
      </c>
      <c r="F189" s="1673"/>
      <c r="G189" s="1673"/>
      <c r="H189" s="1573"/>
      <c r="I189" s="1582"/>
      <c r="J189" s="1673"/>
      <c r="K189" s="1672">
        <f t="shared" si="18"/>
        <v>19146</v>
      </c>
      <c r="L189" s="1573">
        <v>19000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19146</v>
      </c>
      <c r="F194" s="1673"/>
      <c r="G194" s="1673"/>
      <c r="H194" s="1674">
        <f>SUM(H188:H193)</f>
        <v>0</v>
      </c>
      <c r="I194" s="1582"/>
      <c r="J194" s="1673"/>
      <c r="K194" s="1674">
        <f>SUM(K188:K193)</f>
        <v>19146</v>
      </c>
      <c r="L194" s="1674">
        <f>SUM(L188:L193)</f>
        <v>19000</v>
      </c>
    </row>
    <row r="195" spans="1:14" ht="15.9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19146</v>
      </c>
      <c r="F196" s="1673"/>
      <c r="G196" s="1673"/>
      <c r="H196" s="1681">
        <f>SUM(H194,H195)</f>
        <v>0</v>
      </c>
      <c r="I196" s="1582"/>
      <c r="J196" s="1673"/>
      <c r="K196" s="1681">
        <f>SUM(K194,K195)</f>
        <v>19146</v>
      </c>
      <c r="L196" s="1681">
        <f>SUM(L194,L195)</f>
        <v>19000</v>
      </c>
    </row>
    <row r="197" spans="1:14" s="548" customFormat="1" ht="15.9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9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9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9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9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345557</v>
      </c>
      <c r="D210" s="1674">
        <f>SUM(D184,D185)</f>
        <v>8259</v>
      </c>
      <c r="E210" s="1674">
        <f>SUM(E184,E185,E196)</f>
        <v>39766</v>
      </c>
      <c r="F210" s="1674">
        <f>SUM(F184,F185)</f>
        <v>99229</v>
      </c>
      <c r="G210" s="1674">
        <f>SUM(G184,G185)</f>
        <v>261952</v>
      </c>
      <c r="H210" s="1674">
        <f>SUM(H184,H185,H196,H208,H209)</f>
        <v>0</v>
      </c>
      <c r="I210" s="1674">
        <f>SUM(I184,I185)</f>
        <v>0</v>
      </c>
      <c r="J210" s="1674">
        <f>SUM(J184,J185)</f>
        <v>0</v>
      </c>
      <c r="K210" s="1672">
        <f>SUM(K184,K185,K196,K208,K209)</f>
        <v>754763</v>
      </c>
      <c r="L210" s="1674">
        <f>SUM(L184,L185,L196,L208,L209)</f>
        <v>766552</v>
      </c>
    </row>
    <row r="211" spans="1:14" ht="13.5" thickTop="1" x14ac:dyDescent="0.2">
      <c r="A211" s="2263" t="s">
        <v>989</v>
      </c>
      <c r="B211" s="2264"/>
      <c r="C211" s="1675"/>
      <c r="D211" s="1675"/>
      <c r="E211" s="1675"/>
      <c r="F211" s="1675"/>
      <c r="G211" s="1675"/>
      <c r="H211" s="1675"/>
      <c r="I211" s="1673"/>
      <c r="J211" s="1673"/>
      <c r="K211" s="1689">
        <f>'Revenues 9-14'!F268-'Expenditures 15-22'!K210</f>
        <v>-84445</v>
      </c>
      <c r="L211" s="1675"/>
    </row>
    <row r="212" spans="1:14" s="540" customFormat="1" ht="9.1999999999999993"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9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73023+85447+62878</f>
        <v>221348</v>
      </c>
      <c r="E215" s="1673"/>
      <c r="F215" s="1673"/>
      <c r="G215" s="1673"/>
      <c r="H215" s="1673"/>
      <c r="I215" s="1673"/>
      <c r="J215" s="1673"/>
      <c r="K215" s="1672">
        <f>D215</f>
        <v>221348</v>
      </c>
      <c r="L215" s="1573">
        <v>165000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221348</v>
      </c>
      <c r="E229" s="1673"/>
      <c r="F229" s="1673"/>
      <c r="G229" s="1673"/>
      <c r="H229" s="1673"/>
      <c r="I229" s="1673"/>
      <c r="J229" s="1673"/>
      <c r="K229" s="1674">
        <f>SUM(K215:K228)</f>
        <v>221348</v>
      </c>
      <c r="L229" s="1674">
        <f>SUM(L215:L228)</f>
        <v>165000</v>
      </c>
    </row>
    <row r="230" spans="1:12" ht="15.95" customHeight="1" thickTop="1" x14ac:dyDescent="0.2">
      <c r="A230" s="1350" t="s">
        <v>869</v>
      </c>
      <c r="B230" s="1351" t="s">
        <v>565</v>
      </c>
      <c r="C230" s="1673"/>
      <c r="D230" s="1673"/>
      <c r="E230" s="1673"/>
      <c r="F230" s="1673"/>
      <c r="G230" s="1673"/>
      <c r="H230" s="1673"/>
      <c r="I230" s="1673"/>
      <c r="J230" s="1673"/>
      <c r="K230" s="1673"/>
      <c r="L230" s="1673"/>
    </row>
    <row r="231" spans="1:12" ht="15.9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9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9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1780</v>
      </c>
      <c r="B249" s="557" t="s">
        <v>280</v>
      </c>
      <c r="C249" s="1673"/>
      <c r="D249" s="1579"/>
      <c r="E249" s="1673"/>
      <c r="F249" s="1673"/>
      <c r="G249" s="1673"/>
      <c r="H249" s="1673"/>
      <c r="I249" s="1673"/>
      <c r="J249" s="1673"/>
      <c r="K249" s="1678">
        <f t="shared" si="21"/>
        <v>0</v>
      </c>
      <c r="L249" s="1573"/>
    </row>
    <row r="250" spans="1:12" x14ac:dyDescent="0.2">
      <c r="A250" s="1275" t="s">
        <v>1781</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9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9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29015+16104</f>
        <v>45119</v>
      </c>
      <c r="E266" s="1673"/>
      <c r="F266" s="1673"/>
      <c r="G266" s="1673"/>
      <c r="H266" s="1673"/>
      <c r="I266" s="1673"/>
      <c r="J266" s="1673"/>
      <c r="K266" s="1678">
        <f t="shared" si="22"/>
        <v>45119</v>
      </c>
      <c r="L266" s="1573">
        <v>43000</v>
      </c>
    </row>
    <row r="267" spans="1:14" x14ac:dyDescent="0.2">
      <c r="A267" s="1274" t="s">
        <v>947</v>
      </c>
      <c r="B267" s="503">
        <v>2550</v>
      </c>
      <c r="C267" s="1673"/>
      <c r="D267" s="1573">
        <f>27597+5902</f>
        <v>33499</v>
      </c>
      <c r="E267" s="1673"/>
      <c r="F267" s="1673"/>
      <c r="G267" s="1673"/>
      <c r="H267" s="1673"/>
      <c r="I267" s="1673"/>
      <c r="J267" s="1673"/>
      <c r="K267" s="1678">
        <f t="shared" si="22"/>
        <v>33499</v>
      </c>
      <c r="L267" s="1573">
        <v>5000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78618</v>
      </c>
      <c r="E270" s="1673"/>
      <c r="F270" s="1673"/>
      <c r="G270" s="1673"/>
      <c r="H270" s="1673"/>
      <c r="I270" s="1673"/>
      <c r="J270" s="1673"/>
      <c r="K270" s="1674">
        <f>SUM(K263:K269)</f>
        <v>78618</v>
      </c>
      <c r="L270" s="1674">
        <f>SUM(L263:L269)</f>
        <v>48000</v>
      </c>
    </row>
    <row r="271" spans="1:14" ht="15.9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78618</v>
      </c>
      <c r="E279" s="1673"/>
      <c r="F279" s="1673"/>
      <c r="G279" s="1673"/>
      <c r="H279" s="1673"/>
      <c r="I279" s="1673"/>
      <c r="J279" s="1673"/>
      <c r="K279" s="1681">
        <f>SUM(K238,K243,K257,K261,K270,K277,K278)</f>
        <v>78618</v>
      </c>
      <c r="L279" s="1681">
        <f>SUM(L238,L243,L257,L261,L270,L277,L278)</f>
        <v>48000</v>
      </c>
    </row>
    <row r="280" spans="1:12" ht="15.9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95" customHeight="1" thickTop="1" x14ac:dyDescent="0.2">
      <c r="A281" s="1352" t="s">
        <v>141</v>
      </c>
      <c r="B281" s="1353" t="s">
        <v>855</v>
      </c>
      <c r="C281" s="1673"/>
      <c r="D281" s="1645"/>
      <c r="E281" s="1673"/>
      <c r="F281" s="1673"/>
      <c r="G281" s="1673"/>
      <c r="H281" s="1673"/>
      <c r="I281" s="1673"/>
      <c r="J281" s="1673"/>
      <c r="K281" s="1673"/>
      <c r="L281" s="1673"/>
    </row>
    <row r="282" spans="1:12" ht="15.95" customHeight="1" x14ac:dyDescent="0.2">
      <c r="A282" s="1466" t="s">
        <v>493</v>
      </c>
      <c r="B282" s="562" t="s">
        <v>1814</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v>27000</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27000</v>
      </c>
    </row>
    <row r="286" spans="1:12" ht="15.95" customHeight="1" thickTop="1" x14ac:dyDescent="0.2">
      <c r="A286" s="1350" t="s">
        <v>871</v>
      </c>
      <c r="B286" s="1347" t="s">
        <v>489</v>
      </c>
      <c r="C286" s="1673"/>
      <c r="D286" s="1673"/>
      <c r="E286" s="1673"/>
      <c r="F286" s="1673"/>
      <c r="G286" s="1673"/>
      <c r="H286" s="1673"/>
      <c r="I286" s="1673"/>
      <c r="J286" s="1673"/>
      <c r="K286" s="1673"/>
      <c r="L286" s="1673"/>
    </row>
    <row r="287" spans="1:12" ht="15.9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9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299966</v>
      </c>
      <c r="E295" s="1673"/>
      <c r="F295" s="1673"/>
      <c r="G295" s="1673"/>
      <c r="H295" s="1674">
        <f>H293</f>
        <v>0</v>
      </c>
      <c r="I295" s="1673"/>
      <c r="J295" s="1673"/>
      <c r="K295" s="1674">
        <f>SUM(K229,K279,K280,K285,K293,K294)</f>
        <v>299966</v>
      </c>
      <c r="L295" s="1674">
        <f>SUM(L229,L279,L280,L285,L293,L294)</f>
        <v>240000</v>
      </c>
    </row>
    <row r="296" spans="1:14" ht="13.5" thickTop="1" x14ac:dyDescent="0.2">
      <c r="A296" s="2263" t="s">
        <v>989</v>
      </c>
      <c r="B296" s="2264"/>
      <c r="C296" s="1673"/>
      <c r="D296" s="1675"/>
      <c r="E296" s="1673"/>
      <c r="F296" s="1673"/>
      <c r="G296" s="1673"/>
      <c r="H296" s="1707"/>
      <c r="I296" s="1673"/>
      <c r="J296" s="1673"/>
      <c r="K296" s="1689">
        <f>'Revenues 9-14'!G268-'Expenditures 15-22'!K295</f>
        <v>-21250</v>
      </c>
      <c r="L296" s="1707"/>
    </row>
    <row r="297" spans="1:14" s="540" customFormat="1" ht="9.1999999999999993"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95" customHeight="1" x14ac:dyDescent="0.2">
      <c r="A299" s="1350" t="s">
        <v>143</v>
      </c>
      <c r="B299" s="1353" t="s">
        <v>565</v>
      </c>
      <c r="C299" s="1673"/>
      <c r="D299" s="1673"/>
      <c r="E299" s="1673"/>
      <c r="F299" s="1673"/>
      <c r="G299" s="1673"/>
      <c r="H299" s="1673"/>
      <c r="I299" s="1673"/>
      <c r="J299" s="1673"/>
      <c r="K299" s="1673"/>
      <c r="L299" s="1673"/>
    </row>
    <row r="300" spans="1:14" ht="15.9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95" customHeight="1" thickTop="1" x14ac:dyDescent="0.2">
      <c r="A304" s="1350" t="s">
        <v>144</v>
      </c>
      <c r="B304" s="1351" t="s">
        <v>855</v>
      </c>
      <c r="C304" s="1673"/>
      <c r="D304" s="1673"/>
      <c r="E304" s="1673"/>
      <c r="F304" s="1673"/>
      <c r="G304" s="1673"/>
      <c r="H304" s="1673"/>
      <c r="I304" s="1673"/>
      <c r="J304" s="1673"/>
      <c r="K304" s="1673"/>
      <c r="L304" s="1673"/>
    </row>
    <row r="305" spans="1:14" ht="15.9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9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1999999999999993"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1999999999999993"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9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280</v>
      </c>
      <c r="C320" s="1574"/>
      <c r="D320" s="1574"/>
      <c r="E320" s="1574">
        <v>69654</v>
      </c>
      <c r="F320" s="1574"/>
      <c r="G320" s="1574"/>
      <c r="H320" s="1574"/>
      <c r="I320" s="1574"/>
      <c r="J320" s="1574"/>
      <c r="K320" s="1672">
        <f t="shared" ref="K320:K327" si="24">SUM(C320:J320)</f>
        <v>69654</v>
      </c>
      <c r="L320" s="1574">
        <v>60000</v>
      </c>
      <c r="M320" s="539"/>
      <c r="N320" s="539"/>
    </row>
    <row r="321" spans="1:14" s="548" customFormat="1" x14ac:dyDescent="0.2">
      <c r="A321" s="1289" t="s">
        <v>297</v>
      </c>
      <c r="B321" s="567" t="s">
        <v>281</v>
      </c>
      <c r="C321" s="1574"/>
      <c r="D321" s="1574"/>
      <c r="E321" s="1574">
        <v>502</v>
      </c>
      <c r="F321" s="1574"/>
      <c r="G321" s="1574"/>
      <c r="H321" s="1574"/>
      <c r="I321" s="1574"/>
      <c r="J321" s="1574"/>
      <c r="K321" s="1672">
        <f t="shared" si="24"/>
        <v>502</v>
      </c>
      <c r="L321" s="1574">
        <v>500</v>
      </c>
      <c r="M321" s="539"/>
      <c r="N321" s="539"/>
    </row>
    <row r="322" spans="1:14" s="548" customFormat="1" x14ac:dyDescent="0.2">
      <c r="A322" s="1289" t="s">
        <v>236</v>
      </c>
      <c r="B322" s="567" t="s">
        <v>282</v>
      </c>
      <c r="C322" s="1574"/>
      <c r="D322" s="1574"/>
      <c r="E322" s="1574">
        <v>69473</v>
      </c>
      <c r="F322" s="1574"/>
      <c r="G322" s="1574"/>
      <c r="H322" s="1574"/>
      <c r="I322" s="1574"/>
      <c r="J322" s="1574"/>
      <c r="K322" s="1672">
        <f t="shared" si="24"/>
        <v>69473</v>
      </c>
      <c r="L322" s="1574">
        <v>66500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f>880+11456+3669+450</f>
        <v>16455</v>
      </c>
      <c r="F325" s="1574"/>
      <c r="G325" s="1574"/>
      <c r="H325" s="1574"/>
      <c r="I325" s="1574"/>
      <c r="J325" s="1574"/>
      <c r="K325" s="1672">
        <f t="shared" si="24"/>
        <v>16455</v>
      </c>
      <c r="L325" s="1574">
        <v>15650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20238</v>
      </c>
      <c r="F327" s="1574"/>
      <c r="G327" s="1574"/>
      <c r="H327" s="1574"/>
      <c r="I327" s="1574"/>
      <c r="J327" s="1574"/>
      <c r="K327" s="1672">
        <f t="shared" si="24"/>
        <v>20238</v>
      </c>
      <c r="L327" s="1574">
        <v>19000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176322</v>
      </c>
      <c r="F330" s="1674">
        <f t="shared" si="25"/>
        <v>0</v>
      </c>
      <c r="G330" s="1674">
        <f t="shared" si="25"/>
        <v>0</v>
      </c>
      <c r="H330" s="1674">
        <f t="shared" si="25"/>
        <v>0</v>
      </c>
      <c r="I330" s="1674">
        <f t="shared" si="25"/>
        <v>0</v>
      </c>
      <c r="J330" s="1674">
        <f t="shared" si="25"/>
        <v>0</v>
      </c>
      <c r="K330" s="1674">
        <f>SUM(K319:K329)</f>
        <v>176322</v>
      </c>
      <c r="L330" s="1674">
        <f>SUM(L319:L329)</f>
        <v>161650</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95" customHeight="1" thickTop="1" x14ac:dyDescent="0.2">
      <c r="A335" s="1354" t="s">
        <v>893</v>
      </c>
      <c r="B335" s="1345" t="s">
        <v>489</v>
      </c>
      <c r="C335" s="1673"/>
      <c r="D335" s="1673"/>
      <c r="E335" s="1673"/>
      <c r="F335" s="1673"/>
      <c r="G335" s="1673"/>
      <c r="H335" s="1673"/>
      <c r="I335" s="1673"/>
      <c r="J335" s="1673"/>
      <c r="K335" s="1673"/>
      <c r="L335" s="1673"/>
    </row>
    <row r="336" spans="1:14" ht="15.9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9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176322</v>
      </c>
      <c r="F342" s="1674">
        <f>SUM(F330)</f>
        <v>0</v>
      </c>
      <c r="G342" s="1674">
        <f>SUM(G330)</f>
        <v>0</v>
      </c>
      <c r="H342" s="1674">
        <f>SUM(H330,H334,H340)</f>
        <v>0</v>
      </c>
      <c r="I342" s="1674">
        <f>SUM(I330)</f>
        <v>0</v>
      </c>
      <c r="J342" s="1674">
        <f>SUM(J330)</f>
        <v>0</v>
      </c>
      <c r="K342" s="1674">
        <f>SUM(K330,K334,K340)</f>
        <v>176322</v>
      </c>
      <c r="L342" s="1681">
        <f>SUM(L330,L334,L340,L341)</f>
        <v>161650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64380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95" customHeight="1" x14ac:dyDescent="0.2">
      <c r="A346" s="1361" t="s">
        <v>839</v>
      </c>
      <c r="B346" s="1353" t="s">
        <v>565</v>
      </c>
      <c r="C346" s="1673"/>
      <c r="D346" s="1673"/>
      <c r="E346" s="1673"/>
      <c r="F346" s="1673"/>
      <c r="G346" s="1673"/>
      <c r="H346" s="1673"/>
      <c r="I346" s="1673"/>
      <c r="J346" s="1673"/>
      <c r="K346" s="1673"/>
      <c r="L346" s="1673"/>
      <c r="M346" s="501"/>
      <c r="N346" s="501"/>
    </row>
    <row r="347" spans="1:14" ht="15.9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9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9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9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9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9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60356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elements/1.1/"/>
    <ds:schemaRef ds:uri="http://schemas.microsoft.com/sharepoint/v3"/>
    <ds:schemaRef ds:uri="http://schemas.microsoft.com/office/2006/metadata/properties"/>
    <ds:schemaRef ds:uri="http://schemas.microsoft.com/office/infopath/2007/PartnerControls"/>
    <ds:schemaRef ds:uri="d21dc803-237d-4c68-8692-8d731fd29118"/>
    <ds:schemaRef ds:uri="http://schemas.microsoft.com/office/2006/documentManagement/types"/>
    <ds:schemaRef ds:uri="http://schemas.openxmlformats.org/package/2006/metadata/core-properties"/>
    <ds:schemaRef ds:uri="4d435f69-8686-490b-bd6d-b153bf22ab50"/>
    <ds:schemaRef ds:uri="6ce3111e-7420-4802-b50a-75d4e9a0b980"/>
    <ds:schemaRef ds:uri="http://www.w3.org/XML/1998/namespac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2020-12-14T14:45:07Z</cp:lastPrinted>
  <dcterms:created xsi:type="dcterms:W3CDTF">2003-10-29T19:06:34Z</dcterms:created>
  <dcterms:modified xsi:type="dcterms:W3CDTF">2020-12-17T00:07:56Z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