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B1D712C-165D-4D0A-AEC1-92C40B08387D}" xr6:coauthVersionLast="36" xr6:coauthVersionMax="36" xr10:uidLastSave="{00000000-0000-0000-0000-000000000000}"/>
  <bookViews>
    <workbookView xWindow="0" yWindow="0" windowWidth="24000" windowHeight="91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31'!$A$1:$F$40</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0" i="183" l="1"/>
  <c r="F29" i="183"/>
  <c r="F28" i="183"/>
  <c r="F27" i="183"/>
  <c r="F26" i="183"/>
  <c r="F25" i="183"/>
  <c r="F24" i="183"/>
  <c r="F23" i="183"/>
  <c r="F22" i="183"/>
  <c r="F21" i="183"/>
  <c r="F20" i="183"/>
  <c r="F19"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1" i="183" l="1"/>
  <c r="A15" i="183"/>
  <c r="D82" i="36" l="1"/>
  <c r="F31" i="183"/>
  <c r="E3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8" i="127"/>
  <c r="B69" i="127"/>
  <c r="G26" i="108"/>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D24" i="37"/>
  <c r="B4270" i="106" s="1"/>
  <c r="D4270" i="106" s="1"/>
  <c r="B7696" i="106" l="1"/>
  <c r="D7696" i="106" s="1"/>
  <c r="E66" i="184"/>
  <c r="N66" i="184" s="1"/>
  <c r="B7189" i="106"/>
  <c r="D7189" i="106" s="1"/>
  <c r="E64" i="184"/>
  <c r="N64" i="184" s="1"/>
  <c r="B7171" i="106"/>
  <c r="D7171" i="106" s="1"/>
  <c r="E62" i="184"/>
  <c r="N62" i="184" s="1"/>
  <c r="B7135" i="106"/>
  <c r="D7135" i="106" s="1"/>
  <c r="E58" i="184"/>
  <c r="N58" i="184" s="1"/>
  <c r="G33" i="108"/>
  <c r="E17" i="184"/>
  <c r="H17" i="184" s="1"/>
  <c r="L22" i="37"/>
  <c r="F50" i="34"/>
  <c r="D36" i="108"/>
  <c r="F36" i="108"/>
  <c r="C342" i="29"/>
  <c r="B7216" i="106" s="1"/>
  <c r="D7216" i="106" s="1"/>
  <c r="B7705" i="106"/>
  <c r="D7705" i="106" s="1"/>
  <c r="E67" i="184"/>
  <c r="N67" i="184" s="1"/>
  <c r="B7162" i="106"/>
  <c r="D7162" i="106" s="1"/>
  <c r="E61" i="184"/>
  <c r="N61" i="184" s="1"/>
  <c r="B7126" i="106"/>
  <c r="D7126" i="106" s="1"/>
  <c r="E57" i="184"/>
  <c r="N57" i="184" s="1"/>
  <c r="B2836" i="106"/>
  <c r="D2836" i="106" s="1"/>
  <c r="D31" i="108"/>
  <c r="E16" i="184"/>
  <c r="H16" i="184" s="1"/>
  <c r="C129" i="29"/>
  <c r="B1225" i="106" s="1"/>
  <c r="D1225" i="106" s="1"/>
  <c r="F52" i="34"/>
  <c r="B7831" i="106" s="1"/>
  <c r="D7831" i="106" s="1"/>
  <c r="G30" i="108"/>
  <c r="H12" i="184"/>
  <c r="H19" i="184" s="1"/>
  <c r="L20" i="184" s="1"/>
  <c r="E19" i="184"/>
  <c r="F34" i="34"/>
  <c r="B7826" i="106" s="1"/>
  <c r="D7826" i="106" s="1"/>
  <c r="F77" i="4"/>
  <c r="B3255" i="106" s="1"/>
  <c r="D3255" i="106" s="1"/>
  <c r="B7198" i="106"/>
  <c r="D7198" i="106" s="1"/>
  <c r="E65" i="184"/>
  <c r="N65" i="184" s="1"/>
  <c r="B7180" i="106"/>
  <c r="D7180" i="106" s="1"/>
  <c r="E63" i="184"/>
  <c r="N63" i="184" s="1"/>
  <c r="B7153" i="106"/>
  <c r="D7153" i="106" s="1"/>
  <c r="E60" i="184"/>
  <c r="N60" i="184" s="1"/>
  <c r="N59" i="184"/>
  <c r="E68" i="184"/>
  <c r="F70"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B7235" i="106"/>
  <c r="D7235" i="106" s="1"/>
  <c r="D44" i="36"/>
  <c r="L16" i="11"/>
  <c r="B2061" i="106" s="1"/>
  <c r="D2061" i="106" s="1"/>
  <c r="E367" i="29"/>
  <c r="B3636" i="106" s="1"/>
  <c r="D3636" i="106" s="1"/>
  <c r="B3635" i="106"/>
  <c r="D3635" i="106" s="1"/>
  <c r="F41" i="108"/>
  <c r="G43" i="108" s="1"/>
  <c r="N23" i="3"/>
  <c r="B284" i="106" s="1"/>
  <c r="D284" i="106" s="1"/>
  <c r="N68" i="184"/>
  <c r="K342" i="29"/>
  <c r="F13" i="34"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F77" i="34"/>
  <c r="D8" i="146"/>
  <c r="J20" i="4"/>
  <c r="B6227" i="106"/>
  <c r="D6227" i="106" s="1"/>
  <c r="B6223" i="106"/>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<sst xmlns="http://schemas.openxmlformats.org/spreadsheetml/2006/main" count="5231" uniqueCount="2131">
  <si>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</si>
  <si>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</si>
  <si>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</si>
  <si>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</si>
  <si>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</si>
  <si>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</si>
  <si>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</si>
  <si>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</si>
  <si>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</si>
  <si>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</si>
  <si>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</si>
  <si>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</si>
  <si>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</si>
  <si>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</si>
  <si>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</si>
  <si>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</si>
  <si>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</si>
  <si>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</si>
  <si>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</si>
  <si>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</si>
  <si>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</si>
  <si>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</si>
  <si>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</si>
  <si>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</si>
  <si>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</si>
  <si>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</si>
  <si>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</si>
  <si>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</si>
  <si>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</si>
  <si>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</si>
  <si>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</si>
  <si>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</si>
  <si>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</si>
  <si>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</si>
  <si>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</si>
  <si>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</si>
  <si>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</si>
  <si>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</si>
  <si>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</si>
  <si>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</si>
  <si>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</si>
  <si>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</si>
  <si>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</si>
  <si>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</si>
  <si>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</si>
  <si>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</si>
  <si>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</si>
  <si>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</si>
  <si>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</si>
  <si>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</si>
  <si>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</si>
  <si>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</si>
  <si>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</si>
  <si>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</si>
  <si>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</si>
  <si>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</si>
  <si>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</si>
  <si>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</si>
  <si>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</si>
  <si>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</si>
  <si>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</si>
  <si>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</si>
  <si>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</si>
  <si>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</si>
  <si>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</si>
  <si>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</si>
  <si>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</si>
  <si>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</si>
  <si>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</si>
  <si>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</si>
  <si>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</si>
  <si>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</si>
  <si>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</si>
  <si>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</si>
  <si>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</si>
  <si>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</si>
  <si>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</si>
  <si>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</si>
  <si>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</si>
  <si>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</si>
  <si>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</si>
  <si>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</si>
  <si>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</si>
  <si>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</si>
  <si>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</si>
  <si>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</si>
  <si>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</si>
  <si>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</si>
  <si>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</si>
  <si>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</si>
  <si>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</si>
  <si>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</si>
  <si>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</si>
  <si>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</si>
  <si>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</si>
  <si>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</si>
  <si>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</si>
  <si>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</si>
  <si>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</si>
  <si>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</si>
  <si>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</si>
  <si>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</si>
  <si>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</si>
  <si>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</si>
  <si>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</si>
  <si>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</si>
  <si>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</si>
  <si>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</si>
  <si>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</si>
  <si>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</si>
  <si>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</si>
  <si>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</si>
  <si>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</si>
  <si>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</si>
  <si>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</si>
  <si>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</si>
  <si>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</si>
  <si>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</si>
  <si>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</si>
  <si>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</si>
  <si>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</si>
  <si>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</si>
  <si>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</si>
  <si>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</si>
  <si>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</si>
  <si>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</si>
  <si>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</si>
  <si>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</si>
  <si>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</si>
  <si>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</si>
  <si>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</si>
  <si>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</si>
  <si>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</si>
  <si>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</si>
  <si>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</si>
  <si>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</si>
  <si>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</si>
  <si>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</si>
  <si>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</si>
  <si>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</si>
  <si>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</si>
  <si>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</si>
  <si>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</si>
  <si>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</si>
  <si>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</si>
  <si>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</si>
  <si>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</si>
  <si>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</si>
  <si>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</si>
  <si>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</si>
  <si>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</si>
  <si>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</si>
  <si>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</si>
  <si>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</si>
  <si>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</si>
  <si>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</si>
  <si>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</si>
  <si>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</si>
  <si>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</si>
  <si>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</si>
  <si>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</si>
  <si>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</si>
  <si>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</si>
  <si>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</si>
  <si>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</si>
  <si>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</si>
  <si>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</si>
  <si>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</si>
  <si>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</si>
  <si>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</si>
  <si>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</si>
  <si>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</si>
  <si>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</si>
  <si>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</si>
  <si>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</si>
  <si>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</si>
  <si>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</si>
  <si>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</si>
  <si>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</si>
  <si>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</si>
  <si>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</si>
  <si>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</si>
  <si>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</si>
  <si>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</si>
  <si>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</si>
  <si>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</si>
  <si>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</si>
  <si>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</si>
  <si>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</si>
  <si>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</si>
  <si>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</si>
  <si>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</si>
  <si>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</si>
  <si>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</si>
  <si>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</si>
  <si>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</si>
  <si>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</si>
  <si>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</si>
  <si>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</si>
  <si>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</si>
  <si>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</si>
  <si>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</si>
  <si>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</si>
  <si>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</si>
  <si>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</si>
  <si>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</si>
  <si>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</si>
  <si>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</si>
  <si>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</si>
  <si>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</si>
  <si>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</si>
  <si>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</si>
  <si>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</si>
  <si>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</si>
  <si>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</si>
  <si>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</si>
  <si>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</si>
  <si>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</si>
  <si>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</si>
  <si>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</si>
  <si>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</si>
  <si>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</si>
  <si>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</si>
  <si>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</si>
  <si>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</si>
  <si>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</si>
  <si>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</si>
  <si>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</si>
  <si>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</si>
  <si>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</si>
  <si>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</si>
  <si>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</si>
  <si>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</si>
  <si>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</si>
  <si>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</si>
  <si>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</si>
  <si>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</si>
  <si>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</si>
  <si>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</si>
  <si>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</si>
  <si>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</si>
  <si>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</si>
  <si>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</si>
  <si>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</si>
  <si>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</si>
  <si>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</si>
  <si>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</si>
  <si>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</si>
  <si>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</si>
  <si>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</si>
  <si>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</si>
  <si>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</si>
  <si>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</si>
  <si>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</si>
  <si>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</si>
  <si>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</si>
  <si>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</si>
  <si>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</si>
  <si>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</si>
  <si>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</si>
  <si>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</si>
  <si>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</si>
  <si>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</si>
  <si>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</si>
  <si>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</si>
  <si>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</si>
  <si>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</si>
  <si>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</si>
  <si>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</si>
  <si>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</si>
  <si>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</si>
  <si>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</si>
  <si>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</si>
  <si>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</si>
  <si>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</si>
  <si>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</si>
  <si>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</si>
  <si>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</si>
  <si>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</si>
  <si>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</si>
  <si>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</si>
  <si>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</si>
  <si>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</si>
  <si>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</si>
  <si>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</si>
  <si>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</si>
  <si>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</si>
  <si>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</si>
  <si>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</si>
  <si>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</si>
  <si>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</si>
  <si>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</si>
  <si>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</si>
  <si>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</si>
  <si>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</si>
  <si>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</si>
  <si>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</si>
  <si>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</si>
  <si>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</si>
  <si>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</si>
  <si>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</si>
  <si>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</si>
  <si>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</si>
  <si>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</si>
  <si>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</si>
  <si>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</si>
  <si>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</si>
  <si>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</si>
  <si>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</si>
  <si>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</si>
  <si>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</si>
  <si>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</si>
  <si>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</si>
  <si>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</si>
  <si>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</si>
  <si>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</si>
  <si>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</si>
  <si>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</si>
  <si>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</si>
  <si>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</si>
  <si>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</si>
  <si>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</si>
  <si>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</si>
  <si>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</si>
  <si>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</si>
  <si>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</si>
  <si>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</si>
  <si>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</si>
  <si>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</si>
  <si>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</si>
  <si>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</si>
  <si>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</si>
  <si>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</si>
  <si>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</si>
  <si>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</si>
  <si>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</si>
  <si>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</si>
  <si>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</si>
  <si>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</si>
  <si>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</si>
  <si>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</si>
  <si>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</si>
  <si>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</si>
  <si>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</si>
  <si>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</si>
  <si>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</si>
  <si>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</si>
  <si>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</si>
  <si>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</si>
  <si>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</si>
  <si>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</si>
  <si>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</si>
  <si>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</si>
  <si>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</si>
  <si>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</si>
  <si>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</si>
  <si>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</si>
  <si>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</si>
  <si>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</si>
  <si>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</si>
  <si>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</si>
  <si>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</si>
  <si>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</si>
  <si>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</si>
  <si>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</si>
  <si>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</si>
  <si>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</si>
  <si>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</si>
  <si>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</si>
  <si>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</si>
  <si>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</si>
  <si>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</si>
  <si>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</si>
  <si>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</si>
  <si>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</si>
  <si>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</si>
  <si>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</si>
  <si>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</si>
  <si>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</si>
  <si>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</si>
  <si>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</si>
  <si>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</si>
  <si>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</si>
  <si>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</si>
  <si>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</si>
  <si>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</si>
  <si>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</si>
  <si>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</si>
  <si>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</si>
  <si>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</si>
  <si>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</si>
  <si>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</si>
  <si>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</si>
  <si>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</si>
  <si>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</si>
  <si>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</si>
  <si>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</si>
  <si>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</si>
  <si>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</si>
  <si>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</si>
  <si>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</si>
  <si>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</si>
  <si>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</si>
  <si>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</si>
  <si>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</si>
  <si>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</si>
  <si>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</si>
  <si>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</si>
  <si>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</si>
  <si>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</si>
  <si>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</si>
  <si>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</si>
  <si>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</si>
  <si>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</si>
  <si>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</si>
  <si>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</si>
  <si>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</si>
  <si>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</si>
  <si>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</si>
  <si>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</si>
  <si>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</si>
  <si>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</si>
  <si>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</si>
  <si>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</si>
  <si>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</si>
  <si>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</si>
  <si>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</si>
  <si>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</si>
  <si>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</si>
  <si>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</si>
  <si>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</si>
  <si>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</si>
  <si>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</si>
  <si>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</si>
  <si>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</si>
  <si>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</si>
  <si>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</si>
  <si>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</si>
  <si>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</si>
  <si>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</si>
  <si>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</si>
  <si>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</si>
  <si>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</si>
  <si>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</si>
  <si>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</si>
  <si>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</si>
  <si>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</si>
  <si>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</si>
  <si>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</si>
  <si>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</si>
  <si>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</si>
  <si>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</si>
  <si>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</si>
  <si>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</si>
  <si>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</si>
  <si>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</si>
  <si>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</si>
  <si>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</si>
  <si>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</si>
  <si>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</si>
  <si>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</si>
  <si>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</si>
  <si>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</si>
  <si>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</si>
  <si>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</si>
  <si>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</si>
  <si>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</si>
  <si>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</si>
  <si>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</si>
  <si>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</si>
  <si>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</si>
  <si>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</si>
  <si>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</si>
  <si>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</si>
  <si>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</si>
  <si>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</si>
  <si>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</si>
  <si>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</si>
  <si>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</si>
  <si>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</si>
  <si>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</si>
  <si>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</si>
  <si>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</si>
  <si>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</si>
  <si>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</si>
  <si>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</si>
  <si>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</si>
  <si>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</si>
  <si>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</si>
  <si>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</si>
  <si>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</si>
  <si>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</si>
  <si>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</si>
  <si>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</si>
  <si>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</si>
  <si>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</si>
  <si>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</si>
  <si>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</si>
  <si>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</si>
  <si>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</si>
  <si>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</si>
  <si>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</si>
  <si>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</si>
  <si>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</si>
  <si>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</si>
  <si>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</si>
  <si>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</si>
  <si>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</si>
  <si>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</si>
  <si>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</si>
  <si>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</si>
  <si>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</si>
  <si>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</si>
  <si>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</si>
  <si>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</si>
  <si>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</si>
  <si>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</si>
  <si>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</si>
  <si>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</si>
  <si>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</si>
  <si>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</si>
  <si>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</si>
  <si>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</si>
  <si>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</si>
  <si>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</si>
  <si>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</si>
  <si>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</si>
  <si>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</si>
  <si>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</si>
  <si>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</si>
  <si>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</si>
  <si>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</si>
  <si>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</si>
  <si>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</si>
  <si>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</si>
  <si>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</si>
  <si>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</si>
  <si>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</si>
  <si>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</si>
  <si>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</si>
  <si>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</si>
  <si>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</si>
  <si>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</si>
  <si>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</si>
  <si>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</si>
  <si>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</si>
  <si>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</si>
  <si>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</si>
  <si>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</si>
  <si>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</si>
  <si>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</si>
  <si>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</si>
  <si>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</si>
  <si>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</si>
  <si>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</si>
  <si>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</si>
  <si>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</si>
  <si>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</si>
  <si>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</si>
  <si>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</si>
  <si>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</si>
  <si>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</si>
  <si>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</si>
  <si>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</si>
  <si>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</si>
  <si>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</si>
  <si>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</si>
  <si>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</si>
  <si>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</si>
  <si>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</si>
  <si>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</si>
  <si>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</si>
  <si>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</si>
  <si>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</si>
  <si>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</si>
  <si>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</si>
  <si>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</si>
  <si>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</si>
  <si>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</si>
  <si>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</si>
  <si>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</si>
  <si>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</si>
  <si>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</si>
  <si>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</si>
  <si>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</si>
  <si>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</si>
  <si>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</si>
  <si>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</si>
  <si>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</si>
  <si>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</si>
  <si>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</si>
  <si>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</si>
  <si>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</si>
  <si>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</si>
  <si>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</si>
  <si>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</si>
  <si>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</si>
  <si>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</si>
  <si>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</si>
  <si>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</si>
  <si>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</si>
  <si>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</si>
  <si>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</si>
  <si>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</si>
  <si>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</si>
  <si>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</si>
  <si>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</si>
  <si>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</si>
  <si>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</si>
  <si>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</si>
  <si>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</si>
  <si>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</si>
  <si>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</si>
  <si>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</si>
  <si>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</si>
  <si>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</si>
  <si>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</si>
  <si>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</si>
  <si>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</si>
  <si>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</si>
  <si>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</si>
  <si>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</si>
  <si>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</si>
  <si>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</si>
  <si>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</si>
  <si>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</si>
  <si>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</si>
  <si>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</si>
  <si>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</si>
  <si>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</si>
  <si>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</si>
  <si>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</si>
  <si>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</si>
  <si>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</si>
  <si>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</si>
  <si>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</si>
  <si>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</si>
  <si>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</si>
  <si>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</si>
  <si>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</si>
  <si>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</si>
  <si>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</si>
  <si>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</si>
  <si>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</si>
  <si>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</si>
  <si>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</si>
  <si>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</si>
  <si>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</si>
  <si>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</si>
  <si>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</si>
  <si>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</si>
  <si>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</si>
  <si>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</si>
  <si>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</si>
  <si>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</si>
  <si>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</si>
  <si>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</si>
  <si>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</si>
  <si>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</si>
  <si>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</si>
  <si>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</si>
  <si>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</si>
  <si>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</si>
  <si>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</si>
  <si>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</si>
  <si>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</si>
  <si>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</si>
  <si>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</si>
  <si>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</si>
  <si>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</si>
  <si>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</si>
  <si>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</si>
  <si>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</si>
  <si>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</si>
  <si>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</si>
  <si>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</si>
  <si>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</si>
  <si>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</si>
  <si>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</si>
  <si>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</si>
  <si>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</si>
  <si>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</si>
  <si>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</si>
  <si>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</si>
  <si>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</si>
  <si>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</si>
  <si>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</si>
  <si>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</si>
  <si>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</si>
  <si>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</si>
  <si>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</si>
  <si>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</si>
  <si>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</si>
  <si>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</si>
  <si>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</si>
  <si>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</si>
  <si>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</si>
  <si>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</si>
  <si>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</si>
  <si>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</si>
  <si>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</si>
  <si>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</si>
  <si>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</si>
  <si>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</si>
  <si>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</si>
  <si>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</si>
  <si>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</si>
  <si>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</si>
  <si>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</si>
  <si>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</si>
  <si>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</si>
  <si>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</si>
  <si>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</si>
  <si>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</si>
  <si>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</si>
  <si>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</si>
  <si>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</si>
  <si>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</si>
  <si>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</si>
  <si>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</si>
  <si>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</si>
  <si>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</si>
  <si>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</si>
  <si>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</si>
  <si>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</si>
  <si>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</si>
  <si>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</si>
  <si>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</si>
  <si>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</si>
  <si>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</si>
  <si>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</si>
  <si>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</si>
  <si>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</si>
  <si>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</si>
  <si>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</si>
  <si>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</si>
  <si>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</si>
  <si>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</si>
  <si>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</si>
  <si>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</si>
  <si>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</si>
  <si>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</si>
  <si>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</si>
  <si>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</si>
  <si>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</si>
  <si>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</si>
  <si>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</si>
  <si>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</si>
  <si>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</si>
  <si>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</si>
  <si>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</si>
  <si>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</si>
  <si>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</si>
  <si>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</si>
  <si>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</si>
  <si>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</si>
  <si>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</si>
  <si>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</si>
  <si>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</si>
  <si>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</si>
  <si>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</si>
  <si>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</si>
  <si>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</si>
  <si>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</si>
  <si>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</si>
  <si>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</si>
  <si>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</si>
  <si>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</si>
  <si>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</si>
  <si>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</si>
  <si>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</si>
  <si>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</si>
  <si>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</si>
  <si>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</si>
  <si>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</si>
  <si>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</si>
  <si>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</si>
  <si>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</si>
  <si>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</si>
  <si>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</si>
  <si>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</si>
  <si>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</si>
  <si>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</si>
  <si>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</si>
  <si>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</si>
  <si>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</si>
  <si>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</si>
  <si>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</si>
  <si>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</si>
  <si>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</si>
  <si>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</si>
  <si>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</si>
  <si>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</si>
  <si>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</si>
  <si>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</si>
  <si>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</si>
  <si>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</si>
  <si>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</si>
  <si>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</si>
  <si>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</si>
  <si>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</si>
  <si>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</si>
  <si>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</si>
  <si>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</si>
  <si>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</si>
  <si>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</si>
  <si>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</si>
  <si>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</si>
  <si>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</si>
  <si>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</si>
  <si>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</si>
  <si>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</si>
  <si>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</si>
  <si>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</si>
  <si>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</si>
  <si>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</si>
  <si>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</si>
  <si>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</si>
  <si>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</si>
  <si>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</si>
  <si>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</si>
  <si>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</si>
  <si>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</si>
  <si>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</si>
  <si>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</si>
  <si>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</si>
  <si>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</si>
  <si>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</si>
  <si>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</si>
  <si>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</si>
  <si>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</si>
  <si>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</si>
  <si>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</si>
  <si>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</si>
  <si>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</si>
  <si>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</si>
  <si>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</si>
  <si>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</si>
  <si>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</si>
  <si>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</si>
  <si>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</si>
  <si>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</si>
  <si>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</si>
  <si>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</si>
  <si>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</si>
  <si>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</si>
  <si>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</si>
  <si>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</si>
  <si>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</si>
  <si>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</si>
  <si>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</si>
  <si>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</si>
  <si>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</si>
  <si>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</si>
  <si>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</si>
  <si>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</si>
  <si>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</si>
  <si>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</si>
  <si>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</si>
  <si>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</si>
  <si>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</si>
  <si>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</si>
  <si>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</si>
  <si>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</si>
  <si>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</si>
  <si>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</si>
  <si>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</si>
  <si>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</si>
  <si>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</si>
  <si>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</si>
  <si>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</si>
  <si>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</si>
  <si>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</si>
  <si>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</si>
  <si>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</si>
  <si>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</si>
  <si>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</si>
  <si>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</si>
  <si>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</si>
  <si>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</si>
  <si>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</si>
  <si>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</si>
  <si>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</si>
  <si>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</si>
  <si>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</si>
  <si>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</si>
  <si>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</si>
  <si>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</si>
  <si>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</si>
  <si>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</si>
  <si>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</si>
  <si>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</si>
  <si>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</si>
  <si>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</si>
  <si>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</si>
  <si>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</si>
  <si>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</si>
  <si>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</si>
  <si>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</si>
  <si>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</si>
  <si>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</si>
  <si>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</si>
  <si>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</si>
  <si>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</si>
  <si>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</si>
  <si>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</si>
  <si>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</si>
  <si>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</si>
  <si>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</si>
  <si>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</si>
  <si>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</si>
  <si>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</si>
  <si>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</si>
  <si>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</si>
  <si>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</si>
  <si>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</si>
  <si>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</si>
  <si>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</si>
  <si>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</si>
  <si>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</si>
  <si>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</si>
  <si>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</si>
  <si>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</si>
  <si>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</si>
  <si>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</si>
  <si>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</si>
  <si>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</si>
  <si>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</si>
  <si>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</si>
  <si>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</si>
  <si>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</si>
  <si>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</si>
  <si>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</si>
  <si>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</si>
  <si>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</si>
  <si>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</si>
  <si>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</si>
  <si>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</si>
  <si>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</si>
  <si>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</si>
  <si>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</si>
  <si>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</si>
  <si>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</si>
  <si>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</si>
  <si>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</si>
  <si>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</si>
  <si>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</si>
  <si>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</si>
  <si>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</si>
  <si>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</si>
  <si>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</si>
  <si>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</si>
  <si>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</si>
  <si>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</si>
  <si>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</si>
  <si>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</si>
  <si>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</si>
  <si>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</si>
  <si>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</si>
  <si>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</si>
  <si>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</si>
  <si>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</si>
  <si>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</si>
  <si>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</si>
  <si>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</si>
  <si>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</si>
  <si>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</si>
  <si>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</si>
  <si>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</si>
  <si>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</si>
  <si>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</si>
  <si>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</si>
  <si>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</si>
  <si>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</si>
  <si>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</si>
  <si>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</si>
  <si>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</si>
  <si>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</si>
  <si>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</si>
  <si>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</si>
  <si>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</si>
  <si>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</si>
  <si>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</si>
  <si>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</si>
  <si>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</si>
  <si>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</si>
  <si>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</si>
  <si>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</si>
  <si>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</si>
  <si>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</si>
  <si>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</si>
  <si>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</si>
  <si>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</si>
  <si>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</si>
  <si>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</si>
  <si>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</si>
  <si>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</si>
  <si>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</si>
  <si>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</si>
  <si>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</si>
  <si>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</si>
  <si>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</si>
  <si>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</si>
  <si>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</si>
  <si>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</si>
  <si>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</si>
  <si>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</si>
  <si>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</si>
  <si>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</si>
  <si>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</si>
  <si>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</si>
  <si>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</si>
  <si>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</si>
  <si>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</si>
  <si>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</si>
  <si>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</si>
  <si>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</si>
  <si>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</si>
  <si>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</si>
  <si>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</si>
  <si>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</si>
  <si>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</si>
  <si>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</si>
  <si>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</si>
  <si>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</si>
  <si>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</si>
  <si>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</si>
  <si>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</si>
  <si>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</si>
  <si>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</si>
  <si>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</si>
  <si>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</si>
  <si>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</si>
  <si>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</si>
  <si>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</si>
  <si>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</si>
  <si>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</si>
  <si>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</si>
  <si>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</si>
  <si>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</si>
  <si>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</si>
  <si>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</si>
  <si>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</si>
  <si>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</si>
  <si>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</si>
  <si>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</si>
  <si>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</si>
  <si>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</si>
  <si>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</si>
  <si>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</si>
  <si>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</si>
  <si>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</si>
  <si>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</si>
  <si>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</si>
  <si>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</si>
  <si>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</si>
  <si>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</si>
  <si>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</si>
  <si>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</si>
  <si>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</si>
  <si>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</si>
  <si>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</si>
  <si>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</si>
  <si>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</si>
  <si>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</si>
  <si>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</si>
  <si>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</si>
  <si>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</si>
  <si>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</si>
  <si>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</si>
  <si>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</si>
  <si>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</si>
  <si>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</si>
  <si>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</si>
  <si>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</si>
  <si>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</si>
  <si>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</si>
  <si>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</si>
  <si>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</si>
  <si>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</si>
  <si>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</si>
  <si>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</si>
  <si>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</si>
  <si>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</si>
  <si>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</si>
  <si>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</si>
  <si>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</si>
  <si>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</si>
  <si>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</si>
  <si>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</si>
  <si>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</si>
  <si>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</si>
  <si>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</si>
  <si>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</si>
  <si>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</si>
  <si>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</si>
  <si>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</si>
  <si>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</si>
  <si>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</si>
  <si>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</si>
  <si>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</si>
  <si>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</si>
  <si>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</si>
  <si>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</si>
  <si>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</si>
  <si>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</si>
  <si>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</si>
  <si>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</si>
  <si>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</si>
  <si>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</si>
  <si>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</si>
  <si>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</si>
  <si>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</si>
  <si>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</si>
  <si>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</si>
  <si>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</si>
  <si>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</si>
  <si>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</si>
  <si>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</si>
  <si>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</si>
  <si>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</si>
  <si>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</si>
  <si>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</si>
  <si>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</si>
  <si>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</si>
  <si>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</si>
  <si>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</si>
  <si>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</si>
  <si>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</si>
  <si>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</si>
  <si>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</si>
  <si>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</si>
  <si>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</si>
  <si>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</si>
  <si>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</si>
  <si>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</si>
  <si>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</si>
  <si>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</si>
  <si>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</si>
  <si>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</si>
  <si>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</si>
  <si>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</si>
  <si>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</si>
  <si>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</si>
  <si>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</si>
  <si>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</si>
  <si>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</si>
  <si>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</si>
  <si>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</si>
  <si>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</si>
  <si>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</si>
  <si>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</si>
  <si>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</si>
  <si>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</si>
  <si>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</si>
  <si>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</si>
  <si>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</si>
  <si>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</si>
  <si>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</si>
  <si>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</si>
  <si>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</si>
  <si>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</si>
  <si>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</si>
  <si>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</si>
  <si>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</si>
  <si>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</si>
  <si>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</si>
  <si>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</si>
  <si>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</si>
  <si>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</si>
  <si>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</si>
  <si>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</si>
  <si>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</si>
  <si>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</si>
  <si>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</si>
  <si>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</si>
  <si>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</si>
  <si>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</si>
  <si>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</si>
  <si>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</si>
  <si>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</si>
  <si>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</si>
  <si>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</si>
  <si>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</si>
  <si>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</si>
  <si>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</si>
  <si>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</si>
  <si>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</si>
  <si>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</si>
  <si>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</si>
  <si>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</si>
  <si>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</si>
  <si>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</si>
  <si>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</si>
  <si>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</si>
  <si>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</si>
  <si>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</si>
  <si>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</si>
  <si>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</si>
  <si>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</si>
  <si>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</si>
  <si>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</si>
  <si>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</si>
  <si>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</si>
  <si>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</si>
  <si>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</si>
  <si>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</si>
  <si>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</si>
  <si>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</si>
  <si>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</si>
  <si>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</si>
  <si>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</si>
  <si>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</si>
  <si>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</si>
  <si>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</si>
  <si>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</si>
  <si>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</si>
  <si>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</si>
  <si>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</si>
  <si>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</si>
  <si>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</si>
  <si>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</si>
  <si>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</si>
  <si>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</si>
  <si>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</si>
  <si>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</si>
  <si>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</si>
  <si>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</si>
  <si>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</si>
  <si>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</si>
  <si>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</si>
  <si>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</si>
  <si>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</si>
  <si>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</si>
  <si>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</si>
  <si>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</si>
  <si>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</si>
  <si>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</si>
  <si>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</si>
  <si>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</si>
  <si>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</si>
  <si>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</si>
  <si>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</si>
  <si>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</si>
  <si>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</si>
  <si>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</si>
  <si>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</si>
  <si>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</si>
  <si>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</si>
  <si>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</si>
  <si>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</si>
  <si>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</si>
  <si>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</si>
  <si>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</si>
  <si>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</si>
  <si>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</si>
  <si>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</si>
  <si>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</si>
  <si>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</si>
  <si>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</si>
  <si>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</si>
  <si>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</si>
  <si>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</si>
  <si>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</si>
  <si>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</si>
  <si>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</si>
  <si>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</si>
  <si>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</si>
  <si>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</si>
  <si>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</si>
  <si>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</si>
  <si>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</si>
  <si>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</si>
  <si>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</si>
  <si>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</si>
  <si>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</si>
  <si>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</si>
  <si>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</si>
  <si>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</si>
  <si>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</si>
  <si>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</si>
  <si>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</si>
  <si>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</si>
  <si>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</si>
  <si>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</si>
  <si>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</si>
  <si>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</si>
  <si>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</si>
  <si>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</si>
  <si>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</si>
  <si>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</si>
  <si>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</si>
  <si>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</si>
  <si>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</si>
  <si>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</si>
  <si>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</si>
  <si>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</si>
  <si>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</si>
  <si>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</si>
  <si>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</si>
  <si>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</si>
  <si>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</si>
  <si>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</si>
  <si>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</si>
  <si>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</si>
  <si>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</si>
  <si>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</si>
  <si>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</si>
  <si>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</si>
  <si>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</si>
  <si>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</si>
  <si>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</si>
  <si>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</si>
  <si>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</si>
  <si>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</si>
  <si>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</si>
  <si>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</si>
  <si>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</si>
  <si>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</si>
  <si>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</si>
  <si>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</si>
  <si>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</si>
  <si>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</si>
  <si>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</si>
  <si>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</si>
  <si>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</si>
  <si>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</si>
  <si>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</si>
  <si>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</si>
  <si>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</si>
  <si>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</si>
  <si>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</si>
  <si>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</si>
  <si>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</si>
  <si>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</si>
  <si>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</si>
  <si>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</si>
  <si>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</si>
  <si>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</si>
  <si>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</si>
  <si>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</si>
  <si>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</si>
  <si>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</si>
  <si>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</si>
  <si>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</si>
  <si>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</si>
  <si>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</si>
  <si>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</si>
  <si>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</si>
  <si>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</si>
  <si>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</si>
  <si>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</si>
  <si>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</si>
  <si>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</si>
  <si>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</si>
  <si>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</si>
  <si>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</si>
  <si>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</si>
  <si>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</si>
  <si>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</si>
  <si>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</si>
  <si>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</si>
  <si>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</si>
  <si>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</si>
  <si>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</si>
  <si>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</si>
  <si>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</si>
  <si>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</si>
  <si>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</si>
  <si>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</si>
  <si>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</si>
  <si>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</si>
  <si>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</si>
  <si>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</si>
  <si>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</si>
  <si>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</si>
  <si>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</si>
  <si>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</si>
  <si>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</si>
  <si>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</si>
  <si>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</si>
  <si>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</si>
  <si>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</si>
  <si>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</si>
  <si>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</si>
  <si>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</si>
  <si>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</si>
  <si>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</si>
  <si>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</si>
  <si>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</si>
  <si>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</si>
  <si>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</si>
  <si>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</si>
  <si>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</si>
  <si>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</si>
  <si>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</si>
  <si>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</si>
  <si>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</si>
  <si>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</si>
  <si>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</si>
  <si>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</si>
  <si>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</si>
  <si>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</si>
  <si>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</si>
  <si>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</si>
  <si>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</si>
  <si>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</si>
  <si>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</si>
  <si>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</si>
  <si>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</si>
  <si>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</si>
  <si>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</si>
  <si>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</si>
  <si>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</si>
  <si>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</si>
  <si>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</si>
  <si>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</si>
  <si>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</si>
  <si>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</si>
  <si>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</si>
  <si>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</si>
  <si>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</si>
  <si>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</si>
  <si>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</si>
  <si>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</si>
  <si>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</si>
  <si>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</si>
  <si>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</si>
  <si>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</si>
  <si>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</si>
  <si>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</si>
  <si>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</si>
  <si>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</si>
  <si>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</si>
  <si>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</si>
  <si>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</si>
  <si>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</si>
  <si>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</si>
  <si>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</si>
  <si>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</si>
  <si>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</si>
  <si>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</si>
  <si>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</si>
  <si>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</si>
  <si>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</si>
  <si>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</si>
  <si>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</si>
  <si>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</si>
  <si>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</si>
  <si>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</si>
  <si>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</si>
  <si>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</si>
  <si>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</si>
  <si>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</si>
  <si>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</si>
  <si>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</si>
  <si>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</si>
  <si>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</si>
  <si>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</si>
  <si>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</si>
  <si>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</si>
  <si>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</si>
  <si>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</si>
  <si>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</si>
  <si>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</si>
  <si>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</si>
  <si>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</si>
  <si>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</si>
  <si>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</si>
  <si>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</si>
  <si>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</si>
  <si>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</si>
  <si>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</si>
  <si>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</si>
  <si>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</si>
  <si>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</si>
  <si>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</si>
  <si>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</si>
  <si>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</si>
  <si>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</si>
  <si>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</si>
  <si>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</si>
  <si>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</si>
  <si>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</si>
  <si>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</si>
  <si>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</si>
  <si>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</si>
  <si>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</si>
  <si>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</si>
  <si>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</si>
  <si>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</si>
  <si>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</si>
  <si>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</si>
  <si>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</si>
  <si>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</si>
  <si>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</si>
  <si>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</si>
  <si>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</si>
  <si>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</si>
  <si>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</si>
  <si>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</si>
  <si>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</si>
  <si>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</si>
  <si>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</si>
  <si>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</si>
  <si>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</si>
  <si>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</si>
  <si>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</si>
  <si>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</si>
  <si>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</si>
  <si>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</si>
  <si>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</si>
  <si>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</si>
  <si>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</si>
  <si>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</si>
  <si>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</si>
  <si>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</si>
  <si>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</si>
  <si>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</si>
  <si>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</si>
  <si>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</si>
  <si>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</si>
  <si>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</si>
  <si>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</si>
  <si>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</si>
  <si>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</si>
  <si>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</si>
  <si>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</si>
  <si>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</si>
  <si>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</si>
  <si>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</si>
  <si>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</si>
  <si>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</si>
  <si>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</si>
  <si>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</si>
  <si>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</si>
  <si>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</si>
  <si>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</si>
  <si>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</si>
  <si>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</si>
  <si>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</si>
  <si>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</si>
  <si>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</si>
  <si>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</si>
  <si>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</si>
  <si>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</si>
  <si>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</si>
  <si>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</si>
  <si>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</si>
  <si>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</si>
  <si>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</si>
  <si>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</si>
  <si>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</si>
  <si>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</si>
  <si>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</si>
  <si>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</si>
  <si>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</si>
  <si>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</si>
  <si>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</si>
  <si>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</si>
  <si>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</si>
  <si>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</si>
  <si>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</si>
  <si>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</si>
  <si>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</si>
  <si>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</si>
  <si>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</si>
  <si>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</si>
  <si>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</si>
  <si>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</si>
  <si>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</si>
  <si>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</si>
  <si>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</si>
  <si>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</si>
  <si>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</si>
  <si>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</si>
  <si>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</si>
  <si>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</si>
  <si>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</si>
  <si>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</si>
  <si>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</si>
  <si>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</si>
  <si>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</si>
  <si>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</si>
  <si>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</si>
  <si>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</si>
  <si>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</si>
  <si>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</si>
  <si>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</si>
  <si>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</si>
  <si>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</si>
  <si>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</si>
  <si>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</si>
  <si>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</si>
  <si>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</si>
  <si>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</si>
  <si>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</si>
  <si>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</si>
  <si>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</si>
  <si>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</si>
  <si>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</si>
  <si>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</si>
  <si>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</si>
  <si>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</si>
  <si>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</si>
  <si>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</si>
  <si>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</si>
  <si>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</si>
  <si>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</si>
  <si>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</si>
  <si>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</si>
  <si>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</si>
  <si>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</si>
  <si>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</si>
  <si>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</si>
  <si>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</si>
  <si>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</si>
  <si>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</si>
  <si>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</si>
  <si>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</si>
  <si>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</si>
  <si>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</si>
  <si>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</si>
  <si>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</si>
  <si>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</si>
  <si>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</si>
  <si>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</si>
  <si>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</si>
  <si>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</si>
  <si>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</si>
  <si>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</si>
  <si>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</si>
  <si>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</si>
  <si>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</si>
  <si>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</si>
  <si>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</si>
  <si>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</si>
  <si>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</si>
  <si>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</si>
  <si>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</si>
  <si>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</si>
  <si>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</si>
  <si>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</si>
  <si>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</si>
  <si>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</si>
  <si>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</si>
  <si>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</si>
  <si>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</si>
  <si>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</si>
  <si>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</si>
  <si>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</si>
  <si>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</si>
  <si>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</si>
  <si>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</si>
  <si>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</si>
  <si>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</si>
  <si>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</si>
  <si>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</si>
  <si>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</si>
  <si>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</si>
  <si>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</si>
  <si>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</si>
  <si>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</si>
  <si>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</si>
  <si>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</si>
  <si>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</si>
  <si>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</si>
  <si>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</si>
  <si>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</si>
  <si>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</si>
  <si>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</si>
  <si>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</si>
  <si>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</si>
  <si>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</si>
  <si>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</si>
  <si>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</si>
  <si>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</si>
  <si>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</si>
  <si>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</si>
  <si>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</si>
  <si>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</si>
  <si>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</si>
  <si>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</si>
  <si>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</si>
  <si>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</si>
  <si>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</si>
  <si>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</si>
  <si>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</si>
  <si>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</si>
  <si>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</si>
  <si>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</si>
  <si>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</si>
  <si>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</si>
  <si>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</si>
  <si>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</si>
  <si>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</si>
  <si>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</si>
  <si>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</si>
  <si>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</si>
  <si>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</si>
  <si>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</si>
  <si>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</si>
  <si>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</si>
  <si>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</si>
  <si>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</si>
  <si>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</si>
  <si>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</si>
  <si>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</si>
  <si>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</si>
  <si>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</si>
  <si>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</si>
  <si>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</si>
  <si>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</si>
  <si>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</si>
  <si>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</si>
  <si>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</si>
  <si>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</si>
  <si>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</si>
  <si>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</si>
  <si>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</si>
  <si>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</si>
  <si>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</si>
  <si>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</si>
  <si>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</si>
  <si>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</si>
  <si>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</si>
  <si>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</si>
  <si>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</si>
  <si>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</si>
  <si>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</si>
  <si>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</si>
  <si>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</si>
  <si>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</si>
  <si>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</si>
  <si>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</si>
  <si>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</si>
  <si>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</si>
  <si>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</si>
  <si>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</si>
  <si>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</si>
  <si>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</si>
  <si>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</si>
  <si>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</si>
  <si>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</si>
  <si>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</si>
  <si>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</si>
  <si>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</si>
  <si>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</si>
  <si>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</si>
  <si>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</si>
  <si>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</si>
  <si>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</si>
  <si>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</si>
  <si>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</si>
  <si>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</si>
  <si>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</si>
  <si>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</si>
  <si>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</si>
  <si>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</si>
  <si>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</si>
  <si>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</si>
  <si>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</si>
  <si>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</si>
  <si>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</si>
  <si>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</si>
  <si>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</si>
  <si>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</si>
  <si>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</si>
  <si>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</si>
  <si>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</si>
  <si>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</si>
  <si>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</si>
  <si>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</si>
  <si>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</si>
  <si>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</si>
  <si>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</si>
  <si>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</si>
  <si>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</si>
  <si>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</si>
  <si>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</si>
  <si>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</si>
  <si>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</si>
  <si>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</si>
  <si>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</si>
  <si>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</si>
  <si>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</si>
  <si>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</si>
  <si>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</si>
  <si>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</si>
  <si>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</si>
  <si>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</si>
  <si>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</si>
  <si>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</si>
  <si>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</si>
  <si>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</si>
  <si>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</si>
  <si>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</si>
  <si>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</si>
  <si>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</si>
  <si>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</si>
  <si>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</si>
  <si>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</si>
  <si>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</si>
  <si>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</si>
  <si>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</si>
  <si>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</si>
  <si>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</si>
  <si>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</si>
  <si>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</si>
  <si>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</si>
  <si>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</si>
  <si>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</si>
  <si>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</si>
  <si>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</si>
  <si>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</si>
  <si>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</si>
  <si>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</si>
  <si>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</si>
  <si>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</si>
  <si>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</si>
  <si>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</si>
  <si>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</si>
  <si>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</si>
  <si>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</si>
  <si>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</si>
  <si>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</si>
  <si>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</si>
  <si>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</si>
  <si>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</si>
  <si>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</si>
  <si>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</si>
  <si>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</si>
  <si>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</si>
  <si>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</si>
  <si>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</si>
  <si>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</si>
  <si>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</si>
  <si>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</si>
  <si>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</si>
  <si>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</si>
  <si>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</si>
  <si>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</si>
  <si>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</si>
  <si>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</si>
  <si>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</si>
  <si>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</si>
  <si>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</si>
  <si>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</si>
  <si>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</si>
  <si>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</si>
  <si>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</si>
  <si>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</si>
  <si>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</si>
  <si>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</si>
  <si>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</si>
  <si>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</si>
  <si>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</si>
  <si>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</si>
  <si>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</si>
  <si>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</si>
  <si>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</si>
  <si>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</si>
  <si>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</si>
  <si>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</si>
  <si>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</si>
  <si>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</si>
  <si>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</si>
  <si>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</si>
  <si>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</si>
  <si>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</si>
  <si>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</si>
  <si>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</si>
  <si>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</si>
  <si>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</si>
  <si>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</si>
  <si>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</si>
  <si>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</si>
  <si>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</si>
  <si>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</si>
  <si>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</si>
  <si>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</si>
  <si>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</si>
  <si>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</si>
  <si>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</si>
  <si>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</si>
  <si>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</si>
  <si>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</si>
  <si>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</si>
  <si>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</si>
  <si>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</si>
  <si>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</si>
  <si>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</si>
  <si>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</si>
  <si>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</si>
  <si>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</si>
  <si>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</si>
  <si>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</si>
  <si>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</si>
  <si>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</si>
  <si>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</si>
  <si>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</si>
  <si>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</si>
  <si>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</si>
  <si>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</si>
  <si>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</si>
  <si>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</si>
  <si>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</si>
  <si>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</si>
  <si>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</si>
  <si>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</si>
  <si>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</si>
  <si>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</si>
  <si>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</si>
  <si>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</si>
  <si>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</si>
  <si>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</si>
  <si>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</si>
  <si>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</si>
  <si>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</si>
  <si>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</si>
  <si>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</si>
  <si>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</si>
  <si>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</si>
  <si>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</si>
  <si>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</si>
  <si>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</si>
  <si>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</si>
  <si>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</si>
  <si>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</si>
  <si>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</si>
  <si>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</si>
  <si>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</si>
  <si>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</si>
  <si>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</si>
  <si>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</si>
  <si>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</si>
  <si>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</si>
  <si>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</si>
  <si>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</si>
  <si>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</si>
  <si>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</si>
  <si>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</si>
  <si>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</si>
  <si>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</si>
  <si>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</si>
  <si>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</si>
  <si>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</si>
  <si>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</si>
  <si>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</si>
  <si>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</si>
  <si>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</si>
  <si>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</si>
  <si>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</si>
  <si>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</si>
  <si>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</si>
  <si>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</si>
  <si>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</si>
  <si>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</si>
  <si>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</si>
  <si>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</si>
  <si>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</si>
  <si>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</si>
  <si>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</si>
  <si>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</si>
  <si>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</si>
  <si>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</si>
  <si>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</si>
  <si>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</si>
  <si>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</si>
  <si>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</si>
  <si>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</si>
  <si>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</si>
  <si>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</si>
  <si>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</si>
  <si>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</si>
  <si>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</si>
  <si>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</si>
  <si>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</si>
  <si>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</si>
  <si>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</si>
  <si>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</si>
  <si>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</si>
  <si>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</si>
  <si>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</si>
  <si>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</si>
  <si>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</si>
  <si>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</si>
  <si>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</si>
  <si>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</si>
  <si>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</si>
  <si>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</si>
  <si>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</si>
  <si>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</si>
  <si>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</si>
  <si>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</si>
  <si>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</si>
  <si>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</si>
  <si>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</si>
  <si>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</si>
  <si>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</si>
  <si>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</si>
  <si>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</si>
  <si>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</si>
  <si>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</si>
  <si>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</si>
  <si>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</si>
  <si>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</si>
  <si>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</si>
  <si>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</si>
  <si>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</si>
  <si>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</si>
  <si>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</si>
  <si>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</si>
  <si>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</si>
  <si>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</si>
  <si>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</si>
  <si>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</si>
  <si>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</si>
  <si>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</si>
  <si>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</si>
  <si>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</si>
  <si>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</si>
  <si>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</si>
  <si>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</si>
  <si>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</si>
  <si>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</si>
  <si>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</si>
  <si>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</si>
  <si>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</si>
  <si>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</si>
  <si>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</si>
  <si>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</si>
  <si>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</si>
  <si>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</si>
  <si>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</si>
  <si>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</si>
  <si>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</si>
  <si>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</si>
  <si>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</si>
  <si>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</si>
  <si>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</si>
  <si>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</si>
  <si>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</si>
  <si>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</si>
  <si>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</si>
  <si>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</si>
  <si>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</si>
  <si>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</si>
  <si>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</si>
  <si>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</si>
  <si>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</si>
  <si>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</si>
  <si>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Henderson</t>
  </si>
  <si>
    <t>1514 Old US Rt 34</t>
  </si>
  <si>
    <t>Biggsville</t>
  </si>
  <si>
    <t>markey-paula@wc235.k12.il.us</t>
  </si>
  <si>
    <t>Mrs. Paula Markey</t>
  </si>
  <si>
    <t>309-627-2371</t>
  </si>
  <si>
    <t>309-627-2453</t>
  </si>
  <si>
    <t>Cavanaugh, Davies, Blackman &amp; Cramblet, CPA's</t>
  </si>
  <si>
    <t>Rod Davies</t>
  </si>
  <si>
    <t>1021 North Main Street, PO Box 318</t>
  </si>
  <si>
    <t>Monmouth</t>
  </si>
  <si>
    <t>IL</t>
  </si>
  <si>
    <t>309-734-2330</t>
  </si>
  <si>
    <t>309-734-2349</t>
  </si>
  <si>
    <t>cdbccpas@monmouthcpa.com</t>
  </si>
  <si>
    <t>Mrs. Jodi Scott</t>
  </si>
  <si>
    <t>jscott@roe.net</t>
  </si>
  <si>
    <t>309-734-6822</t>
  </si>
  <si>
    <t>309-734-2452</t>
  </si>
  <si>
    <t>2013 General Obligation Life Safety Bonds</t>
  </si>
  <si>
    <t>2016 General Obligation Life Safety Bonds</t>
  </si>
  <si>
    <t>Trans-Pupil Transportation-Purchased Services</t>
  </si>
  <si>
    <t>Midwest Bus Leasing</t>
  </si>
  <si>
    <t>NEXTERA Energy/Constellation</t>
  </si>
  <si>
    <t>Western Area Plan</t>
  </si>
  <si>
    <t>West Central Special Ed Co-op</t>
  </si>
  <si>
    <t>Western Area Purchasing Co-op</t>
  </si>
  <si>
    <t>Statement on Auditing Standards 115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</si>
  <si>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 xml:space="preserve">A limited number of key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t>
  </si>
  <si>
    <t>All District accounting financial records are maintained by a limited number of employees.</t>
  </si>
  <si>
    <t xml:space="preserve">Certain individuals have the ability to complete and record accounting functions which ideally would be segregated.  The accounting and control of the Activity and Imprest Funds are maintained by a single individual at most locations. </t>
  </si>
  <si>
    <t xml:space="preserve">Segregation of duties is normally difficult to accomplish within a small governmental entity.  This corrective action is not practical in the circumstances, because the cost of implementing internal control procedures should not exceed the benefit derived. </t>
  </si>
  <si>
    <t>It is not economically feasible for the District to hire extra bookkeeping personnel at this time.</t>
  </si>
  <si>
    <t>2019-001</t>
  </si>
  <si>
    <t>Inadequate Segregation of Duties</t>
  </si>
  <si>
    <t>Repeat Finding - Corrective Action is not Practical</t>
  </si>
  <si>
    <t>in the Current Circumstances.</t>
  </si>
  <si>
    <t>2019-2</t>
  </si>
  <si>
    <t>Economic Interest Statements not Timely</t>
  </si>
  <si>
    <t>Filed</t>
  </si>
  <si>
    <t>All Economic Interest Statements were Timely Filed</t>
  </si>
  <si>
    <t>for FY20.</t>
  </si>
  <si>
    <t>2019-3</t>
  </si>
  <si>
    <t>Not all District Funds were Fully</t>
  </si>
  <si>
    <t>Collateralized</t>
  </si>
  <si>
    <t>Education Fund</t>
  </si>
  <si>
    <t>Sales to Pupils - Other #1614, Page 10, Line 72</t>
  </si>
  <si>
    <t>$3,022  Milk Money</t>
  </si>
  <si>
    <t>Other District/School Activity Revenue #1790, Page 10, Line 81</t>
  </si>
  <si>
    <t>$475  Enrichment Program</t>
  </si>
  <si>
    <t>Sales - Other #1829, Page 10, Line 91</t>
  </si>
  <si>
    <t>$675  Chromebook Sales</t>
  </si>
  <si>
    <t>Other Local Revenues #1999, Page 11, Line 107</t>
  </si>
  <si>
    <t>$1,811  Health Insurance Refunds</t>
  </si>
  <si>
    <t>Other Restricted Revenue from State Sources #3999, Page 12, Line 168</t>
  </si>
  <si>
    <t>$750 State Library Grant</t>
  </si>
  <si>
    <t>$18,708  #4331 Title I - School Improvement</t>
  </si>
  <si>
    <t>Title I - Other #4399, Page 13, Line 203</t>
  </si>
  <si>
    <t>Operations and Maintenance Fund</t>
  </si>
  <si>
    <t>$100  Restitution</t>
  </si>
  <si>
    <t>$32  Scrap Sales</t>
  </si>
  <si>
    <t>Debt Services Fund</t>
  </si>
  <si>
    <t>Debt Service - Other #5400, Page 18, Line 171</t>
  </si>
  <si>
    <t>$318 Bond Administrative Fees</t>
  </si>
  <si>
    <t>$3,176  Reimbursements</t>
  </si>
  <si>
    <t>Schedule of Restricted Local Tax Levies and Selected Revenue Sources</t>
  </si>
  <si>
    <t>Other Disbursements, Page 25, Line 22</t>
  </si>
  <si>
    <t>$191,310  Special Education Tuition</t>
  </si>
  <si>
    <t>$728  Refunds</t>
  </si>
  <si>
    <t>Illinois Public Funds Deposit Act requires that the District's funds deposited in financial institutions must be insured or secured with acceptable collateral.  Acceptable collateral includes certain U.S. Government or government agency securities, certain state or political subdivision debt obligations, surety bonds, or certain letters of credit.</t>
  </si>
  <si>
    <t>At year end, $6,102 of the District's uninsured deposits were not collateralized.</t>
  </si>
  <si>
    <t>The treasurer and office personnel should monitor the District's cash positions in local banks to ensure adequate deposit insurance and acceptable collateral.</t>
  </si>
  <si>
    <t>The superintendent will appoint an office staff member to monitor bank balances and levels of bank collateralization.</t>
  </si>
  <si>
    <t>Repeat Finding</t>
  </si>
  <si>
    <t>Cavanaugh, Davies, Blackman &amp; Cramblet</t>
  </si>
  <si>
    <t>Delabar CTE System</t>
  </si>
  <si>
    <t>$10,000  Blue Cross/Blue Shield Incentive</t>
  </si>
  <si>
    <t>$2,270  Scholarship Funds</t>
  </si>
  <si>
    <t xml:space="preserve">   West Central CUSD 235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</si>
</sst>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sz val="10"/>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64" fontId="143" fillId="0" borderId="0" xfId="0" applyNumberFormat="1" applyFont="1"/>
    <xf numFmtId="0" fontId="45" fillId="0" borderId="0" xfId="0" applyFont="1"/>
    <xf numFmtId="164" fontId="45" fillId="0" borderId="0" xfId="0"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6</xdr:row>
          <xdr:rowOff>47625</xdr:rowOff>
        </xdr:from>
        <xdr:to>
          <xdr:col>1</xdr:col>
          <xdr:colOff>962025</xdr:colOff>
          <xdr:row>10</xdr:row>
          <xdr:rowOff>85725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1905000</xdr:colOff>
          <xdr:row>6</xdr:row>
          <xdr:rowOff>9525</xdr:rowOff>
        </xdr:from>
        <xdr:to>
          <xdr:col>1</xdr:col>
          <xdr:colOff>2819400</xdr:colOff>
          <xdr:row>10</xdr:row>
          <xdr:rowOff>47625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30" t="str">
        <f>"Due to ISBE on "</f>
        <v xml:space="preserve">Due to ISBE on </v>
      </c>
      <c r="B2" s="2041">
        <f>+'AFR20'!F4</f>
        <v>44151</v>
      </c>
      <c r="C2" s="2041"/>
      <c r="D2" s="2042"/>
      <c r="I2" s="2120" t="s">
        <v>2003</v>
      </c>
      <c r="J2" s="2119"/>
      <c r="K2" s="2119"/>
      <c r="L2" s="2119"/>
      <c r="M2" s="2119"/>
      <c r="N2" s="2119"/>
      <c r="O2" s="2119"/>
      <c r="P2" s="2119"/>
      <c r="Q2" s="2119"/>
      <c r="R2" s="2119"/>
      <c r="S2" s="2119"/>
    </row>
    <row r="3" spans="1:32" ht="12" customHeight="1" x14ac:dyDescent="0.2">
      <c r="A3" s="1833"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2051</v>
      </c>
      <c r="C5" s="26" t="s">
        <v>904</v>
      </c>
      <c r="D5" s="81"/>
      <c r="E5" s="81"/>
      <c r="H5" s="38"/>
      <c r="I5" s="2127" t="s">
        <v>675</v>
      </c>
      <c r="J5" s="2072"/>
      <c r="K5" s="2072"/>
      <c r="L5" s="2072"/>
      <c r="M5" s="2072"/>
      <c r="N5" s="2072"/>
      <c r="O5" s="2072"/>
      <c r="P5" s="2072"/>
      <c r="Q5" s="2072"/>
      <c r="R5" s="2072"/>
      <c r="S5" s="2072"/>
      <c r="AF5" s="1826"/>
    </row>
    <row r="6" spans="1:32" ht="14.1" customHeight="1" x14ac:dyDescent="0.2">
      <c r="B6" s="101"/>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33036235026</v>
      </c>
      <c r="B13" s="2089"/>
      <c r="C13" s="2089"/>
      <c r="D13" s="2089"/>
      <c r="E13" s="2089"/>
      <c r="F13" s="2089"/>
      <c r="G13" s="2089"/>
      <c r="H13" s="2090"/>
      <c r="I13" s="31"/>
      <c r="J13" s="30"/>
      <c r="K13" s="28"/>
      <c r="L13" s="30"/>
      <c r="M13" s="30"/>
      <c r="N13" s="30"/>
      <c r="O13" s="30"/>
      <c r="P13" s="30"/>
      <c r="Q13" s="30"/>
      <c r="R13" s="30"/>
      <c r="S13" s="30"/>
      <c r="T13" s="2093" t="s">
        <v>2059</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2052</v>
      </c>
      <c r="B15" s="2091"/>
      <c r="C15" s="2091"/>
      <c r="D15" s="2091"/>
      <c r="E15" s="2091"/>
      <c r="F15" s="2091"/>
      <c r="G15" s="2091"/>
      <c r="H15" s="2092"/>
      <c r="T15" s="2054" t="s">
        <v>2060</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2130</v>
      </c>
      <c r="B17" s="2116"/>
      <c r="C17" s="2116"/>
      <c r="D17" s="2116"/>
      <c r="E17" s="2116"/>
      <c r="F17" s="2116"/>
      <c r="G17" s="2116"/>
      <c r="H17" s="2117"/>
      <c r="T17" s="2103" t="s">
        <v>2061</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2053</v>
      </c>
      <c r="B19" s="2087"/>
      <c r="C19" s="2087"/>
      <c r="D19" s="2087"/>
      <c r="E19" s="2087"/>
      <c r="F19" s="2087"/>
      <c r="G19" s="2087"/>
      <c r="H19" s="2085"/>
      <c r="I19" s="30"/>
      <c r="J19" s="96"/>
      <c r="K19" s="40"/>
      <c r="L19" s="38"/>
      <c r="M19" s="109" t="s">
        <v>312</v>
      </c>
      <c r="P19" s="27"/>
      <c r="Q19" s="27"/>
      <c r="R19" s="27"/>
      <c r="S19" s="31"/>
      <c r="T19" s="2086" t="s">
        <v>2062</v>
      </c>
      <c r="U19" s="2084"/>
      <c r="V19" s="2084"/>
      <c r="W19" s="2085"/>
      <c r="X19" s="2101" t="s">
        <v>2063</v>
      </c>
      <c r="Y19" s="2102"/>
      <c r="Z19" s="2099">
        <v>61462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2054</v>
      </c>
      <c r="B21" s="2084"/>
      <c r="C21" s="2084"/>
      <c r="D21" s="2084"/>
      <c r="E21" s="2084"/>
      <c r="F21" s="2084"/>
      <c r="G21" s="2084"/>
      <c r="H21" s="2085"/>
      <c r="I21" s="2109" t="s">
        <v>673</v>
      </c>
      <c r="J21" s="2072"/>
      <c r="K21" s="2072"/>
      <c r="L21" s="2072"/>
      <c r="M21" s="2072"/>
      <c r="N21" s="2072"/>
      <c r="O21" s="2072"/>
      <c r="P21" s="2072"/>
      <c r="Q21" s="2072"/>
      <c r="R21" s="2072"/>
      <c r="S21" s="2073"/>
      <c r="T21" s="2051" t="s">
        <v>2064</v>
      </c>
      <c r="U21" s="2052"/>
      <c r="V21" s="2052"/>
      <c r="W21" s="2052"/>
      <c r="X21" s="2065" t="s">
        <v>2065</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t="s">
        <v>2055</v>
      </c>
      <c r="B23" s="2107"/>
      <c r="C23" s="2107"/>
      <c r="D23" s="2107"/>
      <c r="E23" s="2107"/>
      <c r="F23" s="2107"/>
      <c r="G23" s="2107"/>
      <c r="H23" s="2108"/>
      <c r="T23" s="2046">
        <v>60.008476000000002</v>
      </c>
      <c r="U23" s="2047"/>
      <c r="V23" s="2047"/>
      <c r="W23" s="2047"/>
      <c r="X23" s="2062">
        <v>44562</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2020-2021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61418</v>
      </c>
      <c r="B25" s="2084"/>
      <c r="C25" s="2084"/>
      <c r="D25" s="2084"/>
      <c r="E25" s="2084"/>
      <c r="F25" s="2084"/>
      <c r="G25" s="2084"/>
      <c r="H25" s="2085"/>
      <c r="I25" s="110"/>
      <c r="J25" s="2150"/>
      <c r="K25" s="2150"/>
      <c r="L25" s="2150"/>
      <c r="M25" s="2150"/>
      <c r="N25" s="2150"/>
      <c r="O25" s="2150"/>
      <c r="P25" s="2150"/>
      <c r="Q25" s="2150"/>
      <c r="R25" s="2150"/>
      <c r="S25" s="2151"/>
      <c r="T25" s="2043" t="s">
        <v>2066</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2056</v>
      </c>
      <c r="B38" s="2116"/>
      <c r="C38" s="2116"/>
      <c r="D38" s="2116"/>
      <c r="E38" s="2116"/>
      <c r="F38" s="2084"/>
      <c r="G38" s="2084"/>
      <c r="H38" s="2085"/>
      <c r="I38" s="2135"/>
      <c r="J38" s="2055"/>
      <c r="K38" s="2055"/>
      <c r="L38" s="2055"/>
      <c r="M38" s="2055"/>
      <c r="N38" s="2055"/>
      <c r="O38" s="2055"/>
      <c r="P38" s="2056"/>
      <c r="Q38" s="2056"/>
      <c r="R38" s="2056"/>
      <c r="S38" s="2057"/>
      <c r="T38" s="2054" t="s">
        <v>2067</v>
      </c>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2055</v>
      </c>
      <c r="B40" s="2143"/>
      <c r="C40" s="2144"/>
      <c r="D40" s="2144"/>
      <c r="E40" s="2144"/>
      <c r="F40" s="2145"/>
      <c r="G40" s="2145"/>
      <c r="H40" s="2146"/>
      <c r="I40" s="2058"/>
      <c r="J40" s="2060"/>
      <c r="K40" s="2060"/>
      <c r="L40" s="2060"/>
      <c r="M40" s="2060"/>
      <c r="N40" s="2060"/>
      <c r="O40" s="2060"/>
      <c r="P40" s="2060"/>
      <c r="Q40" s="2060"/>
      <c r="R40" s="2060"/>
      <c r="S40" s="2061"/>
      <c r="T40" s="2058" t="s">
        <v>2068</v>
      </c>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2057</v>
      </c>
      <c r="B42" s="2133"/>
      <c r="C42" s="2134"/>
      <c r="D42" s="2147" t="s">
        <v>2058</v>
      </c>
      <c r="E42" s="2133"/>
      <c r="F42" s="2133"/>
      <c r="G42" s="2133"/>
      <c r="H42" s="2134"/>
      <c r="I42" s="2053"/>
      <c r="J42" s="2049"/>
      <c r="K42" s="2049"/>
      <c r="L42" s="2049"/>
      <c r="M42" s="2049"/>
      <c r="N42" s="2049"/>
      <c r="O42" s="2050"/>
      <c r="P42" s="2048"/>
      <c r="Q42" s="2049"/>
      <c r="R42" s="2049"/>
      <c r="S42" s="2050"/>
      <c r="T42" s="2053" t="s">
        <v>2069</v>
      </c>
      <c r="U42" s="2049"/>
      <c r="V42" s="2049"/>
      <c r="W42" s="2050"/>
      <c r="X42" s="2048" t="s">
        <v>2070</v>
      </c>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7" colorId="8" zoomScale="110" zoomScaleNormal="110" workbookViewId="0">
      <selection activeCell="B33" sqref="B3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0"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1"/>
      <c r="B3" s="1293"/>
      <c r="C3" s="1294"/>
      <c r="D3" s="1295" t="s">
        <v>254</v>
      </c>
      <c r="E3" s="1294"/>
      <c r="F3" s="1295" t="s">
        <v>255</v>
      </c>
    </row>
    <row r="4" spans="1:8" ht="13.7" customHeight="1" x14ac:dyDescent="0.2">
      <c r="A4" s="579" t="s">
        <v>1145</v>
      </c>
      <c r="B4" s="1720">
        <f>'Revenues 9-14'!C5</f>
        <v>3743023</v>
      </c>
      <c r="C4" s="1721"/>
      <c r="D4" s="1722">
        <f>B4-C4</f>
        <v>3743023</v>
      </c>
      <c r="E4" s="1721">
        <v>4074593</v>
      </c>
      <c r="F4" s="1722">
        <f>E4-C4</f>
        <v>4074593</v>
      </c>
    </row>
    <row r="5" spans="1:8" ht="13.7" customHeight="1" x14ac:dyDescent="0.2">
      <c r="A5" s="579" t="s">
        <v>865</v>
      </c>
      <c r="B5" s="1723">
        <f>'Revenues 9-14'!D5</f>
        <v>935576</v>
      </c>
      <c r="C5" s="1663"/>
      <c r="D5" s="1724">
        <f t="shared" ref="D5:D18" si="0">B5-C5</f>
        <v>935576</v>
      </c>
      <c r="E5" s="1663">
        <v>911929</v>
      </c>
      <c r="F5" s="1724">
        <f>E5-C5</f>
        <v>911929</v>
      </c>
    </row>
    <row r="6" spans="1:8" ht="13.7" customHeight="1" x14ac:dyDescent="0.2">
      <c r="A6" s="579" t="s">
        <v>408</v>
      </c>
      <c r="B6" s="1723">
        <f>'Revenues 9-14'!E5</f>
        <v>466489</v>
      </c>
      <c r="C6" s="1663"/>
      <c r="D6" s="1724">
        <f t="shared" si="0"/>
        <v>466489</v>
      </c>
      <c r="E6" s="1663">
        <v>454992</v>
      </c>
      <c r="F6" s="1724">
        <f t="shared" ref="F6:F18" si="1">E6-C6</f>
        <v>454992</v>
      </c>
    </row>
    <row r="7" spans="1:8" ht="13.7" customHeight="1" x14ac:dyDescent="0.2">
      <c r="A7" s="579" t="s">
        <v>154</v>
      </c>
      <c r="B7" s="1723">
        <f>'Revenues 9-14'!F5</f>
        <v>287869</v>
      </c>
      <c r="C7" s="1663"/>
      <c r="D7" s="1724">
        <f t="shared" si="0"/>
        <v>287869</v>
      </c>
      <c r="E7" s="1663">
        <v>280600</v>
      </c>
      <c r="F7" s="1724">
        <f t="shared" si="1"/>
        <v>280600</v>
      </c>
    </row>
    <row r="8" spans="1:8" ht="13.7" customHeight="1" x14ac:dyDescent="0.2">
      <c r="A8" s="579" t="s">
        <v>1169</v>
      </c>
      <c r="B8" s="1723">
        <f>'Revenues 9-14'!G5</f>
        <v>111921</v>
      </c>
      <c r="C8" s="1663"/>
      <c r="D8" s="1724">
        <f t="shared" si="0"/>
        <v>111921</v>
      </c>
      <c r="E8" s="1663">
        <v>109091</v>
      </c>
      <c r="F8" s="1724">
        <f t="shared" si="1"/>
        <v>109091</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19932</v>
      </c>
      <c r="C10" s="1663"/>
      <c r="D10" s="1724">
        <f t="shared" si="0"/>
        <v>19932</v>
      </c>
      <c r="E10" s="1663">
        <v>48513</v>
      </c>
      <c r="F10" s="1724">
        <f t="shared" si="1"/>
        <v>48513</v>
      </c>
    </row>
    <row r="11" spans="1:8" x14ac:dyDescent="0.2">
      <c r="A11" s="579" t="s">
        <v>406</v>
      </c>
      <c r="B11" s="1723">
        <f>'Revenues 9-14'!J5</f>
        <v>218156</v>
      </c>
      <c r="C11" s="1663"/>
      <c r="D11" s="1724">
        <f t="shared" si="0"/>
        <v>218156</v>
      </c>
      <c r="E11" s="1663">
        <v>212650</v>
      </c>
      <c r="F11" s="1724">
        <f t="shared" si="1"/>
        <v>212650</v>
      </c>
    </row>
    <row r="12" spans="1:8" ht="13.7" customHeight="1" x14ac:dyDescent="0.2">
      <c r="A12" s="579" t="s">
        <v>156</v>
      </c>
      <c r="B12" s="1723">
        <f>'Revenues 9-14'!K5</f>
        <v>71970</v>
      </c>
      <c r="C12" s="1663"/>
      <c r="D12" s="1724">
        <f t="shared" si="0"/>
        <v>71970</v>
      </c>
      <c r="E12" s="1663">
        <v>70143</v>
      </c>
      <c r="F12" s="1724">
        <f t="shared" si="1"/>
        <v>70143</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57572</v>
      </c>
      <c r="C14" s="1663"/>
      <c r="D14" s="1724">
        <f t="shared" si="0"/>
        <v>57572</v>
      </c>
      <c r="E14" s="1663">
        <v>56120</v>
      </c>
      <c r="F14" s="1724">
        <f t="shared" si="1"/>
        <v>56120</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189338</v>
      </c>
      <c r="C16" s="1663"/>
      <c r="D16" s="1724">
        <f t="shared" si="0"/>
        <v>189338</v>
      </c>
      <c r="E16" s="1663">
        <v>184561</v>
      </c>
      <c r="F16" s="1724">
        <f t="shared" si="1"/>
        <v>184561</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6101846</v>
      </c>
      <c r="C19" s="1725">
        <f>SUM(C4:C18)</f>
        <v>0</v>
      </c>
      <c r="D19" s="1725">
        <f>SUM(D4:D18)</f>
        <v>6101846</v>
      </c>
      <c r="E19" s="1725">
        <f>SUM(E4:E18)</f>
        <v>6403192</v>
      </c>
      <c r="F19" s="1725">
        <f>SUM(F4:F18)</f>
        <v>6403192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B33" sqref="B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1779</v>
      </c>
      <c r="B2" s="2306"/>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9" t="s">
        <v>1104</v>
      </c>
      <c r="B3" s="2310"/>
      <c r="C3" s="2298"/>
      <c r="D3" s="2299"/>
      <c r="E3" s="2299"/>
      <c r="F3" s="2300"/>
    </row>
    <row r="4" spans="1:7" ht="12.75" customHeight="1" thickBot="1" x14ac:dyDescent="0.25">
      <c r="A4" s="2307" t="s">
        <v>626</v>
      </c>
      <c r="B4" s="2308"/>
      <c r="C4" s="1655"/>
      <c r="D4" s="1655"/>
      <c r="E4" s="1655"/>
      <c r="F4" s="1731">
        <f>SUM(C4+D4)-E4</f>
        <v>0</v>
      </c>
    </row>
    <row r="5" spans="1:7" ht="15.75" customHeight="1" thickTop="1" x14ac:dyDescent="0.2">
      <c r="A5" s="2292" t="s">
        <v>1101</v>
      </c>
      <c r="B5" s="2293"/>
      <c r="C5" s="2301"/>
      <c r="D5" s="2302"/>
      <c r="E5" s="2302"/>
      <c r="F5" s="2303"/>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4" t="s">
        <v>627</v>
      </c>
      <c r="B15" s="2295"/>
      <c r="C15" s="1731">
        <f>SUM(C6:C14)</f>
        <v>0</v>
      </c>
      <c r="D15" s="1731">
        <f>SUM(D6:D14)</f>
        <v>0</v>
      </c>
      <c r="E15" s="1731">
        <f>SUM(E6:E14)</f>
        <v>0</v>
      </c>
      <c r="F15" s="1731">
        <f>SUM(F6:F14)</f>
        <v>0</v>
      </c>
      <c r="G15" s="473"/>
    </row>
    <row r="16" spans="1:7" s="197" customFormat="1" ht="15.75" customHeight="1" thickTop="1" x14ac:dyDescent="0.2">
      <c r="A16" s="2304" t="s">
        <v>1102</v>
      </c>
      <c r="B16" s="2293"/>
      <c r="C16" s="2301"/>
      <c r="D16" s="2302"/>
      <c r="E16" s="2302"/>
      <c r="F16" s="2303"/>
    </row>
    <row r="17" spans="1:11" ht="12.75" customHeight="1" thickBot="1" x14ac:dyDescent="0.25">
      <c r="A17" s="2317" t="s">
        <v>64</v>
      </c>
      <c r="B17" s="2318"/>
      <c r="C17" s="1732"/>
      <c r="D17" s="1663"/>
      <c r="E17" s="1732"/>
      <c r="F17" s="1731">
        <f>SUM(C17+D17)-E17</f>
        <v>0</v>
      </c>
    </row>
    <row r="18" spans="1:11" ht="12.75" customHeight="1" thickTop="1" thickBot="1" x14ac:dyDescent="0.25">
      <c r="A18" s="2317" t="s">
        <v>6</v>
      </c>
      <c r="B18" s="2318"/>
      <c r="C18" s="1732"/>
      <c r="D18" s="1663"/>
      <c r="E18" s="1732"/>
      <c r="F18" s="1731">
        <f>SUM(C18+D18)-E18</f>
        <v>0</v>
      </c>
    </row>
    <row r="19" spans="1:11" ht="12.75" customHeight="1" thickTop="1" thickBot="1" x14ac:dyDescent="0.25">
      <c r="A19" s="2317" t="s">
        <v>385</v>
      </c>
      <c r="B19" s="2318"/>
      <c r="C19" s="1732"/>
      <c r="D19" s="1663"/>
      <c r="E19" s="1732"/>
      <c r="F19" s="1731">
        <f>SUM(C19+D19)-E19</f>
        <v>0</v>
      </c>
    </row>
    <row r="20" spans="1:11" ht="12.75" customHeight="1" thickTop="1" thickBot="1" x14ac:dyDescent="0.25">
      <c r="A20" s="2317" t="s">
        <v>445</v>
      </c>
      <c r="B20" s="2318"/>
      <c r="C20" s="1732"/>
      <c r="D20" s="1663"/>
      <c r="E20" s="1732"/>
      <c r="F20" s="1731">
        <f>SUM(C20+D20)-E20</f>
        <v>0</v>
      </c>
    </row>
    <row r="21" spans="1:11" ht="14.25" thickTop="1" thickBot="1" x14ac:dyDescent="0.25">
      <c r="A21" s="2294" t="s">
        <v>628</v>
      </c>
      <c r="B21" s="2295"/>
      <c r="C21" s="1731">
        <f>SUM(C17:C20)</f>
        <v>0</v>
      </c>
      <c r="D21" s="1731">
        <f>SUM(D17:D20)</f>
        <v>0</v>
      </c>
      <c r="E21" s="1731">
        <f>SUM(E17:E20)</f>
        <v>0</v>
      </c>
      <c r="F21" s="1731">
        <f>SUM(F17:F20)</f>
        <v>0</v>
      </c>
      <c r="G21" s="473"/>
    </row>
    <row r="22" spans="1:11" ht="15.75" customHeight="1" thickTop="1" x14ac:dyDescent="0.2">
      <c r="A22" s="2319" t="s">
        <v>1103</v>
      </c>
      <c r="B22" s="2293"/>
      <c r="C22" s="2301"/>
      <c r="D22" s="2302"/>
      <c r="E22" s="2302"/>
      <c r="F22" s="2303"/>
    </row>
    <row r="23" spans="1:11" ht="13.5" thickBot="1" x14ac:dyDescent="0.25">
      <c r="A23" s="2307" t="s">
        <v>629</v>
      </c>
      <c r="B23" s="2308"/>
      <c r="C23" s="1655"/>
      <c r="D23" s="1655"/>
      <c r="E23" s="1655"/>
      <c r="F23" s="1731">
        <f>SUM(C23+D23)-E23</f>
        <v>0</v>
      </c>
      <c r="G23" s="473"/>
    </row>
    <row r="24" spans="1:11" ht="15.75" customHeight="1" thickTop="1" x14ac:dyDescent="0.2">
      <c r="A24" s="2319" t="s">
        <v>2006</v>
      </c>
      <c r="B24" s="2293"/>
      <c r="C24" s="2301"/>
      <c r="D24" s="2302"/>
      <c r="E24" s="2302"/>
      <c r="F24" s="2303"/>
    </row>
    <row r="25" spans="1:11" ht="13.5" thickBot="1" x14ac:dyDescent="0.25">
      <c r="A25" s="2307" t="s">
        <v>2007</v>
      </c>
      <c r="B25" s="2308"/>
      <c r="C25" s="1655"/>
      <c r="D25" s="1655"/>
      <c r="E25" s="1655"/>
      <c r="F25" s="1731">
        <f>SUM(C25+D25)-E25</f>
        <v>0</v>
      </c>
      <c r="G25" s="473"/>
    </row>
    <row r="26" spans="1:11" ht="15.75" customHeight="1" thickTop="1" x14ac:dyDescent="0.2">
      <c r="A26" s="2292" t="s">
        <v>652</v>
      </c>
      <c r="B26" s="2293"/>
      <c r="C26" s="589"/>
      <c r="D26" s="589"/>
      <c r="E26" s="589"/>
      <c r="F26" s="590"/>
    </row>
    <row r="27" spans="1:11" ht="13.5" thickBot="1" x14ac:dyDescent="0.25">
      <c r="A27" s="2294" t="s">
        <v>1061</v>
      </c>
      <c r="B27" s="2295"/>
      <c r="C27" s="1663"/>
      <c r="D27" s="1663"/>
      <c r="E27" s="1663"/>
      <c r="F27" s="1731">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2071</v>
      </c>
      <c r="B31" s="595">
        <v>41551</v>
      </c>
      <c r="C31" s="1733">
        <v>1976540</v>
      </c>
      <c r="D31" s="1734">
        <v>4</v>
      </c>
      <c r="E31" s="1733">
        <v>1469150</v>
      </c>
      <c r="F31" s="1733"/>
      <c r="G31" s="1733"/>
      <c r="H31" s="1733">
        <v>266220</v>
      </c>
      <c r="I31" s="1735">
        <f>((E31+F31)-H31)+G31</f>
        <v>1202930</v>
      </c>
      <c r="J31" s="1733">
        <v>1075041</v>
      </c>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t="s">
        <v>2072</v>
      </c>
      <c r="B33" s="595">
        <v>42403</v>
      </c>
      <c r="C33" s="1733">
        <v>1675000</v>
      </c>
      <c r="D33" s="1734">
        <v>4</v>
      </c>
      <c r="E33" s="1733">
        <v>1406000</v>
      </c>
      <c r="F33" s="1733"/>
      <c r="G33" s="1733"/>
      <c r="H33" s="1733">
        <v>98000</v>
      </c>
      <c r="I33" s="1735">
        <f t="shared" ref="I33:I48" si="1">((E33+F33)-H33)+G33</f>
        <v>1308000</v>
      </c>
      <c r="J33" s="1733">
        <v>1168941</v>
      </c>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3651540</v>
      </c>
      <c r="D49" s="1741"/>
      <c r="E49" s="1735">
        <f t="shared" ref="E49:J49" si="2">SUM(E31:E48)</f>
        <v>2875150</v>
      </c>
      <c r="F49" s="1735">
        <f t="shared" si="2"/>
        <v>0</v>
      </c>
      <c r="G49" s="1735">
        <f t="shared" si="2"/>
        <v>0</v>
      </c>
      <c r="H49" s="1735">
        <f t="shared" si="2"/>
        <v>364220</v>
      </c>
      <c r="I49" s="1735">
        <f t="shared" si="2"/>
        <v>2510930</v>
      </c>
      <c r="J49" s="1735">
        <f t="shared" si="2"/>
        <v>2243982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B33" sqref="B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7"/>
      <c r="I1" s="614"/>
      <c r="J1" s="400"/>
    </row>
    <row r="2" spans="1:11" ht="26.25" x14ac:dyDescent="0.2">
      <c r="A2" s="2324" t="s">
        <v>1658</v>
      </c>
      <c r="B2" s="2325"/>
      <c r="C2" s="2325"/>
      <c r="D2" s="2325"/>
      <c r="E2" s="2326"/>
      <c r="F2" s="615" t="s">
        <v>898</v>
      </c>
      <c r="G2" s="616" t="s">
        <v>1655</v>
      </c>
      <c r="H2" s="616" t="s">
        <v>407</v>
      </c>
      <c r="I2" s="616" t="s">
        <v>1148</v>
      </c>
      <c r="J2" s="616" t="s">
        <v>1789</v>
      </c>
      <c r="K2" s="616" t="s">
        <v>137</v>
      </c>
    </row>
    <row r="3" spans="1:11" x14ac:dyDescent="0.2">
      <c r="A3" s="2327" t="str">
        <f>"Cash Basis Fund Balance as of July 1, "&amp;'AFR20'!E2-1</f>
        <v>Cash Basis Fund Balance as of July 1, 2019</v>
      </c>
      <c r="B3" s="2328"/>
      <c r="C3" s="2328"/>
      <c r="D3" s="2328"/>
      <c r="E3" s="2329"/>
      <c r="F3" s="617"/>
      <c r="G3" s="1743"/>
      <c r="H3" s="1743"/>
      <c r="I3" s="1743"/>
      <c r="J3" s="1744">
        <v>7595</v>
      </c>
      <c r="K3" s="1744"/>
    </row>
    <row r="4" spans="1:11" x14ac:dyDescent="0.2">
      <c r="A4" s="2330" t="s">
        <v>366</v>
      </c>
      <c r="B4" s="2331"/>
      <c r="C4" s="2331"/>
      <c r="D4" s="2331"/>
      <c r="E4" s="2312"/>
      <c r="F4" s="620"/>
      <c r="G4" s="1745"/>
      <c r="H4" s="1746"/>
      <c r="I4" s="1745"/>
      <c r="J4" s="1747"/>
      <c r="K4" s="1747"/>
    </row>
    <row r="5" spans="1:11" x14ac:dyDescent="0.2">
      <c r="A5" s="2350" t="s">
        <v>1060</v>
      </c>
      <c r="B5" s="2321"/>
      <c r="C5" s="2321"/>
      <c r="D5" s="2321"/>
      <c r="E5" s="2351"/>
      <c r="F5" s="622" t="s">
        <v>843</v>
      </c>
      <c r="G5" s="1748"/>
      <c r="H5" s="1743">
        <v>57572</v>
      </c>
      <c r="I5" s="1749"/>
      <c r="J5" s="1750"/>
      <c r="K5" s="1750"/>
    </row>
    <row r="6" spans="1:11" x14ac:dyDescent="0.2">
      <c r="A6" s="625" t="s">
        <v>715</v>
      </c>
      <c r="B6" s="626"/>
      <c r="C6" s="626"/>
      <c r="D6" s="626"/>
      <c r="E6" s="627"/>
      <c r="F6" s="628" t="s">
        <v>844</v>
      </c>
      <c r="G6" s="1743"/>
      <c r="H6" s="1743"/>
      <c r="I6" s="1743"/>
      <c r="J6" s="1744">
        <v>113</v>
      </c>
      <c r="K6" s="1744"/>
    </row>
    <row r="7" spans="1:11" x14ac:dyDescent="0.2">
      <c r="A7" s="629" t="s">
        <v>244</v>
      </c>
      <c r="B7" s="630"/>
      <c r="C7" s="630"/>
      <c r="D7" s="630"/>
      <c r="E7" s="631"/>
      <c r="F7" s="622" t="s">
        <v>845</v>
      </c>
      <c r="G7" s="1745"/>
      <c r="H7" s="1745"/>
      <c r="I7" s="1745"/>
      <c r="J7" s="1751"/>
      <c r="K7" s="1744">
        <v>8052</v>
      </c>
    </row>
    <row r="8" spans="1:11" x14ac:dyDescent="0.2">
      <c r="A8" s="629" t="s">
        <v>342</v>
      </c>
      <c r="B8" s="630"/>
      <c r="C8" s="630"/>
      <c r="D8" s="630"/>
      <c r="E8" s="631"/>
      <c r="F8" s="622" t="s">
        <v>846</v>
      </c>
      <c r="G8" s="1752"/>
      <c r="H8" s="1752"/>
      <c r="I8" s="1752"/>
      <c r="J8" s="1744">
        <v>5522</v>
      </c>
      <c r="K8" s="1747"/>
    </row>
    <row r="9" spans="1:11" x14ac:dyDescent="0.2">
      <c r="A9" s="629" t="s">
        <v>137</v>
      </c>
      <c r="B9" s="630"/>
      <c r="C9" s="630"/>
      <c r="D9" s="630"/>
      <c r="E9" s="631"/>
      <c r="F9" s="628" t="s">
        <v>848</v>
      </c>
      <c r="G9" s="1752"/>
      <c r="H9" s="1748"/>
      <c r="I9" s="1748"/>
      <c r="J9" s="1751"/>
      <c r="K9" s="1744">
        <v>6828</v>
      </c>
    </row>
    <row r="10" spans="1:11" x14ac:dyDescent="0.2">
      <c r="A10" s="2350" t="s">
        <v>1790</v>
      </c>
      <c r="B10" s="2321"/>
      <c r="C10" s="2321"/>
      <c r="D10" s="2321"/>
      <c r="E10" s="2352"/>
      <c r="F10" s="633" t="s">
        <v>857</v>
      </c>
      <c r="G10" s="1752"/>
      <c r="H10" s="1753"/>
      <c r="I10" s="1743"/>
      <c r="J10" s="1744"/>
      <c r="K10" s="1744"/>
    </row>
    <row r="11" spans="1:11" x14ac:dyDescent="0.2">
      <c r="A11" s="2350" t="s">
        <v>159</v>
      </c>
      <c r="B11" s="2321"/>
      <c r="C11" s="2321"/>
      <c r="D11" s="2321"/>
      <c r="E11" s="2351"/>
      <c r="F11" s="622" t="s">
        <v>847</v>
      </c>
      <c r="G11" s="1748"/>
      <c r="H11" s="1743"/>
      <c r="I11" s="1743"/>
      <c r="J11" s="1744"/>
      <c r="K11" s="1750"/>
    </row>
    <row r="12" spans="1:11" ht="13.5" thickBot="1" x14ac:dyDescent="0.25">
      <c r="A12" s="2338" t="s">
        <v>899</v>
      </c>
      <c r="B12" s="2339"/>
      <c r="C12" s="2339"/>
      <c r="D12" s="2339"/>
      <c r="E12" s="2340"/>
      <c r="F12" s="1432"/>
      <c r="G12" s="1754">
        <f>SUM(G5:G11)</f>
        <v>0</v>
      </c>
      <c r="H12" s="1754">
        <f>SUM(H5:H11)</f>
        <v>57572</v>
      </c>
      <c r="I12" s="1754">
        <f>SUM(I5:I11)</f>
        <v>0</v>
      </c>
      <c r="J12" s="1754">
        <f>SUM(J5:J11)</f>
        <v>5635</v>
      </c>
      <c r="K12" s="1754">
        <f>SUM(K5:K11)</f>
        <v>14880</v>
      </c>
    </row>
    <row r="13" spans="1:11" ht="13.5" thickTop="1" x14ac:dyDescent="0.2">
      <c r="A13" s="2332" t="s">
        <v>367</v>
      </c>
      <c r="B13" s="2333"/>
      <c r="C13" s="2333"/>
      <c r="D13" s="2333"/>
      <c r="E13" s="2334"/>
      <c r="F13" s="634"/>
      <c r="G13" s="1755"/>
      <c r="H13" s="1756"/>
      <c r="I13" s="1757"/>
      <c r="J13" s="1757"/>
      <c r="K13" s="1757"/>
    </row>
    <row r="14" spans="1:11" x14ac:dyDescent="0.2">
      <c r="A14" s="2356" t="s">
        <v>453</v>
      </c>
      <c r="B14" s="2356"/>
      <c r="C14" s="2356"/>
      <c r="D14" s="2356"/>
      <c r="E14" s="2357"/>
      <c r="F14" s="635" t="s">
        <v>849</v>
      </c>
      <c r="G14" s="1752"/>
      <c r="H14" s="1743"/>
      <c r="I14" s="1748"/>
      <c r="J14" s="1750"/>
      <c r="K14" s="1744">
        <v>27251</v>
      </c>
    </row>
    <row r="15" spans="1:11" x14ac:dyDescent="0.2">
      <c r="A15" s="2321" t="s">
        <v>4</v>
      </c>
      <c r="B15" s="2321"/>
      <c r="C15" s="2321"/>
      <c r="D15" s="2321"/>
      <c r="E15" s="2351"/>
      <c r="F15" s="635" t="s">
        <v>850</v>
      </c>
      <c r="G15" s="1748"/>
      <c r="H15" s="1743"/>
      <c r="I15" s="1743"/>
      <c r="J15" s="1744"/>
      <c r="K15" s="1744"/>
    </row>
    <row r="16" spans="1:11" x14ac:dyDescent="0.2">
      <c r="A16" s="2321" t="s">
        <v>295</v>
      </c>
      <c r="B16" s="2321"/>
      <c r="C16" s="2321"/>
      <c r="D16" s="2321"/>
      <c r="E16" s="2351"/>
      <c r="F16" s="635" t="s">
        <v>917</v>
      </c>
      <c r="G16" s="1749"/>
      <c r="H16" s="1745"/>
      <c r="I16" s="1745"/>
      <c r="J16" s="1747"/>
      <c r="K16" s="1747"/>
    </row>
    <row r="17" spans="1:15" x14ac:dyDescent="0.2">
      <c r="A17" s="2345" t="s">
        <v>929</v>
      </c>
      <c r="B17" s="2345"/>
      <c r="C17" s="2345"/>
      <c r="D17" s="2345"/>
      <c r="E17" s="2346"/>
      <c r="F17" s="636"/>
      <c r="G17" s="1758"/>
      <c r="H17" s="1759"/>
      <c r="I17" s="1759"/>
      <c r="J17" s="1760"/>
      <c r="K17" s="1761"/>
    </row>
    <row r="18" spans="1:15" x14ac:dyDescent="0.2">
      <c r="A18" s="2335" t="s">
        <v>365</v>
      </c>
      <c r="B18" s="2336"/>
      <c r="C18" s="2336"/>
      <c r="D18" s="2336"/>
      <c r="E18" s="2337"/>
      <c r="F18" s="635" t="s">
        <v>926</v>
      </c>
      <c r="G18" s="1752"/>
      <c r="H18" s="1752"/>
      <c r="I18" s="1752"/>
      <c r="J18" s="1744"/>
      <c r="K18" s="1762"/>
    </row>
    <row r="19" spans="1:15" ht="21.75" customHeight="1" x14ac:dyDescent="0.2">
      <c r="A19" s="2358" t="s">
        <v>1786</v>
      </c>
      <c r="B19" s="2358"/>
      <c r="C19" s="2358"/>
      <c r="D19" s="2358"/>
      <c r="E19" s="2359"/>
      <c r="F19" s="635" t="s">
        <v>927</v>
      </c>
      <c r="G19" s="1752"/>
      <c r="H19" s="1752"/>
      <c r="I19" s="1752"/>
      <c r="J19" s="1744"/>
      <c r="K19" s="1762"/>
    </row>
    <row r="20" spans="1:15" x14ac:dyDescent="0.2">
      <c r="A20" s="2335" t="s">
        <v>1791</v>
      </c>
      <c r="B20" s="2336"/>
      <c r="C20" s="2336"/>
      <c r="D20" s="2336"/>
      <c r="E20" s="2337"/>
      <c r="F20" s="635" t="s">
        <v>928</v>
      </c>
      <c r="G20" s="1752"/>
      <c r="H20" s="1752"/>
      <c r="I20" s="1752"/>
      <c r="J20" s="1744"/>
      <c r="K20" s="1762"/>
    </row>
    <row r="21" spans="1:15" ht="13.5" thickBot="1" x14ac:dyDescent="0.25">
      <c r="A21" s="2341" t="s">
        <v>633</v>
      </c>
      <c r="B21" s="2341"/>
      <c r="C21" s="2341"/>
      <c r="D21" s="2341"/>
      <c r="E21" s="2341"/>
      <c r="F21" s="1433"/>
      <c r="G21" s="1759"/>
      <c r="H21" s="1763"/>
      <c r="I21" s="1763"/>
      <c r="J21" s="1764">
        <f>SUM(J18:J20)</f>
        <v>0</v>
      </c>
      <c r="K21" s="1760"/>
    </row>
    <row r="22" spans="1:15" ht="13.5" thickTop="1" x14ac:dyDescent="0.2">
      <c r="A22" s="2321" t="s">
        <v>1792</v>
      </c>
      <c r="B22" s="2321"/>
      <c r="C22" s="2321"/>
      <c r="D22" s="2321"/>
      <c r="E22" s="2351"/>
      <c r="F22" s="635" t="s">
        <v>857</v>
      </c>
      <c r="G22" s="1752"/>
      <c r="H22" s="1743">
        <v>191310</v>
      </c>
      <c r="I22" s="1743"/>
      <c r="J22" s="1765"/>
      <c r="K22" s="1744"/>
    </row>
    <row r="23" spans="1:15" ht="13.5" thickBot="1" x14ac:dyDescent="0.25">
      <c r="A23" s="2342" t="s">
        <v>900</v>
      </c>
      <c r="B23" s="2341"/>
      <c r="C23" s="2341"/>
      <c r="D23" s="2341"/>
      <c r="E23" s="2341"/>
      <c r="F23" s="1435"/>
      <c r="G23" s="1754">
        <f>SUM(G14:G16,G21,G22)</f>
        <v>0</v>
      </c>
      <c r="H23" s="1754">
        <f>SUM(H14:H16,H21,H22)</f>
        <v>191310</v>
      </c>
      <c r="I23" s="1754">
        <f>SUM(I14:I16,I21,I22)</f>
        <v>0</v>
      </c>
      <c r="J23" s="1754">
        <f>SUM(J14:J16,J21,J22)</f>
        <v>0</v>
      </c>
      <c r="K23" s="1754">
        <f>SUM(K14:K16,K21,K22)</f>
        <v>27251</v>
      </c>
      <c r="M23" s="1845"/>
      <c r="N23" s="1845"/>
      <c r="O23" s="1845"/>
    </row>
    <row r="24" spans="1:15" ht="14.25" thickTop="1" thickBot="1" x14ac:dyDescent="0.25">
      <c r="A24" s="2343" t="str">
        <f>"Ending Cash Basis Fund Balance as of June 30, "&amp;'AFR20'!E2</f>
        <v>Ending Cash Basis Fund Balance as of June 30, 2020</v>
      </c>
      <c r="B24" s="2344"/>
      <c r="C24" s="2344"/>
      <c r="D24" s="2344"/>
      <c r="E24" s="2344"/>
      <c r="F24" s="1436"/>
      <c r="G24" s="1766">
        <f>SUM(G3,G12)-G23</f>
        <v>0</v>
      </c>
      <c r="H24" s="1766">
        <f>SUM(H3,H12)-H23</f>
        <v>-133738</v>
      </c>
      <c r="I24" s="1766">
        <f>SUM(I3,I12)-I23</f>
        <v>0</v>
      </c>
      <c r="J24" s="1766">
        <f>SUM(J3,J12)-J23</f>
        <v>13230</v>
      </c>
      <c r="K24" s="1766">
        <f>SUM(K3,K12)-K23</f>
        <v>-12371</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-133738</v>
      </c>
      <c r="I26" s="1754">
        <f>I24-I25</f>
        <v>0</v>
      </c>
      <c r="J26" s="1754">
        <f>J24-J25</f>
        <v>13230</v>
      </c>
      <c r="K26" s="1754">
        <f>K24-K25</f>
        <v>-12371</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1159</v>
      </c>
      <c r="B33" s="341"/>
      <c r="C33" s="341"/>
      <c r="D33" s="341"/>
      <c r="E33" s="341"/>
      <c r="F33" s="341"/>
      <c r="G33" s="653"/>
      <c r="H33" s="2355"/>
      <c r="I33" s="2354"/>
      <c r="J33" s="2354"/>
      <c r="K33" s="235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33" sqref="B3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42500</v>
      </c>
      <c r="D5" s="1769"/>
      <c r="E5" s="1769"/>
      <c r="F5" s="1764">
        <f>(C5+D5)-E5</f>
        <v>42500</v>
      </c>
      <c r="G5" s="676"/>
      <c r="H5" s="680"/>
      <c r="I5" s="680"/>
      <c r="J5" s="680"/>
      <c r="K5" s="637"/>
      <c r="L5" s="1441">
        <f>F5-K5</f>
        <v>42500</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7709371</v>
      </c>
      <c r="D8" s="1770"/>
      <c r="E8" s="1770"/>
      <c r="F8" s="1764">
        <f>(C8+D8)-E8</f>
        <v>7709371</v>
      </c>
      <c r="G8" s="681">
        <v>50</v>
      </c>
      <c r="H8" s="619">
        <v>4057511</v>
      </c>
      <c r="I8" s="619">
        <v>154186</v>
      </c>
      <c r="J8" s="619"/>
      <c r="K8" s="1441">
        <f>(H8+I8)-J8</f>
        <v>4211697</v>
      </c>
      <c r="L8" s="1441">
        <f>F8-K8</f>
        <v>3497674</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6983776</v>
      </c>
      <c r="D10" s="1771">
        <v>380143</v>
      </c>
      <c r="E10" s="1771"/>
      <c r="F10" s="1772">
        <f>(C10+D10)-E10</f>
        <v>7363919</v>
      </c>
      <c r="G10" s="681">
        <v>20</v>
      </c>
      <c r="H10" s="683">
        <v>3385248</v>
      </c>
      <c r="I10" s="683">
        <v>337554</v>
      </c>
      <c r="J10" s="683"/>
      <c r="K10" s="1441">
        <f>(H10+I10)-J10</f>
        <v>3722802</v>
      </c>
      <c r="L10" s="1441">
        <f>F10-K10</f>
        <v>3641117</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1087287</v>
      </c>
      <c r="D12" s="1770">
        <v>146286</v>
      </c>
      <c r="E12" s="1770">
        <v>119252</v>
      </c>
      <c r="F12" s="1764">
        <f>(C12+D12)-E12</f>
        <v>1114321</v>
      </c>
      <c r="G12" s="681">
        <v>10</v>
      </c>
      <c r="H12" s="619">
        <v>592320</v>
      </c>
      <c r="I12" s="619">
        <v>98023</v>
      </c>
      <c r="J12" s="619">
        <v>119252</v>
      </c>
      <c r="K12" s="1441">
        <f>(H12+I12)-J12</f>
        <v>571091</v>
      </c>
      <c r="L12" s="1441">
        <f>F12-K12</f>
        <v>543230</v>
      </c>
    </row>
    <row r="13" spans="1:14" ht="14.25" thickTop="1" thickBot="1" x14ac:dyDescent="0.25">
      <c r="A13" s="684" t="s">
        <v>1112</v>
      </c>
      <c r="B13" s="679">
        <v>252</v>
      </c>
      <c r="C13" s="1770">
        <v>118933</v>
      </c>
      <c r="D13" s="1770">
        <v>25985</v>
      </c>
      <c r="E13" s="1770">
        <v>19675</v>
      </c>
      <c r="F13" s="1764">
        <f>(C13+D13)-E13</f>
        <v>125243</v>
      </c>
      <c r="G13" s="681">
        <v>5</v>
      </c>
      <c r="H13" s="619">
        <v>55109</v>
      </c>
      <c r="I13" s="619">
        <v>17566</v>
      </c>
      <c r="J13" s="619">
        <v>19675</v>
      </c>
      <c r="K13" s="1441">
        <f>(H13+I13)-J13</f>
        <v>53000</v>
      </c>
      <c r="L13" s="1441">
        <f>F13-K13</f>
        <v>72243</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15941867</v>
      </c>
      <c r="D16" s="1764">
        <f>SUM(D3,D5:D6,D8:D10,D12:D15)</f>
        <v>552414</v>
      </c>
      <c r="E16" s="1764">
        <f>SUM(E3,E5:E6,E8:E10,E12:E15)</f>
        <v>138927</v>
      </c>
      <c r="F16" s="1764">
        <f>SUM(F3,F5:F6,F8:F10,F12:F15)</f>
        <v>16355354</v>
      </c>
      <c r="G16" s="681"/>
      <c r="H16" s="1434">
        <f>SUM(H3,H6,H8:H10,H12:H14,)</f>
        <v>8090188</v>
      </c>
      <c r="I16" s="1434">
        <f>SUM(I3,I6,I8:I10,I12:I14,)</f>
        <v>607329</v>
      </c>
      <c r="J16" s="1434">
        <f>SUM(J3,J6,J8:J10,J12:J14,)</f>
        <v>138927</v>
      </c>
      <c r="K16" s="1434">
        <f>(H16+I16)-J16</f>
        <v>8558590</v>
      </c>
      <c r="L16" s="1434">
        <f>F16-K16</f>
        <v>7796764</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607329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7"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6796569</v>
      </c>
      <c r="G8" s="701"/>
    </row>
    <row r="9" spans="1:9" x14ac:dyDescent="0.2">
      <c r="A9" s="705" t="s">
        <v>457</v>
      </c>
      <c r="B9" s="706" t="s">
        <v>1848</v>
      </c>
      <c r="C9" s="707"/>
      <c r="D9" s="705" t="s">
        <v>498</v>
      </c>
      <c r="E9" s="704"/>
      <c r="F9" s="1774">
        <f>'Expenditures 15-22'!K151</f>
        <v>670363</v>
      </c>
      <c r="G9" s="708"/>
    </row>
    <row r="10" spans="1:9" x14ac:dyDescent="0.2">
      <c r="A10" s="705" t="s">
        <v>496</v>
      </c>
      <c r="B10" s="706" t="s">
        <v>1849</v>
      </c>
      <c r="C10" s="707"/>
      <c r="D10" s="705" t="s">
        <v>498</v>
      </c>
      <c r="E10" s="704"/>
      <c r="F10" s="1774">
        <f>'Expenditures 15-22'!K174</f>
        <v>463929</v>
      </c>
      <c r="G10" s="708"/>
    </row>
    <row r="11" spans="1:9" x14ac:dyDescent="0.2">
      <c r="A11" s="705" t="s">
        <v>458</v>
      </c>
      <c r="B11" s="706" t="s">
        <v>1850</v>
      </c>
      <c r="C11" s="707"/>
      <c r="D11" s="705" t="s">
        <v>498</v>
      </c>
      <c r="E11" s="704"/>
      <c r="F11" s="1774">
        <f>'Expenditures 15-22'!K210</f>
        <v>673217</v>
      </c>
      <c r="G11" s="708"/>
    </row>
    <row r="12" spans="1:9" x14ac:dyDescent="0.2">
      <c r="A12" s="705" t="s">
        <v>459</v>
      </c>
      <c r="B12" s="706" t="s">
        <v>1851</v>
      </c>
      <c r="C12" s="707"/>
      <c r="D12" s="705" t="s">
        <v>498</v>
      </c>
      <c r="E12" s="704"/>
      <c r="F12" s="1774">
        <f>'Expenditures 15-22'!K295</f>
        <v>324247</v>
      </c>
      <c r="G12" s="708"/>
    </row>
    <row r="13" spans="1:9" x14ac:dyDescent="0.2">
      <c r="A13" s="705" t="s">
        <v>106</v>
      </c>
      <c r="B13" s="706" t="s">
        <v>1852</v>
      </c>
      <c r="C13" s="707"/>
      <c r="D13" s="705" t="s">
        <v>498</v>
      </c>
      <c r="E13" s="704"/>
      <c r="F13" s="1774">
        <f>'Expenditures 15-22'!K342</f>
        <v>191130</v>
      </c>
      <c r="G13" s="709"/>
    </row>
    <row r="14" spans="1:9" ht="12" customHeight="1" thickBot="1" x14ac:dyDescent="0.25">
      <c r="A14" s="1442"/>
      <c r="B14" s="1443"/>
      <c r="C14" s="1444"/>
      <c r="D14" s="1445" t="s">
        <v>498</v>
      </c>
      <c r="E14" s="1446" t="s">
        <v>952</v>
      </c>
      <c r="F14" s="1775">
        <f>SUM(F8:F13)</f>
        <v>9119455</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279241</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24249</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1837</v>
      </c>
      <c r="G52" s="701"/>
    </row>
    <row r="53" spans="1:7" x14ac:dyDescent="0.2">
      <c r="A53" s="705" t="s">
        <v>456</v>
      </c>
      <c r="B53" s="705" t="s">
        <v>1458</v>
      </c>
      <c r="C53" s="724">
        <f>'Expenditures 15-22'!B102</f>
        <v>4000</v>
      </c>
      <c r="D53" s="723" t="str">
        <f>'Expenditures 15-22'!A102</f>
        <v>Total Payments to Other Govt Units</v>
      </c>
      <c r="E53" s="704"/>
      <c r="F53" s="1781">
        <f>'Expenditures 15-22'!K102</f>
        <v>246084</v>
      </c>
      <c r="G53" s="701"/>
    </row>
    <row r="54" spans="1:7" x14ac:dyDescent="0.2">
      <c r="A54" s="705" t="s">
        <v>456</v>
      </c>
      <c r="B54" s="705" t="s">
        <v>1459</v>
      </c>
      <c r="C54" s="724" t="s">
        <v>975</v>
      </c>
      <c r="D54" s="720" t="s">
        <v>1086</v>
      </c>
      <c r="E54" s="704"/>
      <c r="F54" s="1781">
        <f>'Expenditures 15-22'!G114</f>
        <v>71271</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75015</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364220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25985</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12327</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1100229</v>
      </c>
      <c r="G77" s="701"/>
    </row>
    <row r="78" spans="1:9" s="728" customFormat="1" ht="12" customHeight="1" thickTop="1" thickBot="1" x14ac:dyDescent="0.25">
      <c r="A78" s="1449"/>
      <c r="B78" s="1447"/>
      <c r="C78" s="1444"/>
      <c r="D78" s="1448" t="s">
        <v>2012</v>
      </c>
      <c r="E78" s="1446"/>
      <c r="F78" s="1787">
        <f>(F14-F77)</f>
        <v>8019226</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780.6</v>
      </c>
      <c r="G79" s="733"/>
      <c r="H79" s="705"/>
      <c r="I79" s="705"/>
    </row>
    <row r="80" spans="1:9" s="728" customFormat="1" ht="12" customHeight="1" thickBot="1" x14ac:dyDescent="0.25">
      <c r="A80" s="1451"/>
      <c r="B80" s="1447"/>
      <c r="C80" s="1444"/>
      <c r="D80" s="1448" t="s">
        <v>2013</v>
      </c>
      <c r="E80" s="1446" t="s">
        <v>952</v>
      </c>
      <c r="F80" s="1789">
        <f>IF(F79&gt;0,F78/F79," Complete Line 79")</f>
        <v>10273.156546246477</v>
      </c>
      <c r="G80" s="705"/>
    </row>
    <row r="81" spans="1:7" s="728" customFormat="1" ht="8.25" customHeight="1" thickTop="1" x14ac:dyDescent="0.2">
      <c r="A81" s="734"/>
      <c r="B81" s="705"/>
      <c r="C81" s="707"/>
      <c r="D81" s="735"/>
      <c r="E81" s="704"/>
      <c r="F81" s="1790"/>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95132</v>
      </c>
      <c r="G95" s="745"/>
    </row>
    <row r="96" spans="1:7" x14ac:dyDescent="0.2">
      <c r="A96" s="741" t="s">
        <v>139</v>
      </c>
      <c r="B96" s="741" t="s">
        <v>174</v>
      </c>
      <c r="C96" s="743">
        <v>1700</v>
      </c>
      <c r="D96" s="751" t="str">
        <f>'Revenues 9-14'!A82</f>
        <v>Total District/School Activity Income</v>
      </c>
      <c r="E96" s="739"/>
      <c r="F96" s="1792">
        <f>SUM('Revenues 9-14'!C82,'Revenues 9-14'!D82)</f>
        <v>20445</v>
      </c>
      <c r="G96" s="745"/>
    </row>
    <row r="97" spans="1:7" x14ac:dyDescent="0.2">
      <c r="A97" s="741" t="s">
        <v>456</v>
      </c>
      <c r="B97" s="741" t="s">
        <v>175</v>
      </c>
      <c r="C97" s="743">
        <f>'Revenues 9-14'!B84</f>
        <v>1811</v>
      </c>
      <c r="D97" s="744" t="str">
        <f>'Revenues 9-14'!A84</f>
        <v>Rentals - Regular Textbooks</v>
      </c>
      <c r="E97" s="739"/>
      <c r="F97" s="1792">
        <f>'Revenues 9-14'!C84</f>
        <v>31804</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675</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5700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11922</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19625</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3040</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6828</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460725</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0</v>
      </c>
      <c r="G121" s="763"/>
    </row>
    <row r="122" spans="1:7" x14ac:dyDescent="0.2">
      <c r="A122" s="760" t="s">
        <v>497</v>
      </c>
      <c r="B122" s="760" t="s">
        <v>1926</v>
      </c>
      <c r="C122" s="761">
        <f>'Revenues 9-14'!B168</f>
        <v>3999</v>
      </c>
      <c r="D122" s="762" t="s">
        <v>540</v>
      </c>
      <c r="E122" s="764"/>
      <c r="F122" s="1792">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312758</v>
      </c>
      <c r="G126" s="763"/>
    </row>
    <row r="127" spans="1:7" x14ac:dyDescent="0.2">
      <c r="A127" s="760" t="s">
        <v>663</v>
      </c>
      <c r="B127" s="760" t="s">
        <v>1931</v>
      </c>
      <c r="C127" s="765">
        <v>4300</v>
      </c>
      <c r="D127" s="766" t="str">
        <f>'Revenues 9-14'!A204</f>
        <v>Total Title I</v>
      </c>
      <c r="E127" s="739"/>
      <c r="F127" s="1792">
        <f>SUM('Revenues 9-14'!C204,'Revenues 9-14'!D204,'Revenues 9-14'!F204,'Revenues 9-14'!G204)</f>
        <v>361851</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8977</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1206</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57534</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14070</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6444</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249558</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1669044</v>
      </c>
    </row>
    <row r="176" spans="1:7" ht="12" customHeight="1" x14ac:dyDescent="0.2">
      <c r="A176" s="1442"/>
      <c r="B176" s="1452"/>
      <c r="C176" s="1453"/>
      <c r="D176" s="1454" t="s">
        <v>2014</v>
      </c>
      <c r="E176" s="1455"/>
      <c r="F176" s="1792">
        <f>'PCTC-OEPP 27-28'!F78-F175</f>
        <v>6350182</v>
      </c>
    </row>
    <row r="177" spans="1:9" ht="12" customHeight="1" x14ac:dyDescent="0.2">
      <c r="A177" s="1442"/>
      <c r="B177" s="1452"/>
      <c r="C177" s="1453"/>
      <c r="D177" s="1454" t="s">
        <v>1794</v>
      </c>
      <c r="E177" s="1455"/>
      <c r="F177" s="1792">
        <f>'Cap Outlay Deprec 26'!I18</f>
        <v>607329</v>
      </c>
    </row>
    <row r="178" spans="1:9" ht="12" customHeight="1" x14ac:dyDescent="0.2">
      <c r="A178" s="1442"/>
      <c r="B178" s="1452"/>
      <c r="C178" s="1453"/>
      <c r="D178" s="1454" t="s">
        <v>2015</v>
      </c>
      <c r="E178" s="1455"/>
      <c r="F178" s="1792">
        <f>F176+F177</f>
        <v>6957511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780.6</v>
      </c>
      <c r="G179" s="763"/>
      <c r="I179" s="701"/>
    </row>
    <row r="180" spans="1:9" ht="12" customHeight="1" thickBot="1" x14ac:dyDescent="0.25">
      <c r="A180" s="1442"/>
      <c r="B180" s="1456"/>
      <c r="C180" s="1453"/>
      <c r="D180" s="1454" t="s">
        <v>2017</v>
      </c>
      <c r="E180" s="1455" t="s">
        <v>1528</v>
      </c>
      <c r="F180" s="1797">
        <f>F178/F179</f>
        <v>8913.0297207276453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4294967295" verticalDpi="4294967295"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1"/>
  <sheetViews>
    <sheetView showGridLines="0" topLeftCell="A14" zoomScaleNormal="100" workbookViewId="0">
      <selection activeCell="B33" sqref="B33"/>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6" t="s">
        <v>1796</v>
      </c>
      <c r="B6" s="1867"/>
      <c r="C6" s="1868"/>
      <c r="D6" s="1868"/>
      <c r="E6" s="1868"/>
      <c r="F6" s="1869"/>
    </row>
    <row r="7" spans="1:6" ht="47.25" customHeight="1" x14ac:dyDescent="0.25">
      <c r="A7" s="2385" t="s">
        <v>1985</v>
      </c>
      <c r="B7" s="2386"/>
      <c r="C7" s="2386"/>
      <c r="D7" s="2386"/>
      <c r="E7" s="2386"/>
      <c r="F7" s="2387"/>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2" t="s">
        <v>1982</v>
      </c>
      <c r="B12" s="1873"/>
      <c r="C12" s="1874"/>
      <c r="D12" s="1874"/>
      <c r="E12" s="1874"/>
      <c r="F12" s="1875"/>
    </row>
    <row r="13" spans="1:6" ht="17.25" customHeight="1" x14ac:dyDescent="0.25">
      <c r="A13" s="2385" t="s">
        <v>1983</v>
      </c>
      <c r="B13" s="2386"/>
      <c r="C13" s="2386"/>
      <c r="D13" s="2386"/>
      <c r="E13" s="2386"/>
      <c r="F13" s="2387"/>
    </row>
    <row r="14" spans="1:6" ht="15" customHeight="1" x14ac:dyDescent="0.25">
      <c r="A14" s="1872" t="s">
        <v>1800</v>
      </c>
      <c r="B14" s="1873"/>
      <c r="C14" s="1874"/>
      <c r="D14" s="1874"/>
      <c r="E14" s="1874"/>
      <c r="F14" s="1875"/>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4" t="s">
        <v>2073</v>
      </c>
      <c r="B18" s="1906">
        <v>402550300</v>
      </c>
      <c r="C18" s="2035" t="s">
        <v>2074</v>
      </c>
      <c r="D18" s="1884">
        <v>262904</v>
      </c>
      <c r="E18" s="1904" t="str">
        <f t="shared" ref="E18:E22" si="0">IF(D18&lt;25000,D18,"25,000")</f>
        <v>25,000</v>
      </c>
      <c r="F18" s="1904">
        <f t="shared" ref="F18:F22" si="1">IF(D18&gt;=25000,(D18-E18),"0")</f>
        <v>237904</v>
      </c>
      <c r="G18" s="1885"/>
    </row>
    <row r="19" spans="1:7" x14ac:dyDescent="0.25">
      <c r="A19" s="1886"/>
      <c r="B19" s="1906"/>
      <c r="C19" s="1883"/>
      <c r="D19" s="1884"/>
      <c r="E19" s="1904">
        <f t="shared" si="0"/>
        <v>0</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7"/>
      <c r="C23" s="1887"/>
      <c r="D23" s="1884"/>
      <c r="E23" s="1904">
        <f t="shared" ref="E23:E30" si="2">IF(D23&lt;25000,D23,"25,000")</f>
        <v>0</v>
      </c>
      <c r="F23" s="1904" t="str">
        <f t="shared" ref="F23:F30" si="3">IF(D23&gt;=25000,(D23-E23),"0")</f>
        <v>0</v>
      </c>
    </row>
    <row r="24" spans="1:7" x14ac:dyDescent="0.25">
      <c r="A24" s="1886"/>
      <c r="B24" s="1907"/>
      <c r="C24" s="1887"/>
      <c r="D24" s="1884"/>
      <c r="E24" s="1904">
        <f t="shared" si="2"/>
        <v>0</v>
      </c>
      <c r="F24" s="1904" t="str">
        <f t="shared" si="3"/>
        <v>0</v>
      </c>
    </row>
    <row r="25" spans="1:7" x14ac:dyDescent="0.25">
      <c r="A25" s="1886"/>
      <c r="B25" s="1907"/>
      <c r="C25" s="1887"/>
      <c r="D25" s="1884"/>
      <c r="E25" s="1904">
        <f t="shared" si="2"/>
        <v>0</v>
      </c>
      <c r="F25" s="1904" t="str">
        <f t="shared" si="3"/>
        <v>0</v>
      </c>
    </row>
    <row r="26" spans="1:7" x14ac:dyDescent="0.25">
      <c r="A26" s="1886"/>
      <c r="B26" s="1907"/>
      <c r="C26" s="1887"/>
      <c r="D26" s="1884"/>
      <c r="E26" s="1904">
        <f t="shared" si="2"/>
        <v>0</v>
      </c>
      <c r="F26" s="1904" t="str">
        <f t="shared" si="3"/>
        <v>0</v>
      </c>
    </row>
    <row r="27" spans="1:7" x14ac:dyDescent="0.25">
      <c r="A27" s="1886"/>
      <c r="B27" s="1907"/>
      <c r="C27" s="1887"/>
      <c r="D27" s="1884"/>
      <c r="E27" s="1904">
        <f t="shared" si="2"/>
        <v>0</v>
      </c>
      <c r="F27" s="1904" t="str">
        <f t="shared" si="3"/>
        <v>0</v>
      </c>
    </row>
    <row r="28" spans="1:7" x14ac:dyDescent="0.25">
      <c r="A28" s="1886"/>
      <c r="B28" s="1907"/>
      <c r="C28" s="1887"/>
      <c r="D28" s="1884"/>
      <c r="E28" s="1904">
        <f t="shared" si="2"/>
        <v>0</v>
      </c>
      <c r="F28" s="1904" t="str">
        <f t="shared" si="3"/>
        <v>0</v>
      </c>
    </row>
    <row r="29" spans="1:7" x14ac:dyDescent="0.25">
      <c r="A29" s="1886"/>
      <c r="B29" s="1907"/>
      <c r="C29" s="1887"/>
      <c r="D29" s="1884"/>
      <c r="E29" s="1904">
        <f t="shared" si="2"/>
        <v>0</v>
      </c>
      <c r="F29" s="1904" t="str">
        <f t="shared" si="3"/>
        <v>0</v>
      </c>
    </row>
    <row r="30" spans="1:7" x14ac:dyDescent="0.25">
      <c r="A30" s="1886"/>
      <c r="B30" s="1908"/>
      <c r="C30" s="1887"/>
      <c r="D30" s="1884"/>
      <c r="E30" s="1904">
        <f t="shared" si="2"/>
        <v>0</v>
      </c>
      <c r="F30" s="1904" t="str">
        <f t="shared" si="3"/>
        <v>0</v>
      </c>
    </row>
    <row r="31" spans="1:7" x14ac:dyDescent="0.25">
      <c r="A31" s="1888" t="s">
        <v>155</v>
      </c>
      <c r="B31" s="1909"/>
      <c r="C31" s="1889"/>
      <c r="D31" s="1890">
        <f>SUM(D18:D30)</f>
        <v>262904</v>
      </c>
      <c r="E31" s="1891">
        <f>SUM(E18:E30)</f>
        <v>0</v>
      </c>
      <c r="F31" s="1892">
        <f>SUM(F18:F30)</f>
        <v>237904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B33" sqref="B3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1894</v>
      </c>
      <c r="B10" s="803"/>
      <c r="C10" s="807"/>
      <c r="D10" s="804"/>
      <c r="E10" s="1799"/>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0">
        <v>44084</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4737002</v>
      </c>
      <c r="F19" s="1801"/>
      <c r="G19" s="1803">
        <f>'Expenditures 15-22'!K33-SUM('Expenditures 15-22'!G33,'Expenditures 15-22'!I33)+'Expenditures 15-22'!D229</f>
        <v>4737002</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269509</v>
      </c>
      <c r="F21" s="1804"/>
      <c r="G21" s="1807">
        <f>'Expenditures 15-22'!K42-SUM('Expenditures 15-22'!G42,'Expenditures 15-22'!I42)+'Expenditures 15-22'!K120-SUM('Expenditures 15-22'!G120,'Expenditures 15-22'!I120)+'Expenditures 15-22'!K180-SUM('Expenditures 15-22'!G180,'Expenditures 15-22'!I180)+'Expenditures 15-22'!D238</f>
        <v>269509</v>
      </c>
      <c r="H21" s="817"/>
      <c r="I21" s="157"/>
    </row>
    <row r="22" spans="1:9" s="542" customFormat="1" ht="12" customHeight="1" x14ac:dyDescent="0.2">
      <c r="A22" s="824" t="s">
        <v>560</v>
      </c>
      <c r="B22" s="825"/>
      <c r="C22" s="823">
        <v>2200</v>
      </c>
      <c r="D22" s="1804"/>
      <c r="E22" s="1806">
        <f>'Expenditures 15-22'!K47-SUM('Expenditures 15-22'!G47,'Expenditures 15-22'!I47)+'Expenditures 15-22'!D243</f>
        <v>142402</v>
      </c>
      <c r="F22" s="1804"/>
      <c r="G22" s="1807">
        <f>'Expenditures 15-22'!K47-SUM('Expenditures 15-22'!G47,'Expenditures 15-22'!I47)+'Expenditures 15-22'!D243</f>
        <v>142402</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454749</v>
      </c>
      <c r="F23" s="1804"/>
      <c r="G23" s="1806">
        <f>'Expenditures 15-22'!K53-SUM('Expenditures 15-22'!G53,'Expenditures 15-22'!I53)+'Expenditures 15-22'!D257+'Expenditures 15-22'!K330-SUM('Expenditures 15-22'!G330,'Expenditures 15-22'!I330)</f>
        <v>454749</v>
      </c>
      <c r="H23" s="817"/>
      <c r="I23" s="157"/>
    </row>
    <row r="24" spans="1:9" s="542" customFormat="1" ht="12" customHeight="1" x14ac:dyDescent="0.2">
      <c r="A24" s="824" t="s">
        <v>562</v>
      </c>
      <c r="B24" s="825"/>
      <c r="C24" s="823">
        <v>2400</v>
      </c>
      <c r="D24" s="1804"/>
      <c r="E24" s="1806">
        <f>'Expenditures 15-22'!K57-SUM('Expenditures 15-22'!G57,'Expenditures 15-22'!I57)+'Expenditures 15-22'!D261</f>
        <v>676780</v>
      </c>
      <c r="F24" s="1804"/>
      <c r="G24" s="1807">
        <f>'Expenditures 15-22'!K57-SUM('Expenditures 15-22'!G57,'Expenditures 15-22'!I57)+'Expenditures 15-22'!D261</f>
        <v>676780</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164297</v>
      </c>
      <c r="E27" s="1806">
        <f>E8</f>
        <v>0</v>
      </c>
      <c r="F27" s="1806">
        <f>'Expenditures 15-22'!K60-SUM('Expenditures 15-22'!G60,'Expenditures 15-22'!I60)+'Expenditures 15-22'!D264-E8</f>
        <v>164297</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639335</v>
      </c>
      <c r="F28" s="1808">
        <f>'Expenditures 15-22'!K61-SUM('Expenditures 15-22'!G61,'Expenditures 15-22'!I61)+'Expenditures 15-22'!K124-SUM('Expenditures 15-22'!G124,'Expenditures 15-22'!I124)+'Expenditures 15-22'!D266-E9</f>
        <v>639335</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685747</v>
      </c>
      <c r="F29" s="1804"/>
      <c r="G29" s="1807">
        <f>'Expenditures 15-22'!K62-SUM('Expenditures 15-22'!G62,'Expenditures 15-22'!I62)+'Expenditures 15-22'!K125-SUM('Expenditures 15-22'!G125,'Expenditures 15-22'!I125)+'Expenditures 15-22'!K182-SUM('Expenditures 15-22'!G182,'Expenditures 15-22'!I182)+'Expenditures 15-22'!D267</f>
        <v>685747</v>
      </c>
      <c r="H29" s="815"/>
    </row>
    <row r="30" spans="1:9" ht="12" customHeight="1" x14ac:dyDescent="0.2">
      <c r="A30" s="824" t="s">
        <v>100</v>
      </c>
      <c r="B30" s="827"/>
      <c r="C30" s="823">
        <v>2560</v>
      </c>
      <c r="D30" s="1804"/>
      <c r="E30" s="1806">
        <f>'Expenditures 15-22'!K63-SUM('Expenditures 15-22'!G63,'Expenditures 15-22'!I63)+'Expenditures 15-22'!D268-E10</f>
        <v>426681</v>
      </c>
      <c r="F30" s="1804"/>
      <c r="G30" s="1806">
        <f>'Expenditures 15-22'!K63-SUM('Expenditures 15-22'!G63,'Expenditures 15-22'!I63)+'Expenditures 15-22'!D268-E10</f>
        <v>426681</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36821</v>
      </c>
      <c r="E37" s="1806">
        <f>E14</f>
        <v>0</v>
      </c>
      <c r="F37" s="1806">
        <f>'Expenditures 15-22'!K71-SUM('Expenditures 15-22'!G71,'Expenditures 15-22'!I71)+'Expenditures 15-22'!D276-E14</f>
        <v>36821</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2011</v>
      </c>
      <c r="F38" s="1804"/>
      <c r="G38" s="1806">
        <f>'Expenditures 15-22'!K73-SUM('Expenditures 15-22'!G73,'Expenditures 15-22'!I73)+'Expenditures 15-22'!K128-SUM('Expenditures 15-22'!G128,'Expenditures 15-22'!I128)+'Expenditures 15-22'!K183-SUM('Expenditures 15-22'!G183,'Expenditures 15-22'!I183)+'Expenditures 15-22'!D278</f>
        <v>2011</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1837</v>
      </c>
      <c r="F39" s="1804"/>
      <c r="G39" s="1806">
        <f>'Expenditures 15-22'!K75-SUM('Expenditures 15-22'!G75,'Expenditures 15-22'!I75)+'Expenditures 15-22'!K130-SUM('Expenditures 15-22'!G130,'Expenditures 15-22'!I130)+'Expenditures 15-22'!K185-SUM('Expenditures 15-22'!G185,'Expenditures 15-22'!I185)+'Expenditures 15-22'!D280</f>
        <v>1837</v>
      </c>
    </row>
    <row r="40" spans="1:7" ht="12" customHeight="1" x14ac:dyDescent="0.2">
      <c r="A40" s="820" t="s">
        <v>1798</v>
      </c>
      <c r="B40" s="821"/>
      <c r="C40" s="823"/>
      <c r="D40" s="1804"/>
      <c r="E40" s="1808">
        <f>-'Contracts Paid in CY 29'!F31</f>
        <v>-237904</v>
      </c>
      <c r="F40" s="1804"/>
      <c r="G40" s="1808">
        <f>-'Contracts Paid in CY 29'!F31</f>
        <v>-237904</v>
      </c>
    </row>
    <row r="41" spans="1:7" ht="12" customHeight="1" x14ac:dyDescent="0.2">
      <c r="A41" s="828" t="s">
        <v>155</v>
      </c>
      <c r="B41" s="829"/>
      <c r="C41" s="830"/>
      <c r="D41" s="1808">
        <f>SUM(D19:D39)</f>
        <v>201118</v>
      </c>
      <c r="E41" s="1808">
        <f>SUM(E19:E40)</f>
        <v>7798149</v>
      </c>
      <c r="F41" s="1808">
        <f>SUM(F19:F39)</f>
        <v>840453</v>
      </c>
      <c r="G41" s="1808">
        <f>SUM(G19:G40)</f>
        <v>7158814</v>
      </c>
    </row>
    <row r="42" spans="1:7" x14ac:dyDescent="0.2">
      <c r="A42" s="817"/>
      <c r="B42" s="157"/>
      <c r="C42" s="831"/>
      <c r="D42" s="2394" t="s">
        <v>519</v>
      </c>
      <c r="E42" s="2395"/>
      <c r="F42" s="832" t="s">
        <v>520</v>
      </c>
      <c r="G42" s="833"/>
    </row>
    <row r="43" spans="1:7" ht="12" customHeight="1" x14ac:dyDescent="0.2">
      <c r="A43" s="817"/>
      <c r="B43" s="157"/>
      <c r="C43" s="831"/>
      <c r="D43" s="1457" t="s">
        <v>470</v>
      </c>
      <c r="E43" s="1809">
        <f>D41</f>
        <v>201118</v>
      </c>
      <c r="F43" s="1457" t="s">
        <v>470</v>
      </c>
      <c r="G43" s="1809">
        <f>F41</f>
        <v>840453</v>
      </c>
    </row>
    <row r="44" spans="1:7" ht="12" customHeight="1" x14ac:dyDescent="0.2">
      <c r="A44" s="817"/>
      <c r="B44" s="157"/>
      <c r="C44" s="831"/>
      <c r="D44" s="1457" t="s">
        <v>471</v>
      </c>
      <c r="E44" s="1809">
        <f>E41</f>
        <v>7798149</v>
      </c>
      <c r="F44" s="1457" t="s">
        <v>471</v>
      </c>
      <c r="G44" s="1809">
        <f>G41</f>
        <v>7158814</v>
      </c>
    </row>
    <row r="45" spans="1:7" ht="12" customHeight="1" x14ac:dyDescent="0.2">
      <c r="A45" s="817"/>
      <c r="B45" s="157"/>
      <c r="C45" s="157"/>
      <c r="D45" s="1458" t="s">
        <v>999</v>
      </c>
      <c r="E45" s="1810">
        <f>(E43/E44)</f>
        <v>2.5790479253474125E-2</v>
      </c>
      <c r="F45" s="1458" t="s">
        <v>999</v>
      </c>
      <c r="G45" s="1810">
        <f>(G43/G44)</f>
        <v>0.11740115052577145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7" zoomScale="110" zoomScaleNormal="110" workbookViewId="0">
      <selection activeCell="B33" sqref="B3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02" t="s">
        <v>1363</v>
      </c>
      <c r="B1" s="2402"/>
      <c r="C1" s="2402"/>
      <c r="D1" s="2402"/>
      <c r="E1" s="2402"/>
      <c r="F1" s="2402"/>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3" t="s">
        <v>1529</v>
      </c>
      <c r="B5" s="2404"/>
      <c r="C5" s="2405"/>
      <c r="D5" s="2405"/>
      <c r="E5" s="2405"/>
      <c r="F5" s="2405"/>
      <c r="G5" s="1506"/>
      <c r="L5" s="1506"/>
      <c r="M5" s="1854"/>
      <c r="N5" s="1854"/>
      <c r="O5" s="1854"/>
    </row>
    <row r="6" spans="1:15" ht="12" customHeight="1" x14ac:dyDescent="0.25">
      <c r="A6" s="1479"/>
      <c r="B6" s="1480"/>
      <c r="C6" s="2406" t="str">
        <f>COVER!A17</f>
        <v xml:space="preserve">   West Central CUSD 235</v>
      </c>
      <c r="D6" s="2406"/>
      <c r="E6" s="2406"/>
      <c r="F6" s="1481"/>
      <c r="G6" s="1506"/>
      <c r="L6" s="1506"/>
      <c r="M6" s="1854"/>
      <c r="N6" s="1854"/>
      <c r="O6" s="1854"/>
    </row>
    <row r="7" spans="1:15" ht="11.25" customHeight="1" thickBot="1" x14ac:dyDescent="0.3">
      <c r="A7" s="1479"/>
      <c r="B7" s="1480"/>
      <c r="C7" s="2407">
        <f>COVER!A13</f>
        <v>33036235026</v>
      </c>
      <c r="D7" s="2407"/>
      <c r="E7" s="2407"/>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t="s">
        <v>2051</v>
      </c>
      <c r="D15" s="1494" t="s">
        <v>2051</v>
      </c>
      <c r="E15" s="1497"/>
      <c r="F15" s="1496" t="s">
        <v>2075</v>
      </c>
      <c r="G15" s="1506"/>
      <c r="H15" s="1506">
        <f t="shared" si="0"/>
        <v>5</v>
      </c>
      <c r="I15" s="1506">
        <f t="shared" si="1"/>
        <v>5</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2051</v>
      </c>
      <c r="D19" s="1494" t="s">
        <v>2051</v>
      </c>
      <c r="E19" s="1497"/>
      <c r="F19" s="1496" t="s">
        <v>2076</v>
      </c>
      <c r="G19" s="1506"/>
      <c r="H19" s="1506">
        <f t="shared" si="0"/>
        <v>5</v>
      </c>
      <c r="I19" s="1506">
        <f t="shared" si="1"/>
        <v>5</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2051</v>
      </c>
      <c r="D26" s="1494" t="s">
        <v>2051</v>
      </c>
      <c r="E26" s="1497"/>
      <c r="F26" s="1496" t="s">
        <v>2077</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t="s">
        <v>2051</v>
      </c>
      <c r="D28" s="1494" t="s">
        <v>2051</v>
      </c>
      <c r="E28" s="1497"/>
      <c r="F28" s="1496" t="s">
        <v>2078</v>
      </c>
      <c r="G28" s="1506"/>
      <c r="H28" s="1506">
        <f t="shared" si="0"/>
        <v>5</v>
      </c>
      <c r="I28" s="1506">
        <f t="shared" si="1"/>
        <v>5</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t="s">
        <v>2051</v>
      </c>
      <c r="D31" s="1494" t="s">
        <v>2051</v>
      </c>
      <c r="E31" s="1497"/>
      <c r="F31" s="1496" t="s">
        <v>2127</v>
      </c>
      <c r="G31" s="1506"/>
      <c r="H31" s="1506">
        <f t="shared" si="0"/>
        <v>5</v>
      </c>
      <c r="I31" s="1506">
        <f t="shared" si="1"/>
        <v>5</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25</v>
      </c>
      <c r="I34" s="1506">
        <f>SUM(I11:I32)</f>
        <v>25</v>
      </c>
      <c r="J34" s="1506">
        <f>SUM(J11:J32)</f>
        <v>0</v>
      </c>
      <c r="K34" s="1506">
        <f>SUM(H34:J34)</f>
        <v>50</v>
      </c>
      <c r="L34" s="1506"/>
      <c r="M34" s="1854"/>
      <c r="N34" s="1854"/>
      <c r="O34" s="1854"/>
    </row>
    <row r="35" spans="1:15" ht="12" customHeight="1" x14ac:dyDescent="0.2">
      <c r="A35" s="1499" t="s">
        <v>1376</v>
      </c>
      <c r="B35" s="1500"/>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1"/>
      <c r="B39" s="1501"/>
      <c r="C39" s="1501"/>
      <c r="D39" s="1501"/>
      <c r="E39" s="1501"/>
      <c r="F39" s="1501"/>
    </row>
    <row r="40" spans="1:15" s="1498" customFormat="1" ht="12" customHeight="1" x14ac:dyDescent="0.25">
      <c r="A40" s="1502" t="s">
        <v>1375</v>
      </c>
      <c r="B40" s="1503"/>
      <c r="C40" s="2416"/>
      <c r="D40" s="2416"/>
      <c r="E40" s="2416"/>
      <c r="F40" s="2417"/>
      <c r="H40" s="1507"/>
      <c r="I40" s="1507"/>
      <c r="J40" s="1507"/>
      <c r="K40" s="1507"/>
    </row>
    <row r="41" spans="1:15" s="1498" customFormat="1" ht="12" customHeight="1" x14ac:dyDescent="0.25">
      <c r="A41" s="2418"/>
      <c r="B41" s="2419"/>
      <c r="C41" s="2419"/>
      <c r="D41" s="2419"/>
      <c r="E41" s="2419"/>
      <c r="F41" s="2420"/>
      <c r="H41" s="1507"/>
      <c r="I41" s="1507"/>
      <c r="J41" s="1507"/>
      <c r="K41" s="1507"/>
    </row>
    <row r="42" spans="1:15" s="1498" customFormat="1" ht="12" customHeight="1" x14ac:dyDescent="0.25">
      <c r="A42" s="2418"/>
      <c r="B42" s="2419"/>
      <c r="C42" s="2419"/>
      <c r="D42" s="2419"/>
      <c r="E42" s="2419"/>
      <c r="F42" s="2420"/>
      <c r="H42" s="1507"/>
      <c r="I42" s="1507"/>
      <c r="J42" s="1507"/>
      <c r="K42" s="1507"/>
    </row>
    <row r="43" spans="1:15" s="1498" customFormat="1" ht="15" x14ac:dyDescent="0.25">
      <c r="A43" s="2410"/>
      <c r="B43" s="2411"/>
      <c r="C43" s="2411"/>
      <c r="D43" s="2411"/>
      <c r="E43" s="2411"/>
      <c r="F43" s="2412"/>
      <c r="H43" s="1507"/>
      <c r="I43" s="1507"/>
      <c r="J43" s="1507"/>
      <c r="K43" s="1507"/>
    </row>
    <row r="44" spans="1:15" s="1498" customFormat="1" ht="12" hidden="1" customHeight="1" x14ac:dyDescent="0.25">
      <c r="A44" s="2410"/>
      <c r="B44" s="2411"/>
      <c r="C44" s="2411"/>
      <c r="D44" s="2411"/>
      <c r="E44" s="2411"/>
      <c r="F44" s="2412"/>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4294967295" verticalDpi="4294967295"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22" t="str">
        <f>COVER!A17</f>
        <v xml:space="preserve">   West Central CUSD 235</v>
      </c>
      <c r="K6" s="2422"/>
      <c r="L6" s="2423"/>
      <c r="M6" s="838"/>
      <c r="N6" s="1996"/>
    </row>
    <row r="7" spans="1:14" x14ac:dyDescent="0.2">
      <c r="A7" s="2424" t="s">
        <v>864</v>
      </c>
      <c r="B7" s="2425"/>
      <c r="C7" s="2425"/>
      <c r="D7" s="2425"/>
      <c r="E7" s="2426"/>
      <c r="F7" s="839"/>
      <c r="G7" s="838"/>
      <c r="H7" s="838"/>
      <c r="I7" s="1922" t="s">
        <v>369</v>
      </c>
      <c r="J7" s="2427">
        <f>COVER!A13</f>
        <v>33036235026</v>
      </c>
      <c r="K7" s="2427"/>
      <c r="L7" s="2427"/>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28" t="s">
        <v>478</v>
      </c>
      <c r="B11" s="2429"/>
      <c r="C11" s="2430"/>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207471</v>
      </c>
      <c r="F12" s="1940"/>
      <c r="G12" s="1966">
        <f>G68</f>
        <v>0</v>
      </c>
      <c r="H12" s="1942">
        <f t="shared" ref="H12:H18" si="0">SUM(E12:G12)</f>
        <v>207471</v>
      </c>
      <c r="I12" s="1941">
        <v>218266</v>
      </c>
      <c r="J12" s="1940"/>
      <c r="K12" s="1941"/>
      <c r="L12" s="1942">
        <f t="shared" ref="L12:L18" si="1">SUM(I12:K12)</f>
        <v>218266</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31" t="s">
        <v>7</v>
      </c>
      <c r="C18" s="2432"/>
      <c r="D18" s="2433"/>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207471</v>
      </c>
      <c r="F19" s="1948">
        <f t="shared" si="2"/>
        <v>0</v>
      </c>
      <c r="G19" s="1948">
        <f t="shared" ref="G19" si="3">SUM(G12:G17)-G18</f>
        <v>0</v>
      </c>
      <c r="H19" s="1948">
        <f t="shared" si="2"/>
        <v>207471</v>
      </c>
      <c r="I19" s="1948">
        <f t="shared" si="2"/>
        <v>218266</v>
      </c>
      <c r="J19" s="1948">
        <f t="shared" si="2"/>
        <v>0</v>
      </c>
      <c r="K19" s="1948">
        <f t="shared" si="2"/>
        <v>0</v>
      </c>
      <c r="L19" s="1948">
        <f t="shared" si="2"/>
        <v>218266</v>
      </c>
      <c r="M19" s="838"/>
      <c r="N19" s="1996"/>
    </row>
    <row r="20" spans="1:14" ht="13.5" thickTop="1" x14ac:dyDescent="0.2">
      <c r="A20" s="2001">
        <v>9</v>
      </c>
      <c r="B20" s="2434" t="s">
        <v>2021</v>
      </c>
      <c r="C20" s="2434"/>
      <c r="D20" s="2435"/>
      <c r="E20" s="1949"/>
      <c r="F20" s="1949"/>
      <c r="G20" s="1949"/>
      <c r="H20" s="1949"/>
      <c r="I20" s="1949"/>
      <c r="J20" s="1949"/>
      <c r="K20" s="1949"/>
      <c r="L20" s="1950">
        <f>IF(AND(H19&gt;0,L19&gt;0),(((L19-H19)/H19)),"Enter Budget Data")</f>
        <v>5.2031368239416592E-2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6"/>
      <c r="D27" s="2436"/>
      <c r="E27" s="843"/>
      <c r="F27" s="2437"/>
      <c r="G27" s="2437"/>
      <c r="H27" s="2437"/>
      <c r="I27" s="838"/>
      <c r="J27" s="838"/>
      <c r="K27" s="838"/>
      <c r="L27" s="838"/>
      <c r="M27" s="838"/>
      <c r="N27" s="1996"/>
    </row>
    <row r="28" spans="1:14" x14ac:dyDescent="0.2">
      <c r="A28" s="1995"/>
      <c r="B28" s="2005"/>
      <c r="C28" s="1955" t="s">
        <v>1026</v>
      </c>
      <c r="D28" s="844"/>
      <c r="E28" s="1956"/>
      <c r="F28" s="2438" t="s">
        <v>1492</v>
      </c>
      <c r="G28" s="2438"/>
      <c r="H28" s="2438"/>
      <c r="I28" s="838"/>
      <c r="J28" s="838"/>
      <c r="K28" s="838"/>
      <c r="L28" s="838"/>
      <c r="M28" s="838"/>
      <c r="N28" s="1996"/>
    </row>
    <row r="29" spans="1:14" x14ac:dyDescent="0.2">
      <c r="A29" s="1995"/>
      <c r="B29" s="2005"/>
      <c r="C29" s="2439"/>
      <c r="D29" s="2439"/>
      <c r="E29" s="845"/>
      <c r="F29" s="2439"/>
      <c r="G29" s="2439"/>
      <c r="H29" s="2439"/>
      <c r="I29" s="838"/>
      <c r="J29" s="838"/>
      <c r="K29" s="838"/>
      <c r="L29" s="838"/>
      <c r="M29" s="838"/>
      <c r="N29" s="1996"/>
    </row>
    <row r="30" spans="1:14" x14ac:dyDescent="0.2">
      <c r="A30" s="1995"/>
      <c r="B30" s="2005"/>
      <c r="C30" s="1958" t="s">
        <v>1544</v>
      </c>
      <c r="D30" s="838"/>
      <c r="E30" s="1957"/>
      <c r="F30" s="2421" t="s">
        <v>1493</v>
      </c>
      <c r="G30" s="2421"/>
      <c r="H30" s="2421"/>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42" t="s">
        <v>2024</v>
      </c>
      <c r="D34" s="2443"/>
      <c r="E34" s="2443"/>
      <c r="F34" s="2443"/>
      <c r="G34" s="2443"/>
      <c r="H34" s="2443"/>
      <c r="I34" s="2443"/>
      <c r="J34" s="2443"/>
      <c r="K34" s="2014"/>
      <c r="L34" s="838"/>
      <c r="M34" s="838"/>
      <c r="N34" s="1996"/>
    </row>
    <row r="35" spans="1:14" x14ac:dyDescent="0.2">
      <c r="A35" s="1995"/>
      <c r="B35" s="838"/>
      <c r="C35" s="2443"/>
      <c r="D35" s="2443"/>
      <c r="E35" s="2443"/>
      <c r="F35" s="2443"/>
      <c r="G35" s="2443"/>
      <c r="H35" s="2443"/>
      <c r="I35" s="2443"/>
      <c r="J35" s="2443"/>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42" t="s">
        <v>2025</v>
      </c>
      <c r="D37" s="2443"/>
      <c r="E37" s="2443"/>
      <c r="F37" s="2443"/>
      <c r="G37" s="2443"/>
      <c r="H37" s="2443"/>
      <c r="I37" s="2443"/>
      <c r="J37" s="2443"/>
      <c r="K37" s="2014"/>
      <c r="L37" s="2016"/>
      <c r="M37" s="838"/>
      <c r="N37" s="1996"/>
    </row>
    <row r="38" spans="1:14" x14ac:dyDescent="0.2">
      <c r="A38" s="1995"/>
      <c r="B38" s="838"/>
      <c r="C38" s="2443"/>
      <c r="D38" s="2443"/>
      <c r="E38" s="2443"/>
      <c r="F38" s="2443"/>
      <c r="G38" s="2443"/>
      <c r="H38" s="2443"/>
      <c r="I38" s="2443"/>
      <c r="J38" s="2443"/>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4" t="s">
        <v>2026</v>
      </c>
      <c r="D40" s="2445"/>
      <c r="E40" s="2445"/>
      <c r="F40" s="2445"/>
      <c r="G40" s="2445"/>
      <c r="H40" s="2445"/>
      <c r="I40" s="2445"/>
      <c r="J40" s="2445"/>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6" t="s">
        <v>2027</v>
      </c>
      <c r="B43" s="2447"/>
      <c r="C43" s="2447"/>
      <c r="D43" s="2447"/>
      <c r="E43" s="2447"/>
      <c r="F43" s="2447"/>
      <c r="G43" s="2447"/>
      <c r="H43" s="2447"/>
      <c r="I43" s="2447"/>
      <c r="J43" s="2447"/>
      <c r="K43" s="2447"/>
      <c r="L43" s="2447"/>
      <c r="M43" s="2447"/>
      <c r="N43" s="2448"/>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49" t="s">
        <v>2029</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22" t="str">
        <f>J6</f>
        <v xml:space="preserve">   West Central CUSD 235</v>
      </c>
      <c r="M52" s="2422"/>
      <c r="N52" s="2452"/>
    </row>
    <row r="53" spans="1:14" x14ac:dyDescent="0.2">
      <c r="A53" s="1980"/>
      <c r="B53" s="1981"/>
      <c r="C53" s="1981"/>
      <c r="D53" s="1981"/>
      <c r="E53" s="1981"/>
      <c r="F53" s="1981"/>
      <c r="G53" s="1981"/>
      <c r="H53" s="1981"/>
      <c r="I53" s="1981"/>
      <c r="J53" s="1981"/>
      <c r="K53" s="1922" t="s">
        <v>369</v>
      </c>
      <c r="L53" s="2427">
        <f>J7</f>
        <v>33036235026</v>
      </c>
      <c r="M53" s="2427"/>
      <c r="N53" s="2453"/>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4"/>
      <c r="B55" s="2455"/>
      <c r="C55" s="2455"/>
      <c r="D55" s="1968"/>
      <c r="E55" s="1968"/>
      <c r="F55" s="1968"/>
      <c r="G55" s="2456" t="s">
        <v>2030</v>
      </c>
      <c r="H55" s="2456"/>
      <c r="I55" s="2456"/>
      <c r="J55" s="2456"/>
      <c r="K55" s="2456"/>
      <c r="L55" s="2456"/>
      <c r="M55" s="2456"/>
      <c r="N55" s="2457"/>
    </row>
    <row r="56" spans="1:14" ht="63.75" x14ac:dyDescent="0.2">
      <c r="A56" s="2458" t="s">
        <v>2031</v>
      </c>
      <c r="B56" s="2459"/>
      <c r="C56" s="2460"/>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61" t="s">
        <v>296</v>
      </c>
      <c r="B57" s="2462"/>
      <c r="C57" s="2462"/>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40" t="s">
        <v>2041</v>
      </c>
      <c r="B58" s="2441"/>
      <c r="C58" s="2441"/>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2">
      <c r="A59" s="2463" t="s">
        <v>297</v>
      </c>
      <c r="B59" s="2464"/>
      <c r="C59" s="2464"/>
      <c r="D59" s="1965">
        <v>2363</v>
      </c>
      <c r="E59" s="1975">
        <f>'Expenditures 15-22'!K321</f>
        <v>12354</v>
      </c>
      <c r="F59" s="1970"/>
      <c r="G59" s="2029"/>
      <c r="H59" s="2030"/>
      <c r="I59" s="2030"/>
      <c r="J59" s="2030"/>
      <c r="K59" s="2030"/>
      <c r="L59" s="2030"/>
      <c r="M59" s="2030">
        <v>12354</v>
      </c>
      <c r="N59" s="1973">
        <f>IF((SUM(G59:M59))=E59,SUM(G59:M59),"Column N does not agree with Column E")</f>
        <v>12354</v>
      </c>
    </row>
    <row r="60" spans="1:14" ht="24" customHeight="1" x14ac:dyDescent="0.2">
      <c r="A60" s="2463" t="s">
        <v>236</v>
      </c>
      <c r="B60" s="2464"/>
      <c r="C60" s="2464"/>
      <c r="D60" s="1965">
        <v>2364</v>
      </c>
      <c r="E60" s="1975">
        <f>'Expenditures 15-22'!K322</f>
        <v>170851</v>
      </c>
      <c r="F60" s="1970"/>
      <c r="G60" s="2029"/>
      <c r="H60" s="2030"/>
      <c r="I60" s="2030"/>
      <c r="J60" s="2030"/>
      <c r="K60" s="2030"/>
      <c r="L60" s="2030"/>
      <c r="M60" s="2030">
        <v>170851</v>
      </c>
      <c r="N60" s="1973">
        <f t="shared" ref="N60:N67" si="4">IF((SUM(G60:M60))=E60,SUM(G60:M60),"Column N does not agree with Column E")</f>
        <v>170851</v>
      </c>
    </row>
    <row r="61" spans="1:14" ht="24.75" customHeight="1" x14ac:dyDescent="0.2">
      <c r="A61" s="2463" t="s">
        <v>697</v>
      </c>
      <c r="B61" s="2464"/>
      <c r="C61" s="2464"/>
      <c r="D61" s="1965">
        <v>2365</v>
      </c>
      <c r="E61" s="1975">
        <f>'Expenditures 15-22'!K323</f>
        <v>0</v>
      </c>
      <c r="F61" s="1970"/>
      <c r="G61" s="2029"/>
      <c r="H61" s="2030"/>
      <c r="I61" s="2030"/>
      <c r="J61" s="2030"/>
      <c r="K61" s="2030"/>
      <c r="L61" s="2030"/>
      <c r="M61" s="2030"/>
      <c r="N61" s="1973">
        <f t="shared" si="4"/>
        <v>0</v>
      </c>
    </row>
    <row r="62" spans="1:14" ht="24" customHeight="1" x14ac:dyDescent="0.2">
      <c r="A62" s="2463" t="s">
        <v>237</v>
      </c>
      <c r="B62" s="2464"/>
      <c r="C62" s="2464"/>
      <c r="D62" s="1965">
        <v>2366</v>
      </c>
      <c r="E62" s="1975">
        <f>'Expenditures 15-22'!K324</f>
        <v>0</v>
      </c>
      <c r="F62" s="1970"/>
      <c r="G62" s="2029"/>
      <c r="H62" s="2030"/>
      <c r="I62" s="2030"/>
      <c r="J62" s="2030"/>
      <c r="K62" s="2030"/>
      <c r="L62" s="2030"/>
      <c r="M62" s="2030"/>
      <c r="N62" s="1973">
        <f t="shared" si="4"/>
        <v>0</v>
      </c>
    </row>
    <row r="63" spans="1:14" ht="24" customHeight="1" x14ac:dyDescent="0.2">
      <c r="A63" s="2440" t="s">
        <v>1022</v>
      </c>
      <c r="B63" s="2441"/>
      <c r="C63" s="2441"/>
      <c r="D63" s="1965">
        <v>2367</v>
      </c>
      <c r="E63" s="1975">
        <f>'Expenditures 15-22'!K325</f>
        <v>4475</v>
      </c>
      <c r="F63" s="1970"/>
      <c r="G63" s="2029"/>
      <c r="H63" s="2030"/>
      <c r="I63" s="2030"/>
      <c r="J63" s="2030"/>
      <c r="K63" s="2030"/>
      <c r="L63" s="2030"/>
      <c r="M63" s="2030">
        <v>4475</v>
      </c>
      <c r="N63" s="1973">
        <f t="shared" si="4"/>
        <v>4475</v>
      </c>
    </row>
    <row r="64" spans="1:14" ht="24" customHeight="1" x14ac:dyDescent="0.2">
      <c r="A64" s="2463" t="s">
        <v>1023</v>
      </c>
      <c r="B64" s="2464"/>
      <c r="C64" s="2464"/>
      <c r="D64" s="1965">
        <v>2368</v>
      </c>
      <c r="E64" s="1975">
        <f>'Expenditures 15-22'!K326</f>
        <v>0</v>
      </c>
      <c r="F64" s="1970"/>
      <c r="G64" s="2029"/>
      <c r="H64" s="2030"/>
      <c r="I64" s="2030"/>
      <c r="J64" s="2030"/>
      <c r="K64" s="2030"/>
      <c r="L64" s="2030"/>
      <c r="M64" s="2030"/>
      <c r="N64" s="1973">
        <f t="shared" si="4"/>
        <v>0</v>
      </c>
    </row>
    <row r="65" spans="1:14" ht="24" customHeight="1" x14ac:dyDescent="0.2">
      <c r="A65" s="2463" t="s">
        <v>965</v>
      </c>
      <c r="B65" s="2464"/>
      <c r="C65" s="2464"/>
      <c r="D65" s="1965">
        <v>2369</v>
      </c>
      <c r="E65" s="1975">
        <f>'Expenditures 15-22'!K327</f>
        <v>3450</v>
      </c>
      <c r="F65" s="1970"/>
      <c r="G65" s="2029"/>
      <c r="H65" s="2030"/>
      <c r="I65" s="2030"/>
      <c r="J65" s="2030"/>
      <c r="K65" s="2030"/>
      <c r="L65" s="2030"/>
      <c r="M65" s="2030">
        <v>3450</v>
      </c>
      <c r="N65" s="1973">
        <f t="shared" si="4"/>
        <v>3450</v>
      </c>
    </row>
    <row r="66" spans="1:14" ht="24" customHeight="1" x14ac:dyDescent="0.2">
      <c r="A66" s="2463" t="s">
        <v>469</v>
      </c>
      <c r="B66" s="2464"/>
      <c r="C66" s="2464"/>
      <c r="D66" s="1965">
        <v>2371</v>
      </c>
      <c r="E66" s="1975">
        <f>'Expenditures 15-22'!K328</f>
        <v>0</v>
      </c>
      <c r="F66" s="1970"/>
      <c r="G66" s="2029"/>
      <c r="H66" s="2030"/>
      <c r="I66" s="2030"/>
      <c r="J66" s="2030"/>
      <c r="K66" s="2030"/>
      <c r="L66" s="2030"/>
      <c r="M66" s="2030"/>
      <c r="N66" s="1973">
        <f t="shared" si="4"/>
        <v>0</v>
      </c>
    </row>
    <row r="67" spans="1:14" ht="24.75" customHeight="1" x14ac:dyDescent="0.2">
      <c r="A67" s="2465" t="s">
        <v>2042</v>
      </c>
      <c r="B67" s="2466"/>
      <c r="C67" s="2466"/>
      <c r="D67" s="1967">
        <v>2372</v>
      </c>
      <c r="E67" s="1976">
        <f>'Expenditures 15-22'!K329</f>
        <v>0</v>
      </c>
      <c r="F67" s="1970"/>
      <c r="G67" s="2031"/>
      <c r="H67" s="2032"/>
      <c r="I67" s="2032"/>
      <c r="J67" s="2032"/>
      <c r="K67" s="2032"/>
      <c r="L67" s="2032"/>
      <c r="M67" s="2032"/>
      <c r="N67" s="1973">
        <f t="shared" si="4"/>
        <v>0</v>
      </c>
    </row>
    <row r="68" spans="1:14" x14ac:dyDescent="0.2">
      <c r="A68" s="2467" t="s">
        <v>1151</v>
      </c>
      <c r="B68" s="2468"/>
      <c r="C68" s="2468"/>
      <c r="D68" s="1968"/>
      <c r="E68" s="1972">
        <f>SUM(E57:E67)</f>
        <v>191130</v>
      </c>
      <c r="F68" s="1971"/>
      <c r="G68" s="1972">
        <f t="shared" ref="G68:N68" si="5">SUM(G57:G67)</f>
        <v>0</v>
      </c>
      <c r="H68" s="1972">
        <f t="shared" si="5"/>
        <v>0</v>
      </c>
      <c r="I68" s="1972">
        <f t="shared" si="5"/>
        <v>0</v>
      </c>
      <c r="J68" s="1972">
        <f t="shared" si="5"/>
        <v>0</v>
      </c>
      <c r="K68" s="1972">
        <f t="shared" si="5"/>
        <v>0</v>
      </c>
      <c r="L68" s="1972">
        <f t="shared" si="5"/>
        <v>0</v>
      </c>
      <c r="M68" s="1972">
        <f t="shared" si="5"/>
        <v>191130</v>
      </c>
      <c r="N68" s="1986">
        <f t="shared" si="5"/>
        <v>191130</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4294967295" verticalDpi="4294967295"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9"/>
  <sheetViews>
    <sheetView showGridLines="0" topLeftCell="A13" zoomScale="110" zoomScaleNormal="110" workbookViewId="0">
      <selection activeCell="B33" sqref="B3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2036" t="s">
        <v>2097</v>
      </c>
      <c r="B5" s="2037"/>
    </row>
    <row r="6" spans="1:2" x14ac:dyDescent="0.2">
      <c r="A6" s="2038" t="s">
        <v>2098</v>
      </c>
      <c r="B6" s="2037"/>
    </row>
    <row r="7" spans="1:2" x14ac:dyDescent="0.2">
      <c r="A7" s="2038" t="s">
        <v>2099</v>
      </c>
      <c r="B7" s="2037"/>
    </row>
    <row r="8" spans="1:2" x14ac:dyDescent="0.2">
      <c r="A8" s="2038"/>
      <c r="B8" s="2037"/>
    </row>
    <row r="9" spans="1:2" x14ac:dyDescent="0.2">
      <c r="A9" s="2038" t="s">
        <v>2100</v>
      </c>
      <c r="B9" s="2037"/>
    </row>
    <row r="10" spans="1:2" x14ac:dyDescent="0.2">
      <c r="A10" s="2038" t="s">
        <v>2101</v>
      </c>
      <c r="B10" s="2037"/>
    </row>
    <row r="11" spans="1:2" x14ac:dyDescent="0.2">
      <c r="A11" s="2038"/>
      <c r="B11" s="2037"/>
    </row>
    <row r="12" spans="1:2" x14ac:dyDescent="0.2">
      <c r="A12" s="2038" t="s">
        <v>2102</v>
      </c>
      <c r="B12" s="2037"/>
    </row>
    <row r="13" spans="1:2" x14ac:dyDescent="0.2">
      <c r="A13" s="2038" t="s">
        <v>2103</v>
      </c>
      <c r="B13" s="2037"/>
    </row>
    <row r="14" spans="1:2" x14ac:dyDescent="0.2">
      <c r="A14" s="2038"/>
      <c r="B14" s="2037"/>
    </row>
    <row r="15" spans="1:2" x14ac:dyDescent="0.2">
      <c r="A15" s="2038" t="s">
        <v>2104</v>
      </c>
      <c r="B15" s="2037"/>
    </row>
    <row r="16" spans="1:2" x14ac:dyDescent="0.2">
      <c r="A16" s="2038" t="s">
        <v>2128</v>
      </c>
      <c r="B16" s="2037"/>
    </row>
    <row r="17" spans="1:2" x14ac:dyDescent="0.2">
      <c r="A17" s="2038" t="s">
        <v>2105</v>
      </c>
      <c r="B17" s="2037"/>
    </row>
    <row r="18" spans="1:2" x14ac:dyDescent="0.2">
      <c r="A18" s="2038" t="s">
        <v>2129</v>
      </c>
      <c r="B18" s="2037"/>
    </row>
    <row r="19" spans="1:2" x14ac:dyDescent="0.2">
      <c r="A19" s="2038"/>
      <c r="B19" s="2037"/>
    </row>
    <row r="20" spans="1:2" x14ac:dyDescent="0.2">
      <c r="A20" s="2038" t="s">
        <v>2106</v>
      </c>
      <c r="B20" s="2037"/>
    </row>
    <row r="21" spans="1:2" x14ac:dyDescent="0.2">
      <c r="A21" s="2038" t="s">
        <v>2107</v>
      </c>
      <c r="B21" s="2037"/>
    </row>
    <row r="22" spans="1:2" x14ac:dyDescent="0.2">
      <c r="A22" s="2038"/>
      <c r="B22" s="2037"/>
    </row>
    <row r="23" spans="1:2" x14ac:dyDescent="0.2">
      <c r="A23" s="2038" t="s">
        <v>2109</v>
      </c>
      <c r="B23" s="2037"/>
    </row>
    <row r="24" spans="1:2" x14ac:dyDescent="0.2">
      <c r="A24" s="2038" t="s">
        <v>2108</v>
      </c>
      <c r="B24" s="2037"/>
    </row>
    <row r="25" spans="1:2" x14ac:dyDescent="0.2">
      <c r="A25" s="2038"/>
      <c r="B25" s="2037"/>
    </row>
    <row r="26" spans="1:2" x14ac:dyDescent="0.2">
      <c r="A26" s="2036" t="s">
        <v>2110</v>
      </c>
      <c r="B26" s="2037"/>
    </row>
    <row r="27" spans="1:2" x14ac:dyDescent="0.2">
      <c r="A27" s="2038" t="s">
        <v>2104</v>
      </c>
      <c r="B27" s="2037"/>
    </row>
    <row r="28" spans="1:2" x14ac:dyDescent="0.2">
      <c r="A28" s="2038" t="s">
        <v>2111</v>
      </c>
      <c r="B28" s="2037"/>
    </row>
    <row r="29" spans="1:2" x14ac:dyDescent="0.2">
      <c r="A29" s="2038" t="s">
        <v>2112</v>
      </c>
      <c r="B29" s="2037"/>
    </row>
    <row r="30" spans="1:2" x14ac:dyDescent="0.2">
      <c r="A30" s="2038"/>
      <c r="B30" s="2037"/>
    </row>
    <row r="31" spans="1:2" x14ac:dyDescent="0.2">
      <c r="A31" s="2036" t="s">
        <v>2113</v>
      </c>
      <c r="B31" s="2037"/>
    </row>
    <row r="32" spans="1:2" x14ac:dyDescent="0.2">
      <c r="A32" s="2038" t="s">
        <v>2114</v>
      </c>
      <c r="B32" s="2037"/>
    </row>
    <row r="33" spans="1:2" x14ac:dyDescent="0.2">
      <c r="A33" s="2038" t="s">
        <v>2115</v>
      </c>
      <c r="B33" s="2037"/>
    </row>
    <row r="34" spans="1:2" x14ac:dyDescent="0.2">
      <c r="A34" s="2038"/>
      <c r="B34" s="2037"/>
    </row>
    <row r="35" spans="1:2" x14ac:dyDescent="0.2">
      <c r="A35" s="2036" t="s">
        <v>338</v>
      </c>
      <c r="B35" s="2037"/>
    </row>
    <row r="36" spans="1:2" x14ac:dyDescent="0.2">
      <c r="A36" s="2038" t="s">
        <v>2104</v>
      </c>
      <c r="B36" s="2037"/>
    </row>
    <row r="37" spans="1:2" x14ac:dyDescent="0.2">
      <c r="A37" s="2038" t="s">
        <v>2116</v>
      </c>
      <c r="B37" s="2037"/>
    </row>
    <row r="38" spans="1:2" x14ac:dyDescent="0.2">
      <c r="A38" s="2038"/>
      <c r="B38" s="2037"/>
    </row>
    <row r="39" spans="1:2" x14ac:dyDescent="0.2">
      <c r="A39" s="2036" t="s">
        <v>2001</v>
      </c>
      <c r="B39" s="2037"/>
    </row>
    <row r="40" spans="1:2" x14ac:dyDescent="0.2">
      <c r="A40" s="2038" t="s">
        <v>2104</v>
      </c>
      <c r="B40" s="2037"/>
    </row>
    <row r="41" spans="1:2" x14ac:dyDescent="0.2">
      <c r="A41" s="2038" t="s">
        <v>2120</v>
      </c>
      <c r="B41" s="2037"/>
    </row>
    <row r="42" spans="1:2" x14ac:dyDescent="0.2">
      <c r="A42" s="2038"/>
      <c r="B42" s="2037"/>
    </row>
    <row r="43" spans="1:2" x14ac:dyDescent="0.2">
      <c r="A43" s="2036" t="s">
        <v>2117</v>
      </c>
      <c r="B43" s="2037"/>
    </row>
    <row r="44" spans="1:2" x14ac:dyDescent="0.2">
      <c r="A44" s="2038" t="s">
        <v>2118</v>
      </c>
      <c r="B44" s="2037"/>
    </row>
    <row r="45" spans="1:2" x14ac:dyDescent="0.2">
      <c r="A45" s="2038" t="s">
        <v>2119</v>
      </c>
      <c r="B45" s="2037"/>
    </row>
    <row r="46" spans="1:2" x14ac:dyDescent="0.2">
      <c r="A46" s="2038"/>
      <c r="B46" s="2037"/>
    </row>
    <row r="47" spans="1:2" x14ac:dyDescent="0.2">
      <c r="A47" s="2038"/>
      <c r="B47" s="2037"/>
    </row>
    <row r="48" spans="1:2" x14ac:dyDescent="0.2">
      <c r="A48" s="2038"/>
      <c r="B48" s="2037"/>
    </row>
    <row r="49" spans="1:2" x14ac:dyDescent="0.2">
      <c r="A49" s="2038"/>
      <c r="B49" s="2037"/>
    </row>
    <row r="50" spans="1:2" x14ac:dyDescent="0.2">
      <c r="A50" s="2038"/>
      <c r="B50" s="2037"/>
    </row>
    <row r="51" spans="1:2" x14ac:dyDescent="0.2">
      <c r="A51" s="2038"/>
      <c r="B51" s="2037"/>
    </row>
    <row r="52" spans="1:2" x14ac:dyDescent="0.2">
      <c r="A52" s="2038"/>
      <c r="B52" s="2037"/>
    </row>
    <row r="53" spans="1:2" x14ac:dyDescent="0.2">
      <c r="A53" s="2038"/>
      <c r="B53" s="2037"/>
    </row>
    <row r="54" spans="1:2" x14ac:dyDescent="0.2">
      <c r="A54" s="2038"/>
      <c r="B54" s="2037"/>
    </row>
    <row r="55" spans="1:2" x14ac:dyDescent="0.2">
      <c r="A55" s="2038"/>
      <c r="B55" s="2037"/>
    </row>
    <row r="56" spans="1:2" x14ac:dyDescent="0.2">
      <c r="A56" s="2038"/>
      <c r="B56" s="2037"/>
    </row>
    <row r="57" spans="1:2" x14ac:dyDescent="0.2">
      <c r="A57" s="2038"/>
      <c r="B57" s="2037"/>
    </row>
    <row r="58" spans="1:2" x14ac:dyDescent="0.2">
      <c r="A58" s="2038"/>
      <c r="B58" s="2037"/>
    </row>
    <row r="59" spans="1:2" x14ac:dyDescent="0.2">
      <c r="A59" s="2038"/>
      <c r="B59" s="2037"/>
    </row>
    <row r="60" spans="1:2" x14ac:dyDescent="0.2">
      <c r="A60" s="2038"/>
      <c r="B60" s="2037"/>
    </row>
    <row r="61" spans="1:2" x14ac:dyDescent="0.2">
      <c r="A61" s="2038"/>
      <c r="B61" s="2037"/>
    </row>
    <row r="62" spans="1:2" x14ac:dyDescent="0.2">
      <c r="A62" s="2038"/>
      <c r="B62" s="2037"/>
    </row>
    <row r="63" spans="1:2" x14ac:dyDescent="0.2">
      <c r="A63" s="2038"/>
      <c r="B63" s="2037"/>
    </row>
    <row r="64" spans="1:2" x14ac:dyDescent="0.2">
      <c r="A64" s="2038"/>
      <c r="B64" s="2037"/>
    </row>
    <row r="65" spans="1:2" x14ac:dyDescent="0.2">
      <c r="A65" s="2038"/>
      <c r="B65" s="2037"/>
    </row>
    <row r="66" spans="1:2" x14ac:dyDescent="0.2">
      <c r="A66" s="2038"/>
      <c r="B66" s="2037"/>
    </row>
    <row r="67" spans="1:2" x14ac:dyDescent="0.2">
      <c r="A67" s="2038"/>
      <c r="B67" s="2037"/>
    </row>
    <row r="68" spans="1:2" x14ac:dyDescent="0.2">
      <c r="A68" s="847"/>
      <c r="B68" s="253" t="str">
        <f>COVER!A17</f>
        <v xml:space="preserve">   West Central CUSD 235</v>
      </c>
    </row>
    <row r="69" spans="1:2" x14ac:dyDescent="0.2">
      <c r="B69" s="848">
        <f>COVER!A13</f>
        <v>33036235026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33" sqref="B3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L1" colorId="8" zoomScale="110" zoomScaleNormal="110" workbookViewId="0">
      <selection activeCell="B33" sqref="B3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9" t="s">
        <v>1665</v>
      </c>
      <c r="B18" s="246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47625</xdr:colOff>
                <xdr:row>6</xdr:row>
                <xdr:rowOff>47625</xdr:rowOff>
              </from>
              <to>
                <xdr:col>1</xdr:col>
                <xdr:colOff>962025</xdr:colOff>
                <xdr:row>10</xdr:row>
                <xdr:rowOff>85725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1905000</xdr:colOff>
                <xdr:row>6</xdr:row>
                <xdr:rowOff>9525</xdr:rowOff>
              </from>
              <to>
                <xdr:col>1</xdr:col>
                <xdr:colOff>2819400</xdr:colOff>
                <xdr:row>10</xdr:row>
                <xdr:rowOff>47625</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33" sqref="B3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2"/>
      <c r="H2" s="852"/>
    </row>
    <row r="3" spans="1:8" ht="57" customHeight="1" x14ac:dyDescent="0.2">
      <c r="A3" s="2483" t="s">
        <v>1972</v>
      </c>
      <c r="B3" s="2484"/>
      <c r="C3" s="2484"/>
      <c r="D3" s="2484"/>
      <c r="E3" s="2484"/>
      <c r="F3" s="2485"/>
      <c r="G3" s="852"/>
      <c r="H3" s="852"/>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2"/>
      <c r="H4" s="852"/>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2"/>
      <c r="H5" s="852"/>
    </row>
    <row r="6" spans="1:8" s="853" customFormat="1" ht="41.25" customHeight="1" x14ac:dyDescent="0.2">
      <c r="A6" s="2486" t="s">
        <v>1670</v>
      </c>
      <c r="B6" s="2487"/>
      <c r="C6" s="2487"/>
      <c r="D6" s="2487"/>
      <c r="E6" s="2487"/>
      <c r="F6" s="2488"/>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7237517</v>
      </c>
      <c r="C8" s="1812">
        <f>'Acct Summary 7-8'!D8</f>
        <v>1029712</v>
      </c>
      <c r="D8" s="1812">
        <f>'Acct Summary 7-8'!F8</f>
        <v>771831</v>
      </c>
      <c r="E8" s="1812">
        <f>'Acct Summary 7-8'!I8</f>
        <v>29314</v>
      </c>
      <c r="F8" s="1812">
        <f>SUM(B8:E8)</f>
        <v>9068374</v>
      </c>
    </row>
    <row r="9" spans="1:8" s="857" customFormat="1" ht="14.25" customHeight="1" thickBot="1" x14ac:dyDescent="0.25">
      <c r="A9" s="856" t="s">
        <v>1353</v>
      </c>
      <c r="B9" s="1813">
        <f>'Acct Summary 7-8'!C17</f>
        <v>6796569</v>
      </c>
      <c r="C9" s="1813">
        <f>'Acct Summary 7-8'!D17</f>
        <v>670363</v>
      </c>
      <c r="D9" s="1813">
        <f>'Acct Summary 7-8'!F17</f>
        <v>673217</v>
      </c>
      <c r="E9" s="1812"/>
      <c r="F9" s="1812">
        <f>SUM(B9:E9)</f>
        <v>8140149</v>
      </c>
    </row>
    <row r="10" spans="1:8" s="857" customFormat="1" ht="14.25" thickTop="1" thickBot="1" x14ac:dyDescent="0.25">
      <c r="A10" s="858" t="s">
        <v>1354</v>
      </c>
      <c r="B10" s="1814">
        <f>(B8-B9)</f>
        <v>440948</v>
      </c>
      <c r="C10" s="1814">
        <f>(C8-C9)</f>
        <v>359349</v>
      </c>
      <c r="D10" s="1814">
        <f>(D8-D9)</f>
        <v>98614</v>
      </c>
      <c r="E10" s="1813">
        <f>(E8-E9)</f>
        <v>29314</v>
      </c>
      <c r="F10" s="1815">
        <f>SUM(F8-F9)</f>
        <v>928225</v>
      </c>
    </row>
    <row r="11" spans="1:8" s="857" customFormat="1" ht="14.25" thickTop="1" thickBot="1" x14ac:dyDescent="0.25">
      <c r="A11" s="859" t="s">
        <v>1903</v>
      </c>
      <c r="B11" s="1816">
        <f>'Acct Summary 7-8'!C81</f>
        <v>5900917</v>
      </c>
      <c r="C11" s="1816">
        <f>'Acct Summary 7-8'!D81</f>
        <v>2176908</v>
      </c>
      <c r="D11" s="1816">
        <f>'Acct Summary 7-8'!F81</f>
        <v>973306</v>
      </c>
      <c r="E11" s="1816">
        <f>'Acct Summary 7-8'!I81</f>
        <v>948210</v>
      </c>
      <c r="F11" s="1817">
        <f>SUM(B11:E11)</f>
        <v>9999341</v>
      </c>
    </row>
    <row r="12" spans="1:8" ht="16.5" customHeight="1" thickTop="1" x14ac:dyDescent="0.2">
      <c r="A12" s="860"/>
      <c r="B12" s="861"/>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2"/>
      <c r="B13" s="863"/>
      <c r="C13" s="2474"/>
      <c r="D13" s="2475"/>
      <c r="E13" s="2475"/>
      <c r="F13" s="2476"/>
      <c r="H13" s="852"/>
    </row>
    <row r="14" spans="1:8" ht="19.5" customHeight="1" x14ac:dyDescent="0.2">
      <c r="A14" s="862"/>
      <c r="B14" s="863"/>
      <c r="C14" s="2474"/>
      <c r="D14" s="2475"/>
      <c r="E14" s="2475"/>
      <c r="F14" s="2476"/>
      <c r="H14" s="852"/>
    </row>
    <row r="15" spans="1:8" ht="17.25" customHeight="1" x14ac:dyDescent="0.2">
      <c r="A15" s="862"/>
      <c r="B15" s="863"/>
      <c r="C15" s="2477"/>
      <c r="D15" s="2478"/>
      <c r="E15" s="2478"/>
      <c r="F15" s="2479"/>
      <c r="H15" s="852"/>
    </row>
    <row r="16" spans="1:8" s="288" customFormat="1" ht="51.75" hidden="1" customHeight="1" x14ac:dyDescent="0.2">
      <c r="A16" s="2473" t="s">
        <v>1666</v>
      </c>
      <c r="B16" s="2473"/>
      <c r="C16" s="2473"/>
      <c r="D16" s="2473"/>
      <c r="E16" s="2473"/>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B33" sqref="B33"/>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5" t="s">
        <v>660</v>
      </c>
      <c r="B3" s="2496"/>
      <c r="C3" s="2496"/>
      <c r="D3" s="2497"/>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6" t="s">
        <v>1487</v>
      </c>
      <c r="D7" s="2507"/>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10" t="s">
        <v>311</v>
      </c>
      <c r="D21" s="2511"/>
    </row>
    <row r="22" spans="1:10" ht="12.75" x14ac:dyDescent="0.2">
      <c r="A22" s="917"/>
      <c r="B22" s="918">
        <v>2</v>
      </c>
      <c r="C22" s="2508" t="s">
        <v>1507</v>
      </c>
      <c r="D22" s="2509"/>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2" t="s">
        <v>533</v>
      </c>
      <c r="D43" s="2513"/>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4" t="s">
        <v>779</v>
      </c>
      <c r="D56" s="2505"/>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4" t="s">
        <v>1674</v>
      </c>
      <c r="D70" s="2505"/>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29'!$D$31&gt;0,"OK","PLEASE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33036235026</v>
      </c>
      <c r="E2" s="1541">
        <v>2020</v>
      </c>
      <c r="F2" s="1541">
        <v>1</v>
      </c>
      <c r="G2" s="1897">
        <v>101000300</v>
      </c>
    </row>
    <row r="3" spans="1:7" ht="15" x14ac:dyDescent="0.25">
      <c r="A3" t="s">
        <v>950</v>
      </c>
      <c r="B3" s="135" t="str">
        <f>COVER!A15</f>
        <v>Henderson</v>
      </c>
      <c r="E3" s="1829" t="s">
        <v>1971</v>
      </c>
      <c r="F3" s="1829" t="s">
        <v>1970</v>
      </c>
      <c r="G3" s="1897">
        <v>101000400</v>
      </c>
    </row>
    <row r="4" spans="1:7" ht="15" x14ac:dyDescent="0.25">
      <c r="A4" t="s">
        <v>1000</v>
      </c>
      <c r="B4" s="135" t="str">
        <f>COVER!A17</f>
        <v xml:space="preserve">   West Central CUSD 235</v>
      </c>
      <c r="E4" s="1827">
        <v>44119</v>
      </c>
      <c r="F4" s="1828">
        <v>44151</v>
      </c>
      <c r="G4" s="1897">
        <v>101000600</v>
      </c>
    </row>
    <row r="5" spans="1:7" ht="15" x14ac:dyDescent="0.25">
      <c r="A5" t="s">
        <v>699</v>
      </c>
      <c r="B5" s="135" t="str">
        <f>COVER!A38</f>
        <v>Mrs. Paula Markey</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Mrs. Jodi Scott</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t="str">
        <f>IF(COVER!J30="x","Yes",IF(COVER!L30="x","No",0))</f>
        <v>No</v>
      </c>
      <c r="G13" s="1897">
        <v>202100800</v>
      </c>
    </row>
    <row r="14" spans="1:7" ht="15" x14ac:dyDescent="0.25">
      <c r="A14" t="s">
        <v>473</v>
      </c>
      <c r="B14" s="135" t="str">
        <f>IF(COVER!J31="x","Yes",IF(COVER!L31="x","No",0))</f>
        <v>No</v>
      </c>
      <c r="G14" s="1897">
        <v>402100300</v>
      </c>
    </row>
    <row r="15" spans="1:7" ht="15" x14ac:dyDescent="0.25">
      <c r="A15" t="s">
        <v>573</v>
      </c>
      <c r="B15" s="135">
        <f>COVER!T23</f>
        <v>60.008476000000002</v>
      </c>
      <c r="G15" s="1897">
        <v>402100400</v>
      </c>
    </row>
    <row r="16" spans="1:7" ht="15" x14ac:dyDescent="0.25">
      <c r="A16" t="s">
        <v>419</v>
      </c>
      <c r="B16" s="135" t="str">
        <f>COVER!T13</f>
        <v>Cavanaugh, Davies, Blackman &amp; Cramblet, CPA's</v>
      </c>
      <c r="G16" s="1897">
        <v>402100600</v>
      </c>
    </row>
    <row r="17" spans="1:7" ht="15" x14ac:dyDescent="0.25">
      <c r="A17" t="s">
        <v>878</v>
      </c>
      <c r="B17" s="135" t="str">
        <f>COVER!T15</f>
        <v>Rod Davies</v>
      </c>
      <c r="G17" s="1897">
        <v>402100800</v>
      </c>
    </row>
    <row r="18" spans="1:7" ht="15" x14ac:dyDescent="0.25">
      <c r="A18" t="s">
        <v>1140</v>
      </c>
      <c r="B18" s="135" t="str">
        <f>COVER!T17</f>
        <v>1021 North Main Street, PO Box 318</v>
      </c>
      <c r="G18" s="1897">
        <v>102200300</v>
      </c>
    </row>
    <row r="19" spans="1:7" ht="15" x14ac:dyDescent="0.25">
      <c r="A19" t="s">
        <v>880</v>
      </c>
      <c r="B19" s="135" t="str">
        <f>COVER!T25</f>
        <v>cdbccpas@monmouthcpa.com</v>
      </c>
      <c r="G19" s="1897">
        <v>102200400</v>
      </c>
    </row>
    <row r="20" spans="1:7" ht="15" x14ac:dyDescent="0.25">
      <c r="A20" t="s">
        <v>881</v>
      </c>
      <c r="B20" s="135" t="str">
        <f>COVER!T19</f>
        <v>Monmouth</v>
      </c>
      <c r="G20" s="1897">
        <v>102200600</v>
      </c>
    </row>
    <row r="21" spans="1:7" ht="15" x14ac:dyDescent="0.25">
      <c r="A21" t="s">
        <v>476</v>
      </c>
      <c r="B21" s="135" t="str">
        <f>COVER!X19</f>
        <v>IL</v>
      </c>
      <c r="G21" s="1897">
        <v>102200800</v>
      </c>
    </row>
    <row r="22" spans="1:7" ht="15" x14ac:dyDescent="0.25">
      <c r="A22" t="s">
        <v>882</v>
      </c>
      <c r="B22" s="135">
        <f>COVER!Z19</f>
        <v>61462</v>
      </c>
      <c r="G22" s="1897">
        <v>102300300</v>
      </c>
    </row>
    <row r="23" spans="1:7" ht="15" x14ac:dyDescent="0.25">
      <c r="A23" t="s">
        <v>1142</v>
      </c>
      <c r="B23" s="135" t="str">
        <f>COVER!T21</f>
        <v>309-734-2330</v>
      </c>
      <c r="G23" s="1897">
        <v>102300400</v>
      </c>
    </row>
    <row r="24" spans="1:7" ht="15" x14ac:dyDescent="0.25">
      <c r="A24" t="s">
        <v>1141</v>
      </c>
      <c r="B24" s="135">
        <f>COVER!Y21</f>
        <v>0</v>
      </c>
      <c r="G24" s="1897">
        <v>102300600</v>
      </c>
    </row>
    <row r="25" spans="1:7" ht="15" x14ac:dyDescent="0.25">
      <c r="A25" t="s">
        <v>756</v>
      </c>
      <c r="B25" s="135" t="str">
        <f>COVER!B34</f>
        <v>x</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Yes</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3854030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5900917</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5863014</v>
      </c>
      <c r="D92" s="2" t="str">
        <f t="shared" si="0"/>
        <v>Error?</v>
      </c>
      <c r="G92" s="1897">
        <v>102640600</v>
      </c>
    </row>
    <row r="93" spans="1:7" ht="15" x14ac:dyDescent="0.25">
      <c r="A93" s="5">
        <v>32</v>
      </c>
      <c r="B93" s="1831">
        <f>'Assets-Liab 5-6'!C41</f>
        <v>5900917</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454638</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2176908</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2176908</v>
      </c>
      <c r="D123" s="2" t="str">
        <f t="shared" si="0"/>
        <v>Error?</v>
      </c>
      <c r="G123" s="1897">
        <v>203000400</v>
      </c>
    </row>
    <row r="124" spans="1:7" ht="15" x14ac:dyDescent="0.25">
      <c r="A124" s="5">
        <v>63</v>
      </c>
      <c r="B124" s="1831">
        <f>'Assets-Liab 5-6'!D41</f>
        <v>2176908</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266948</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266948</v>
      </c>
      <c r="D140" s="2" t="str">
        <f t="shared" si="1"/>
        <v>Error?</v>
      </c>
    </row>
    <row r="141" spans="1:7" x14ac:dyDescent="0.2">
      <c r="A141" s="5">
        <v>80</v>
      </c>
      <c r="B141" s="1831">
        <f>'Assets-Liab 5-6'!E41</f>
        <v>266948</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132703</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973306</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973306</v>
      </c>
      <c r="D170" s="2" t="str">
        <f t="shared" si="1"/>
        <v>Error?</v>
      </c>
    </row>
    <row r="171" spans="1:4" x14ac:dyDescent="0.2">
      <c r="A171" s="5">
        <v>110</v>
      </c>
      <c r="B171" s="1831">
        <f>'Assets-Liab 5-6'!F41</f>
        <v>973306</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170745</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460804</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373235</v>
      </c>
      <c r="D189" s="2" t="str">
        <f t="shared" si="1"/>
        <v>Error?</v>
      </c>
    </row>
    <row r="190" spans="1:4" x14ac:dyDescent="0.2">
      <c r="A190" s="5">
        <v>129</v>
      </c>
      <c r="B190" s="1831">
        <f>'Assets-Liab 5-6'!G41</f>
        <v>460804</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13230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13230</v>
      </c>
      <c r="D212" s="2" t="str">
        <f t="shared" si="2"/>
        <v>Error?</v>
      </c>
    </row>
    <row r="213" spans="1:4" x14ac:dyDescent="0.2">
      <c r="A213" s="12">
        <v>152</v>
      </c>
      <c r="B213" s="1831">
        <f>'Assets-Liab 5-6'!H41</f>
        <v>13230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42500</v>
      </c>
      <c r="D273" s="2" t="str">
        <f t="shared" si="3"/>
        <v>Error?</v>
      </c>
    </row>
    <row r="274" spans="1:4" x14ac:dyDescent="0.2">
      <c r="A274" s="5">
        <v>213</v>
      </c>
      <c r="B274" s="1831">
        <f>'Assets-Liab 5-6'!M17</f>
        <v>7709371</v>
      </c>
      <c r="D274" s="2" t="str">
        <f t="shared" si="3"/>
        <v>Error?</v>
      </c>
    </row>
    <row r="275" spans="1:4" x14ac:dyDescent="0.2">
      <c r="A275" s="5">
        <v>214</v>
      </c>
      <c r="B275" s="1831">
        <f>'Assets-Liab 5-6'!M18</f>
        <v>7363919</v>
      </c>
      <c r="D275" s="2" t="str">
        <f t="shared" si="3"/>
        <v>Error?</v>
      </c>
    </row>
    <row r="276" spans="1:4" x14ac:dyDescent="0.2">
      <c r="A276" s="5">
        <v>215</v>
      </c>
      <c r="B276" s="1831">
        <f>'Assets-Liab 5-6'!M19</f>
        <v>1114321</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16355354</v>
      </c>
      <c r="C279" s="2" t="s">
        <v>569</v>
      </c>
      <c r="D279" s="2" t="str">
        <f t="shared" si="3"/>
        <v>Error?</v>
      </c>
    </row>
    <row r="280" spans="1:4" x14ac:dyDescent="0.2">
      <c r="A280" s="5">
        <v>219</v>
      </c>
      <c r="B280" s="1831">
        <f>'Assets-Liab 5-6'!M40</f>
        <v>16355354</v>
      </c>
      <c r="D280" s="2" t="str">
        <f t="shared" si="3"/>
        <v>Error?</v>
      </c>
    </row>
    <row r="281" spans="1:4" x14ac:dyDescent="0.2">
      <c r="A281" s="5">
        <v>220</v>
      </c>
      <c r="B281" s="1831">
        <f>'Assets-Liab 5-6'!M41</f>
        <v>16355354</v>
      </c>
      <c r="C281" s="2" t="s">
        <v>569</v>
      </c>
      <c r="D281" s="2" t="str">
        <f t="shared" si="3"/>
        <v>Error?</v>
      </c>
    </row>
    <row r="282" spans="1:4" x14ac:dyDescent="0.2">
      <c r="A282" s="5">
        <v>221</v>
      </c>
      <c r="B282" s="1831">
        <f>'Assets-Liab 5-6'!N21</f>
        <v>266948</v>
      </c>
      <c r="D282" s="2" t="str">
        <f t="shared" si="3"/>
        <v>Error?</v>
      </c>
    </row>
    <row r="283" spans="1:4" x14ac:dyDescent="0.2">
      <c r="A283" s="5">
        <v>222</v>
      </c>
      <c r="B283" s="1831">
        <f>'Assets-Liab 5-6'!N22</f>
        <v>2243982</v>
      </c>
      <c r="D283" s="2" t="str">
        <f t="shared" si="3"/>
        <v>Error?</v>
      </c>
    </row>
    <row r="284" spans="1:4" x14ac:dyDescent="0.2">
      <c r="A284" s="5">
        <v>223</v>
      </c>
      <c r="B284" s="1831">
        <f>'Assets-Liab 5-6'!N23</f>
        <v>2510930</v>
      </c>
      <c r="C284" s="2" t="s">
        <v>569</v>
      </c>
      <c r="D284" s="2" t="str">
        <f t="shared" si="3"/>
        <v>Error?</v>
      </c>
    </row>
    <row r="285" spans="1:4" x14ac:dyDescent="0.2">
      <c r="A285" s="5">
        <v>224</v>
      </c>
      <c r="B285" s="1831">
        <f>'Assets-Liab 5-6'!N36</f>
        <v>2510930</v>
      </c>
      <c r="D285" s="2" t="str">
        <f t="shared" si="3"/>
        <v>Error?</v>
      </c>
    </row>
    <row r="286" spans="1:4" x14ac:dyDescent="0.2">
      <c r="A286" s="10">
        <v>225</v>
      </c>
      <c r="B286" s="1831"/>
      <c r="D286" s="2" t="str">
        <f t="shared" si="3"/>
        <v>OK</v>
      </c>
    </row>
    <row r="287" spans="1:4" x14ac:dyDescent="0.2">
      <c r="A287" s="5">
        <v>226</v>
      </c>
      <c r="B287" s="1831">
        <f>'Assets-Liab 5-6'!N37</f>
        <v>2510930</v>
      </c>
      <c r="C287" s="2" t="s">
        <v>569</v>
      </c>
      <c r="D287" s="2" t="str">
        <f t="shared" si="3"/>
        <v>Error?</v>
      </c>
    </row>
    <row r="288" spans="1:4" x14ac:dyDescent="0.2">
      <c r="A288" s="5">
        <v>227</v>
      </c>
      <c r="B288" s="1831">
        <f>'Assets-Liab 5-6'!N41</f>
        <v>2510930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2410591</v>
      </c>
      <c r="D705" s="2" t="str">
        <f t="shared" si="10"/>
        <v>Error?</v>
      </c>
    </row>
    <row r="706" spans="1:4" x14ac:dyDescent="0.2">
      <c r="A706" s="5">
        <v>645</v>
      </c>
      <c r="B706" s="1831">
        <f>'Expenditures 15-22'!C16</f>
        <v>3376</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268110</v>
      </c>
      <c r="D717" s="2" t="str">
        <f t="shared" si="10"/>
        <v>Error?</v>
      </c>
    </row>
    <row r="718" spans="1:4" x14ac:dyDescent="0.2">
      <c r="A718" s="5">
        <v>657</v>
      </c>
      <c r="B718" s="1831">
        <f>'Expenditures 15-22'!C14</f>
        <v>129052</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3717083</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63619</v>
      </c>
      <c r="D722" s="2" t="str">
        <f t="shared" si="10"/>
        <v>Error?</v>
      </c>
    </row>
    <row r="723" spans="1:4" x14ac:dyDescent="0.2">
      <c r="A723" s="5">
        <v>662</v>
      </c>
      <c r="B723" s="1831">
        <f>'Expenditures 15-22'!C38</f>
        <v>31421</v>
      </c>
      <c r="D723" s="2" t="str">
        <f t="shared" si="10"/>
        <v>Error?</v>
      </c>
    </row>
    <row r="724" spans="1:4" x14ac:dyDescent="0.2">
      <c r="A724" s="5">
        <v>663</v>
      </c>
      <c r="B724" s="1831">
        <f>'Expenditures 15-22'!C39</f>
        <v>72514</v>
      </c>
      <c r="D724" s="2" t="str">
        <f t="shared" si="10"/>
        <v>Error?</v>
      </c>
    </row>
    <row r="725" spans="1:4" x14ac:dyDescent="0.2">
      <c r="A725" s="5">
        <v>664</v>
      </c>
      <c r="B725" s="1831">
        <f>'Expenditures 15-22'!C40</f>
        <v>52188</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219742</v>
      </c>
      <c r="C727" s="2" t="s">
        <v>569</v>
      </c>
      <c r="D727" s="2" t="str">
        <f t="shared" si="10"/>
        <v>Error?</v>
      </c>
    </row>
    <row r="728" spans="1:4" x14ac:dyDescent="0.2">
      <c r="A728" s="5">
        <v>667</v>
      </c>
      <c r="B728" s="1831">
        <f>'Expenditures 15-22'!C44</f>
        <v>1000</v>
      </c>
      <c r="D728" s="2" t="str">
        <f t="shared" si="10"/>
        <v>Error?</v>
      </c>
    </row>
    <row r="729" spans="1:4" x14ac:dyDescent="0.2">
      <c r="A729" s="5">
        <v>668</v>
      </c>
      <c r="B729" s="1831">
        <f>'Expenditures 15-22'!C45</f>
        <v>104632</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105632</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188951</v>
      </c>
      <c r="D733" s="2" t="str">
        <f t="shared" si="10"/>
        <v>Error?</v>
      </c>
    </row>
    <row r="734" spans="1:4" x14ac:dyDescent="0.2">
      <c r="A734" s="5">
        <v>673</v>
      </c>
      <c r="B734" s="1831">
        <f>'Expenditures 15-22'!C53</f>
        <v>188951</v>
      </c>
      <c r="C734" s="2" t="s">
        <v>569</v>
      </c>
      <c r="D734" s="2" t="str">
        <f t="shared" si="10"/>
        <v>Error?</v>
      </c>
    </row>
    <row r="735" spans="1:4" x14ac:dyDescent="0.2">
      <c r="A735" s="5">
        <v>674</v>
      </c>
      <c r="B735" s="1831">
        <f>'Expenditures 15-22'!C55</f>
        <v>545042</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545042</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90900</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152877</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243777</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26081</v>
      </c>
      <c r="D751" s="2" t="str">
        <f t="shared" si="10"/>
        <v>Error?</v>
      </c>
    </row>
    <row r="752" spans="1:4" x14ac:dyDescent="0.2">
      <c r="A752" s="10">
        <v>691</v>
      </c>
      <c r="B752" s="1831"/>
      <c r="D752" s="2" t="str">
        <f t="shared" si="10"/>
        <v>OK</v>
      </c>
    </row>
    <row r="753" spans="1:4" x14ac:dyDescent="0.2">
      <c r="A753" s="5">
        <v>692</v>
      </c>
      <c r="B753" s="1831">
        <f>'Expenditures 15-22'!C72</f>
        <v>26081</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1329225</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5046308</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351497</v>
      </c>
      <c r="D763" s="2" t="str">
        <f t="shared" si="10"/>
        <v>Error?</v>
      </c>
    </row>
    <row r="764" spans="1:4" x14ac:dyDescent="0.2">
      <c r="A764" s="5">
        <v>703</v>
      </c>
      <c r="B764" s="1831">
        <f>'Expenditures 15-22'!D16</f>
        <v>25</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35924</v>
      </c>
      <c r="D775" s="2" t="str">
        <f t="shared" si="11"/>
        <v>Error?</v>
      </c>
    </row>
    <row r="776" spans="1:4" x14ac:dyDescent="0.2">
      <c r="A776" s="5">
        <v>715</v>
      </c>
      <c r="B776" s="1831">
        <f>'Expenditures 15-22'!D14</f>
        <v>1330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544553</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9326</v>
      </c>
      <c r="D780" s="2" t="str">
        <f t="shared" si="11"/>
        <v>Error?</v>
      </c>
    </row>
    <row r="781" spans="1:4" x14ac:dyDescent="0.2">
      <c r="A781" s="5">
        <v>720</v>
      </c>
      <c r="B781" s="1831">
        <f>'Expenditures 15-22'!D38</f>
        <v>3786</v>
      </c>
      <c r="D781" s="2" t="str">
        <f t="shared" si="11"/>
        <v>Error?</v>
      </c>
    </row>
    <row r="782" spans="1:4" x14ac:dyDescent="0.2">
      <c r="A782" s="5">
        <v>721</v>
      </c>
      <c r="B782" s="1831">
        <f>'Expenditures 15-22'!D39</f>
        <v>12676</v>
      </c>
      <c r="D782" s="2" t="str">
        <f t="shared" si="11"/>
        <v>Error?</v>
      </c>
    </row>
    <row r="783" spans="1:4" x14ac:dyDescent="0.2">
      <c r="A783" s="5">
        <v>722</v>
      </c>
      <c r="B783" s="1831">
        <f>'Expenditures 15-22'!D40</f>
        <v>8787</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34575</v>
      </c>
      <c r="C785" s="2" t="s">
        <v>569</v>
      </c>
      <c r="D785" s="2" t="str">
        <f t="shared" si="11"/>
        <v>Error?</v>
      </c>
    </row>
    <row r="786" spans="1:4" x14ac:dyDescent="0.2">
      <c r="A786" s="5">
        <v>725</v>
      </c>
      <c r="B786" s="1831">
        <f>'Expenditures 15-22'!D44</f>
        <v>102</v>
      </c>
      <c r="D786" s="2" t="str">
        <f t="shared" si="11"/>
        <v>Error?</v>
      </c>
    </row>
    <row r="787" spans="1:4" x14ac:dyDescent="0.2">
      <c r="A787" s="5">
        <v>726</v>
      </c>
      <c r="B787" s="1831">
        <f>'Expenditures 15-22'!D45</f>
        <v>16144</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16246</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6870</v>
      </c>
      <c r="D791" s="2" t="str">
        <f t="shared" si="11"/>
        <v>Error?</v>
      </c>
    </row>
    <row r="792" spans="1:4" x14ac:dyDescent="0.2">
      <c r="A792" s="5">
        <v>731</v>
      </c>
      <c r="B792" s="1831">
        <f>'Expenditures 15-22'!D53</f>
        <v>6870</v>
      </c>
      <c r="C792" s="2" t="s">
        <v>569</v>
      </c>
      <c r="D792" s="2" t="str">
        <f t="shared" si="11"/>
        <v>Error?</v>
      </c>
    </row>
    <row r="793" spans="1:4" x14ac:dyDescent="0.2">
      <c r="A793" s="5">
        <v>732</v>
      </c>
      <c r="B793" s="1831">
        <f>'Expenditures 15-22'!D55</f>
        <v>79506</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79506</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16508</v>
      </c>
      <c r="D797" s="2" t="str">
        <f t="shared" si="11"/>
        <v>Error?</v>
      </c>
    </row>
    <row r="798" spans="1:4" x14ac:dyDescent="0.2">
      <c r="A798" s="5">
        <v>737</v>
      </c>
      <c r="B798" s="1831">
        <f>'Expenditures 15-22'!D61</f>
        <v>149</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44961</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61618</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6386</v>
      </c>
      <c r="D809" s="2" t="str">
        <f t="shared" si="11"/>
        <v>Error?</v>
      </c>
    </row>
    <row r="810" spans="1:4" x14ac:dyDescent="0.2">
      <c r="A810" s="10">
        <v>749</v>
      </c>
      <c r="B810" s="1831"/>
      <c r="D810" s="2" t="str">
        <f t="shared" si="11"/>
        <v>OK</v>
      </c>
    </row>
    <row r="811" spans="1:4" x14ac:dyDescent="0.2">
      <c r="A811" s="5">
        <v>750</v>
      </c>
      <c r="B811" s="1831">
        <f>'Expenditures 15-22'!D72</f>
        <v>6386</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205201</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749754</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22716</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44303</v>
      </c>
      <c r="D833" s="2" t="str">
        <f t="shared" si="12"/>
        <v>Error?</v>
      </c>
    </row>
    <row r="834" spans="1:4" x14ac:dyDescent="0.2">
      <c r="A834" s="5">
        <v>773</v>
      </c>
      <c r="B834" s="1831">
        <f>'Expenditures 15-22'!E14</f>
        <v>22031</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139330</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720</v>
      </c>
      <c r="D838" s="2" t="str">
        <f t="shared" si="12"/>
        <v>Error?</v>
      </c>
    </row>
    <row r="839" spans="1:4" x14ac:dyDescent="0.2">
      <c r="A839" s="5">
        <v>778</v>
      </c>
      <c r="B839" s="1831">
        <f>'Expenditures 15-22'!E38</f>
        <v>1764</v>
      </c>
      <c r="D839" s="2" t="str">
        <f t="shared" si="12"/>
        <v>Error?</v>
      </c>
    </row>
    <row r="840" spans="1:4" x14ac:dyDescent="0.2">
      <c r="A840" s="5">
        <v>779</v>
      </c>
      <c r="B840" s="1831">
        <f>'Expenditures 15-22'!E39</f>
        <v>912</v>
      </c>
      <c r="D840" s="2" t="str">
        <f t="shared" si="12"/>
        <v>Error?</v>
      </c>
    </row>
    <row r="841" spans="1:4" x14ac:dyDescent="0.2">
      <c r="A841" s="5">
        <v>780</v>
      </c>
      <c r="B841" s="1831">
        <f>'Expenditures 15-22'!E40</f>
        <v>1272</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4668</v>
      </c>
      <c r="C843" s="2" t="s">
        <v>569</v>
      </c>
      <c r="D843" s="2" t="str">
        <f t="shared" si="12"/>
        <v>Error?</v>
      </c>
    </row>
    <row r="844" spans="1:4" x14ac:dyDescent="0.2">
      <c r="A844" s="5">
        <v>783</v>
      </c>
      <c r="B844" s="1831">
        <f>'Expenditures 15-22'!E44</f>
        <v>2171</v>
      </c>
      <c r="D844" s="2" t="str">
        <f t="shared" si="12"/>
        <v>Error?</v>
      </c>
    </row>
    <row r="845" spans="1:4" x14ac:dyDescent="0.2">
      <c r="A845" s="5">
        <v>784</v>
      </c>
      <c r="B845" s="1831">
        <f>'Expenditures 15-22'!E45</f>
        <v>1650</v>
      </c>
      <c r="D845" s="2" t="str">
        <f t="shared" si="12"/>
        <v>Error?</v>
      </c>
    </row>
    <row r="846" spans="1:4" x14ac:dyDescent="0.2">
      <c r="A846" s="5">
        <v>785</v>
      </c>
      <c r="B846" s="1831">
        <f>'Expenditures 15-22'!E46</f>
        <v>6113</v>
      </c>
      <c r="D846" s="2" t="str">
        <f t="shared" si="12"/>
        <v>Error?</v>
      </c>
    </row>
    <row r="847" spans="1:4" x14ac:dyDescent="0.2">
      <c r="A847" s="5">
        <v>786</v>
      </c>
      <c r="B847" s="1831">
        <f>'Expenditures 15-22'!E47</f>
        <v>9934</v>
      </c>
      <c r="C847" s="2" t="s">
        <v>569</v>
      </c>
      <c r="D847" s="2" t="str">
        <f t="shared" si="12"/>
        <v>Error?</v>
      </c>
    </row>
    <row r="848" spans="1:4" x14ac:dyDescent="0.2">
      <c r="A848" s="5">
        <v>787</v>
      </c>
      <c r="B848" s="1831">
        <f>'Expenditures 15-22'!E49</f>
        <v>42416</v>
      </c>
      <c r="D848" s="2" t="str">
        <f t="shared" si="12"/>
        <v>Error?</v>
      </c>
    </row>
    <row r="849" spans="1:4" x14ac:dyDescent="0.2">
      <c r="A849" s="5">
        <v>788</v>
      </c>
      <c r="B849" s="1831">
        <f>'Expenditures 15-22'!E50</f>
        <v>8235</v>
      </c>
      <c r="D849" s="2" t="str">
        <f t="shared" si="12"/>
        <v>Error?</v>
      </c>
    </row>
    <row r="850" spans="1:4" x14ac:dyDescent="0.2">
      <c r="A850" s="5">
        <v>789</v>
      </c>
      <c r="B850" s="1831">
        <f>'Expenditures 15-22'!E53</f>
        <v>50651</v>
      </c>
      <c r="C850" s="2" t="s">
        <v>569</v>
      </c>
      <c r="D850" s="2" t="str">
        <f t="shared" si="12"/>
        <v>Error?</v>
      </c>
    </row>
    <row r="851" spans="1:4" x14ac:dyDescent="0.2">
      <c r="A851" s="5">
        <v>790</v>
      </c>
      <c r="B851" s="1831">
        <f>'Expenditures 15-22'!E55</f>
        <v>20136</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20136</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39967</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1934</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41901</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127290</v>
      </c>
      <c r="C871" s="2" t="s">
        <v>569</v>
      </c>
      <c r="D871" s="2" t="str">
        <f t="shared" si="12"/>
        <v>Error?</v>
      </c>
    </row>
    <row r="872" spans="1:4" x14ac:dyDescent="0.2">
      <c r="A872" s="5">
        <v>811</v>
      </c>
      <c r="B872" s="1831">
        <f>'Expenditures 15-22'!E75</f>
        <v>245</v>
      </c>
      <c r="D872" s="2" t="str">
        <f t="shared" si="12"/>
        <v>Error?</v>
      </c>
    </row>
    <row r="873" spans="1:4" x14ac:dyDescent="0.2">
      <c r="A873" s="5">
        <v>812</v>
      </c>
      <c r="B873" s="1831">
        <f>'Expenditures 15-22'!E114</f>
        <v>345888</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44332</v>
      </c>
      <c r="D879" s="2" t="str">
        <f t="shared" si="12"/>
        <v>Error?</v>
      </c>
    </row>
    <row r="880" spans="1:4" x14ac:dyDescent="0.2">
      <c r="A880" s="5">
        <v>819</v>
      </c>
      <c r="B880" s="1831">
        <f>'Expenditures 15-22'!F16</f>
        <v>1462</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15065</v>
      </c>
      <c r="D891" s="2" t="str">
        <f t="shared" si="12"/>
        <v>Error?</v>
      </c>
    </row>
    <row r="892" spans="1:4" x14ac:dyDescent="0.2">
      <c r="A892" s="5">
        <v>831</v>
      </c>
      <c r="B892" s="1831">
        <f>'Expenditures 15-22'!F14</f>
        <v>41053</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160966</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19</v>
      </c>
      <c r="D896" s="2" t="str">
        <f t="shared" si="13"/>
        <v>Error?</v>
      </c>
    </row>
    <row r="897" spans="1:4" x14ac:dyDescent="0.2">
      <c r="A897" s="5">
        <v>836</v>
      </c>
      <c r="B897" s="1831">
        <f>'Expenditures 15-22'!F38</f>
        <v>720</v>
      </c>
      <c r="D897" s="2" t="str">
        <f t="shared" si="13"/>
        <v>Error?</v>
      </c>
    </row>
    <row r="898" spans="1:4" x14ac:dyDescent="0.2">
      <c r="A898" s="5">
        <v>837</v>
      </c>
      <c r="B898" s="1831">
        <f>'Expenditures 15-22'!F39</f>
        <v>692</v>
      </c>
      <c r="D898" s="2" t="str">
        <f t="shared" si="13"/>
        <v>Error?</v>
      </c>
    </row>
    <row r="899" spans="1:4" x14ac:dyDescent="0.2">
      <c r="A899" s="5">
        <v>838</v>
      </c>
      <c r="B899" s="1831">
        <f>'Expenditures 15-22'!F40</f>
        <v>723</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2154</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2112</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2112</v>
      </c>
      <c r="C905" s="2" t="s">
        <v>569</v>
      </c>
      <c r="D905" s="2" t="str">
        <f t="shared" si="13"/>
        <v>Error?</v>
      </c>
    </row>
    <row r="906" spans="1:4" x14ac:dyDescent="0.2">
      <c r="A906" s="5">
        <v>845</v>
      </c>
      <c r="B906" s="1831">
        <f>'Expenditures 15-22'!F49</f>
        <v>150</v>
      </c>
      <c r="D906" s="2" t="str">
        <f t="shared" si="13"/>
        <v>Error?</v>
      </c>
    </row>
    <row r="907" spans="1:4" x14ac:dyDescent="0.2">
      <c r="A907" s="5">
        <v>846</v>
      </c>
      <c r="B907" s="1831">
        <f>'Expenditures 15-22'!F50</f>
        <v>2307</v>
      </c>
      <c r="D907" s="2" t="str">
        <f t="shared" si="13"/>
        <v>Error?</v>
      </c>
    </row>
    <row r="908" spans="1:4" x14ac:dyDescent="0.2">
      <c r="A908" s="5">
        <v>847</v>
      </c>
      <c r="B908" s="1831">
        <f>'Expenditures 15-22'!F53</f>
        <v>2457</v>
      </c>
      <c r="C908" s="2" t="s">
        <v>569</v>
      </c>
      <c r="D908" s="2" t="str">
        <f t="shared" si="13"/>
        <v>Error?</v>
      </c>
    </row>
    <row r="909" spans="1:4" x14ac:dyDescent="0.2">
      <c r="A909" s="5">
        <v>848</v>
      </c>
      <c r="B909" s="1831">
        <f>'Expenditures 15-22'!F55</f>
        <v>1594</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1594</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1349</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199948</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201297</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2011</v>
      </c>
      <c r="D928" s="2" t="str">
        <f t="shared" si="13"/>
        <v>Error?</v>
      </c>
    </row>
    <row r="929" spans="1:4" x14ac:dyDescent="0.2">
      <c r="A929" s="5">
        <v>868</v>
      </c>
      <c r="B929" s="1831">
        <f>'Expenditures 15-22'!F74</f>
        <v>211625</v>
      </c>
      <c r="C929" s="2" t="s">
        <v>569</v>
      </c>
      <c r="D929" s="2" t="str">
        <f t="shared" si="13"/>
        <v>Error?</v>
      </c>
    </row>
    <row r="930" spans="1:4" x14ac:dyDescent="0.2">
      <c r="A930" s="5">
        <v>869</v>
      </c>
      <c r="B930" s="1831">
        <f>'Expenditures 15-22'!F75</f>
        <v>1592</v>
      </c>
      <c r="D930" s="2" t="str">
        <f t="shared" si="13"/>
        <v>Error?</v>
      </c>
    </row>
    <row r="931" spans="1:4" x14ac:dyDescent="0.2">
      <c r="A931" s="5">
        <v>870</v>
      </c>
      <c r="B931" s="1831">
        <f>'Expenditures 15-22'!F114</f>
        <v>374183</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57783</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64585</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6686</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6686</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6686</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71271</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2492</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5891</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32632</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5020</v>
      </c>
      <c r="D1022" s="2" t="str">
        <f t="shared" si="14"/>
        <v>Error?</v>
      </c>
    </row>
    <row r="1023" spans="1:4" x14ac:dyDescent="0.2">
      <c r="A1023" s="5">
        <v>962</v>
      </c>
      <c r="B1023" s="1831">
        <f>'Expenditures 15-22'!H50</f>
        <v>1108</v>
      </c>
      <c r="D1023" s="2" t="str">
        <f t="shared" ref="D1023:D1086" si="15">IF(ISBLANK(B1023),"OK",IF(A1023-B1023=0,"OK","Error?"))</f>
        <v>Error?</v>
      </c>
    </row>
    <row r="1024" spans="1:4" x14ac:dyDescent="0.2">
      <c r="A1024" s="5">
        <v>963</v>
      </c>
      <c r="B1024" s="1831">
        <f>'Expenditures 15-22'!H53</f>
        <v>6128</v>
      </c>
      <c r="C1024" s="2" t="s">
        <v>569</v>
      </c>
      <c r="D1024" s="2" t="str">
        <f t="shared" si="15"/>
        <v>Error?</v>
      </c>
    </row>
    <row r="1025" spans="1:4" x14ac:dyDescent="0.2">
      <c r="A1025" s="5">
        <v>964</v>
      </c>
      <c r="B1025" s="1831">
        <f>'Expenditures 15-22'!H55</f>
        <v>1630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1630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49</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1665</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1714</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9472</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167061</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209165</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2831628</v>
      </c>
      <c r="C1093" s="2" t="s">
        <v>569</v>
      </c>
      <c r="D1093" s="2" t="str">
        <f t="shared" si="16"/>
        <v>Error?</v>
      </c>
    </row>
    <row r="1094" spans="1:4" x14ac:dyDescent="0.2">
      <c r="A1094" s="5">
        <v>1033</v>
      </c>
      <c r="B1094" s="1831">
        <f>'Expenditures 15-22'!K16</f>
        <v>4863</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421185</v>
      </c>
      <c r="C1105" s="2" t="s">
        <v>569</v>
      </c>
      <c r="D1105" s="2" t="str">
        <f t="shared" si="16"/>
        <v>Error?</v>
      </c>
    </row>
    <row r="1106" spans="1:4" x14ac:dyDescent="0.2">
      <c r="A1106" s="5">
        <v>1045</v>
      </c>
      <c r="B1106" s="1831">
        <f>'Expenditures 15-22'!K14</f>
        <v>199357</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4659149</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73684</v>
      </c>
      <c r="C1110" s="2" t="s">
        <v>569</v>
      </c>
      <c r="D1110" s="2" t="str">
        <f t="shared" si="16"/>
        <v>Error?</v>
      </c>
    </row>
    <row r="1111" spans="1:4" x14ac:dyDescent="0.2">
      <c r="A1111" s="5">
        <v>1050</v>
      </c>
      <c r="B1111" s="1831">
        <f>'Expenditures 15-22'!K38</f>
        <v>37691</v>
      </c>
      <c r="C1111" s="2" t="s">
        <v>569</v>
      </c>
      <c r="D1111" s="2" t="str">
        <f t="shared" si="16"/>
        <v>Error?</v>
      </c>
    </row>
    <row r="1112" spans="1:4" x14ac:dyDescent="0.2">
      <c r="A1112" s="5">
        <v>1051</v>
      </c>
      <c r="B1112" s="1831">
        <f>'Expenditures 15-22'!K39</f>
        <v>86794</v>
      </c>
      <c r="C1112" s="2" t="s">
        <v>569</v>
      </c>
      <c r="D1112" s="2" t="str">
        <f t="shared" si="16"/>
        <v>Error?</v>
      </c>
    </row>
    <row r="1113" spans="1:4" x14ac:dyDescent="0.2">
      <c r="A1113" s="5">
        <v>1052</v>
      </c>
      <c r="B1113" s="1831">
        <f>'Expenditures 15-22'!K40</f>
        <v>62970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261139</v>
      </c>
      <c r="C1115" s="2" t="s">
        <v>569</v>
      </c>
      <c r="D1115" s="2" t="str">
        <f t="shared" si="16"/>
        <v>Error?</v>
      </c>
    </row>
    <row r="1116" spans="1:4" x14ac:dyDescent="0.2">
      <c r="A1116" s="5">
        <v>1055</v>
      </c>
      <c r="B1116" s="1831">
        <f>'Expenditures 15-22'!K44</f>
        <v>3273</v>
      </c>
      <c r="C1116" s="2" t="s">
        <v>569</v>
      </c>
      <c r="D1116" s="2" t="str">
        <f t="shared" si="16"/>
        <v>Error?</v>
      </c>
    </row>
    <row r="1117" spans="1:4" x14ac:dyDescent="0.2">
      <c r="A1117" s="5">
        <v>1056</v>
      </c>
      <c r="B1117" s="1831">
        <f>'Expenditures 15-22'!K45</f>
        <v>124538</v>
      </c>
      <c r="C1117" s="2" t="s">
        <v>569</v>
      </c>
      <c r="D1117" s="2" t="str">
        <f t="shared" si="16"/>
        <v>Error?</v>
      </c>
    </row>
    <row r="1118" spans="1:4" x14ac:dyDescent="0.2">
      <c r="A1118" s="5">
        <v>1057</v>
      </c>
      <c r="B1118" s="1831">
        <f>'Expenditures 15-22'!K46</f>
        <v>6113</v>
      </c>
      <c r="C1118" s="2" t="s">
        <v>569</v>
      </c>
      <c r="D1118" s="2" t="str">
        <f t="shared" si="16"/>
        <v>Error?</v>
      </c>
    </row>
    <row r="1119" spans="1:4" x14ac:dyDescent="0.2">
      <c r="A1119" s="5">
        <v>1058</v>
      </c>
      <c r="B1119" s="1831">
        <f>'Expenditures 15-22'!K47</f>
        <v>133924</v>
      </c>
      <c r="C1119" s="2" t="s">
        <v>569</v>
      </c>
      <c r="D1119" s="2" t="str">
        <f t="shared" si="16"/>
        <v>Error?</v>
      </c>
    </row>
    <row r="1120" spans="1:4" x14ac:dyDescent="0.2">
      <c r="A1120" s="5">
        <v>1059</v>
      </c>
      <c r="B1120" s="1831">
        <f>'Expenditures 15-22'!K49</f>
        <v>47586</v>
      </c>
      <c r="C1120" s="2" t="s">
        <v>569</v>
      </c>
      <c r="D1120" s="2" t="str">
        <f t="shared" si="16"/>
        <v>Error?</v>
      </c>
    </row>
    <row r="1121" spans="1:4" x14ac:dyDescent="0.2">
      <c r="A1121" s="5">
        <v>1060</v>
      </c>
      <c r="B1121" s="1831">
        <f>'Expenditures 15-22'!K50</f>
        <v>207471</v>
      </c>
      <c r="C1121" s="2" t="s">
        <v>569</v>
      </c>
      <c r="D1121" s="2" t="str">
        <f t="shared" si="16"/>
        <v>Error?</v>
      </c>
    </row>
    <row r="1122" spans="1:4" x14ac:dyDescent="0.2">
      <c r="A1122" s="5">
        <v>1061</v>
      </c>
      <c r="B1122" s="1831">
        <f>'Expenditures 15-22'!K53</f>
        <v>255057</v>
      </c>
      <c r="C1122" s="2" t="s">
        <v>569</v>
      </c>
      <c r="D1122" s="2" t="str">
        <f t="shared" si="16"/>
        <v>Error?</v>
      </c>
    </row>
    <row r="1123" spans="1:4" x14ac:dyDescent="0.2">
      <c r="A1123" s="5">
        <v>1062</v>
      </c>
      <c r="B1123" s="1831">
        <f>'Expenditures 15-22'!K55</f>
        <v>647908</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647908</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148773</v>
      </c>
      <c r="C1127" s="2" t="s">
        <v>569</v>
      </c>
      <c r="D1127" s="2" t="str">
        <f t="shared" si="16"/>
        <v>Error?</v>
      </c>
    </row>
    <row r="1128" spans="1:4" x14ac:dyDescent="0.2">
      <c r="A1128" s="5">
        <v>1067</v>
      </c>
      <c r="B1128" s="1831">
        <f>'Expenditures 15-22'!K61</f>
        <v>149</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408071</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556993</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32467</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32467</v>
      </c>
      <c r="C1141" s="2" t="s">
        <v>569</v>
      </c>
      <c r="D1141" s="2" t="str">
        <f t="shared" si="16"/>
        <v>Error?</v>
      </c>
    </row>
    <row r="1142" spans="1:4" x14ac:dyDescent="0.2">
      <c r="A1142" s="5">
        <v>1081</v>
      </c>
      <c r="B1142" s="1831">
        <f>'Expenditures 15-22'!K73</f>
        <v>2011</v>
      </c>
      <c r="C1142" s="2" t="s">
        <v>569</v>
      </c>
      <c r="D1142" s="2" t="str">
        <f t="shared" si="16"/>
        <v>Error?</v>
      </c>
    </row>
    <row r="1143" spans="1:4" x14ac:dyDescent="0.2">
      <c r="A1143" s="5">
        <v>1082</v>
      </c>
      <c r="B1143" s="1831">
        <f>'Expenditures 15-22'!K74</f>
        <v>1889499</v>
      </c>
      <c r="C1143" s="2" t="s">
        <v>569</v>
      </c>
      <c r="D1143" s="2" t="str">
        <f t="shared" si="16"/>
        <v>Error?</v>
      </c>
    </row>
    <row r="1144" spans="1:4" x14ac:dyDescent="0.2">
      <c r="A1144" s="5">
        <v>1083</v>
      </c>
      <c r="B1144" s="1831">
        <f>'Expenditures 15-22'!K75</f>
        <v>1837</v>
      </c>
      <c r="C1144" s="2" t="s">
        <v>569</v>
      </c>
      <c r="D1144" s="2" t="str">
        <f t="shared" si="16"/>
        <v>Error?</v>
      </c>
    </row>
    <row r="1145" spans="1:4" x14ac:dyDescent="0.2">
      <c r="A1145" s="5">
        <v>1084</v>
      </c>
      <c r="B1145" s="1831">
        <f>'Expenditures 15-22'!K102</f>
        <v>246084</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6796569</v>
      </c>
      <c r="C1152" s="2" t="s">
        <v>569</v>
      </c>
      <c r="D1152" s="2" t="str">
        <f t="shared" si="17"/>
        <v>Error?</v>
      </c>
    </row>
    <row r="1153" spans="1:4" x14ac:dyDescent="0.2">
      <c r="A1153" s="5">
        <v>1092</v>
      </c>
      <c r="B1153" s="1831">
        <f>'Expenditures 15-22'!K115</f>
        <v>440948</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252929</v>
      </c>
      <c r="D1221" s="2" t="str">
        <f t="shared" si="18"/>
        <v>Error?</v>
      </c>
    </row>
    <row r="1222" spans="1:4" x14ac:dyDescent="0.2">
      <c r="A1222" s="10">
        <v>1161</v>
      </c>
      <c r="B1222" s="1831"/>
      <c r="D1222" s="2" t="str">
        <f t="shared" si="18"/>
        <v>OK</v>
      </c>
    </row>
    <row r="1223" spans="1:4" x14ac:dyDescent="0.2">
      <c r="A1223" s="5">
        <v>1162</v>
      </c>
      <c r="B1223" s="1831">
        <f>'Expenditures 15-22'!C127</f>
        <v>252929</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252929</v>
      </c>
      <c r="C1225" s="2" t="s">
        <v>569</v>
      </c>
      <c r="D1225" s="2" t="str">
        <f t="shared" si="18"/>
        <v>Error?</v>
      </c>
    </row>
    <row r="1226" spans="1:4" x14ac:dyDescent="0.2">
      <c r="A1226" s="5">
        <v>1165</v>
      </c>
      <c r="B1226" s="1831">
        <f>'Expenditures 15-22'!C151</f>
        <v>252929</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44199</v>
      </c>
      <c r="D1229" s="2" t="str">
        <f t="shared" si="18"/>
        <v>Error?</v>
      </c>
    </row>
    <row r="1230" spans="1:4" x14ac:dyDescent="0.2">
      <c r="A1230" s="10">
        <v>1169</v>
      </c>
      <c r="B1230" s="1831"/>
      <c r="D1230" s="2" t="str">
        <f t="shared" si="18"/>
        <v>OK</v>
      </c>
    </row>
    <row r="1231" spans="1:4" x14ac:dyDescent="0.2">
      <c r="A1231" s="5">
        <v>1170</v>
      </c>
      <c r="B1231" s="1831">
        <f>'Expenditures 15-22'!D127</f>
        <v>44199</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44199</v>
      </c>
      <c r="C1233" s="2" t="s">
        <v>569</v>
      </c>
      <c r="D1233" s="2" t="str">
        <f t="shared" si="18"/>
        <v>Error?</v>
      </c>
    </row>
    <row r="1234" spans="1:4" x14ac:dyDescent="0.2">
      <c r="A1234" s="5">
        <v>1173</v>
      </c>
      <c r="B1234" s="1831">
        <f>'Expenditures 15-22'!D151</f>
        <v>44199</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94305</v>
      </c>
      <c r="D1237" s="2" t="str">
        <f t="shared" si="18"/>
        <v>Error?</v>
      </c>
    </row>
    <row r="1238" spans="1:4" x14ac:dyDescent="0.2">
      <c r="A1238" s="10">
        <v>1177</v>
      </c>
      <c r="B1238" s="1831"/>
      <c r="D1238" s="2" t="str">
        <f t="shared" si="18"/>
        <v>OK</v>
      </c>
    </row>
    <row r="1239" spans="1:4" x14ac:dyDescent="0.2">
      <c r="A1239" s="5">
        <v>1178</v>
      </c>
      <c r="B1239" s="1831">
        <f>'Expenditures 15-22'!E127</f>
        <v>94305</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94305</v>
      </c>
      <c r="C1241" s="2" t="s">
        <v>569</v>
      </c>
      <c r="D1241" s="2" t="str">
        <f t="shared" si="18"/>
        <v>Error?</v>
      </c>
    </row>
    <row r="1242" spans="1:4" x14ac:dyDescent="0.2">
      <c r="A1242" s="5">
        <v>1181</v>
      </c>
      <c r="B1242" s="1831">
        <f>'Expenditures 15-22'!E151</f>
        <v>94305</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203915</v>
      </c>
      <c r="D1245" s="2" t="str">
        <f t="shared" si="18"/>
        <v>Error?</v>
      </c>
    </row>
    <row r="1246" spans="1:4" x14ac:dyDescent="0.2">
      <c r="A1246" s="10">
        <v>1185</v>
      </c>
      <c r="B1246" s="1831"/>
      <c r="D1246" s="2" t="str">
        <f t="shared" si="18"/>
        <v>OK</v>
      </c>
    </row>
    <row r="1247" spans="1:4" x14ac:dyDescent="0.2">
      <c r="A1247" s="5">
        <v>1186</v>
      </c>
      <c r="B1247" s="1831">
        <f>'Expenditures 15-22'!F127</f>
        <v>203915</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203915</v>
      </c>
      <c r="C1249" s="2" t="s">
        <v>569</v>
      </c>
      <c r="D1249" s="2" t="str">
        <f t="shared" si="18"/>
        <v>Error?</v>
      </c>
    </row>
    <row r="1250" spans="1:4" x14ac:dyDescent="0.2">
      <c r="A1250" s="5">
        <v>1189</v>
      </c>
      <c r="B1250" s="1831">
        <f>'Expenditures 15-22'!F151</f>
        <v>203915</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75015</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75015</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75015</v>
      </c>
      <c r="C1258" s="2" t="s">
        <v>569</v>
      </c>
      <c r="D1258" s="2" t="str">
        <f t="shared" si="18"/>
        <v>Error?</v>
      </c>
    </row>
    <row r="1259" spans="1:4" x14ac:dyDescent="0.2">
      <c r="A1259" s="5">
        <v>1198</v>
      </c>
      <c r="B1259" s="1831">
        <f>'Expenditures 15-22'!G151</f>
        <v>75015</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670363</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670363</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670363</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670363</v>
      </c>
      <c r="C1288" s="2" t="s">
        <v>569</v>
      </c>
      <c r="D1288" s="2" t="str">
        <f t="shared" si="19"/>
        <v>Error?</v>
      </c>
    </row>
    <row r="1289" spans="1:4" x14ac:dyDescent="0.2">
      <c r="A1289" s="5">
        <v>1228</v>
      </c>
      <c r="B1289" s="1831">
        <f>'Expenditures 15-22'!K152</f>
        <v>359349</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99391</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364220</v>
      </c>
      <c r="D1315" s="2" t="str">
        <f t="shared" si="19"/>
        <v>Error?</v>
      </c>
    </row>
    <row r="1316" spans="1:4" x14ac:dyDescent="0.2">
      <c r="A1316" s="5">
        <v>1255</v>
      </c>
      <c r="B1316" s="1831">
        <f>'Expenditures 15-22'!H171</f>
        <v>318</v>
      </c>
      <c r="D1316" s="2" t="str">
        <f t="shared" si="19"/>
        <v>Error?</v>
      </c>
    </row>
    <row r="1317" spans="1:4" x14ac:dyDescent="0.2">
      <c r="A1317" s="5">
        <v>1256</v>
      </c>
      <c r="B1317" s="1831">
        <f>'Expenditures 15-22'!H172</f>
        <v>463929</v>
      </c>
      <c r="C1317" s="2" t="s">
        <v>569</v>
      </c>
      <c r="D1317" s="2" t="str">
        <f t="shared" si="19"/>
        <v>Error?</v>
      </c>
    </row>
    <row r="1318" spans="1:4" x14ac:dyDescent="0.2">
      <c r="A1318" s="5">
        <v>1257</v>
      </c>
      <c r="B1318" s="1831">
        <f>'Expenditures 15-22'!H174</f>
        <v>463929</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99391</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364220</v>
      </c>
      <c r="C1329" s="2" t="s">
        <v>569</v>
      </c>
      <c r="D1329" s="2" t="str">
        <f t="shared" si="19"/>
        <v>Error?</v>
      </c>
    </row>
    <row r="1330" spans="1:4" x14ac:dyDescent="0.2">
      <c r="A1330" s="5">
        <v>1269</v>
      </c>
      <c r="B1330" s="1831">
        <f>'Expenditures 15-22'!K171</f>
        <v>318</v>
      </c>
      <c r="C1330" s="2" t="s">
        <v>569</v>
      </c>
      <c r="D1330" s="2" t="str">
        <f t="shared" si="19"/>
        <v>Error?</v>
      </c>
    </row>
    <row r="1331" spans="1:4" x14ac:dyDescent="0.2">
      <c r="A1331" s="5">
        <v>1270</v>
      </c>
      <c r="B1331" s="1831">
        <f>'Expenditures 15-22'!K172</f>
        <v>463929</v>
      </c>
      <c r="C1331" s="2" t="s">
        <v>569</v>
      </c>
      <c r="D1331" s="2" t="str">
        <f t="shared" si="19"/>
        <v>Error?</v>
      </c>
    </row>
    <row r="1332" spans="1:4" x14ac:dyDescent="0.2">
      <c r="A1332" s="5">
        <v>1271</v>
      </c>
      <c r="B1332" s="1831">
        <f>'Expenditures 15-22'!K174</f>
        <v>463929</v>
      </c>
      <c r="C1332" s="2" t="s">
        <v>569</v>
      </c>
      <c r="D1332" s="2" t="str">
        <f t="shared" si="19"/>
        <v>Error?</v>
      </c>
    </row>
    <row r="1333" spans="1:4" x14ac:dyDescent="0.2">
      <c r="A1333" s="5">
        <v>1272</v>
      </c>
      <c r="B1333" s="1831">
        <f>'Expenditures 15-22'!K175</f>
        <v>8262</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281289</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281289</v>
      </c>
      <c r="C1339" s="2" t="s">
        <v>569</v>
      </c>
      <c r="D1339" s="2" t="str">
        <f t="shared" si="19"/>
        <v>Error?</v>
      </c>
    </row>
    <row r="1340" spans="1:4" x14ac:dyDescent="0.2">
      <c r="A1340" s="5">
        <v>1279</v>
      </c>
      <c r="B1340" s="1831">
        <f>'Expenditures 15-22'!C210</f>
        <v>281289</v>
      </c>
      <c r="C1340" s="2" t="s">
        <v>569</v>
      </c>
      <c r="D1340" s="2" t="str">
        <f t="shared" si="19"/>
        <v>Error?</v>
      </c>
    </row>
    <row r="1341" spans="1:4" x14ac:dyDescent="0.2">
      <c r="A1341" s="5">
        <v>1280</v>
      </c>
      <c r="B1341" s="1831">
        <f>'Expenditures 15-22'!D182</f>
        <v>6464</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6464</v>
      </c>
      <c r="C1345" s="2" t="s">
        <v>569</v>
      </c>
      <c r="D1345" s="2" t="str">
        <f t="shared" si="20"/>
        <v>Error?</v>
      </c>
    </row>
    <row r="1346" spans="1:4" x14ac:dyDescent="0.2">
      <c r="A1346" s="5">
        <v>1285</v>
      </c>
      <c r="B1346" s="1831">
        <f>'Expenditures 15-22'!D210</f>
        <v>6464</v>
      </c>
      <c r="C1346" s="2" t="s">
        <v>569</v>
      </c>
      <c r="D1346" s="2" t="str">
        <f t="shared" si="20"/>
        <v>Error?</v>
      </c>
    </row>
    <row r="1347" spans="1:4" x14ac:dyDescent="0.2">
      <c r="A1347" s="5">
        <v>1286</v>
      </c>
      <c r="B1347" s="1831">
        <f>'Expenditures 15-22'!E182</f>
        <v>295425</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295425</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295425</v>
      </c>
      <c r="C1353" s="2" t="s">
        <v>569</v>
      </c>
      <c r="D1353" s="2" t="str">
        <f t="shared" si="20"/>
        <v>Error?</v>
      </c>
    </row>
    <row r="1354" spans="1:4" x14ac:dyDescent="0.2">
      <c r="A1354" s="5">
        <v>1293</v>
      </c>
      <c r="B1354" s="1831">
        <f>'Expenditures 15-22'!F182</f>
        <v>64054</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64054</v>
      </c>
      <c r="C1358" s="2" t="s">
        <v>569</v>
      </c>
      <c r="D1358" s="2" t="str">
        <f t="shared" si="20"/>
        <v>Error?</v>
      </c>
    </row>
    <row r="1359" spans="1:4" x14ac:dyDescent="0.2">
      <c r="A1359" s="5">
        <v>1298</v>
      </c>
      <c r="B1359" s="1831">
        <f>'Expenditures 15-22'!F210</f>
        <v>64054</v>
      </c>
      <c r="C1359" s="2" t="s">
        <v>569</v>
      </c>
      <c r="D1359" s="2" t="str">
        <f t="shared" si="20"/>
        <v>Error?</v>
      </c>
    </row>
    <row r="1360" spans="1:4" x14ac:dyDescent="0.2">
      <c r="A1360" s="5">
        <v>1299</v>
      </c>
      <c r="B1360" s="1831">
        <f>'Expenditures 15-22'!G182</f>
        <v>25985</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25985</v>
      </c>
      <c r="C1364" s="2" t="s">
        <v>569</v>
      </c>
      <c r="D1364" s="2" t="str">
        <f t="shared" si="20"/>
        <v>Error?</v>
      </c>
    </row>
    <row r="1365" spans="1:4" x14ac:dyDescent="0.2">
      <c r="A1365" s="5">
        <v>1304</v>
      </c>
      <c r="B1365" s="1831">
        <f>'Expenditures 15-22'!G210</f>
        <v>25985</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673217</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673217</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673217</v>
      </c>
      <c r="C1388" s="2" t="s">
        <v>569</v>
      </c>
      <c r="D1388" s="2" t="str">
        <f t="shared" si="20"/>
        <v>Error?</v>
      </c>
    </row>
    <row r="1389" spans="1:4" x14ac:dyDescent="0.2">
      <c r="A1389" s="5">
        <v>1328</v>
      </c>
      <c r="B1389" s="1831">
        <f>'Expenditures 15-22'!K211</f>
        <v>98614</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305</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12110</v>
      </c>
      <c r="D1407" s="2" t="str">
        <f t="shared" ref="D1407:D1470" si="21">IF(ISBLANK(B1407),"OK",IF(A1407-B1407=0,"OK","Error?"))</f>
        <v>Error?</v>
      </c>
    </row>
    <row r="1408" spans="1:4" x14ac:dyDescent="0.2">
      <c r="A1408" s="5">
        <v>1347</v>
      </c>
      <c r="B1408" s="1831">
        <f>'Expenditures 15-22'!D223</f>
        <v>5271</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142438</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922</v>
      </c>
      <c r="D1412" s="2" t="str">
        <f t="shared" si="21"/>
        <v>Error?</v>
      </c>
    </row>
    <row r="1413" spans="1:4" x14ac:dyDescent="0.2">
      <c r="A1413" s="5">
        <v>1352</v>
      </c>
      <c r="B1413" s="1831">
        <f>'Expenditures 15-22'!D234</f>
        <v>5640</v>
      </c>
      <c r="D1413" s="2" t="str">
        <f t="shared" si="21"/>
        <v>Error?</v>
      </c>
    </row>
    <row r="1414" spans="1:4" x14ac:dyDescent="0.2">
      <c r="A1414" s="5">
        <v>1353</v>
      </c>
      <c r="B1414" s="1831">
        <f>'Expenditures 15-22'!D235</f>
        <v>1051</v>
      </c>
      <c r="D1414" s="2" t="str">
        <f t="shared" si="21"/>
        <v>Error?</v>
      </c>
    </row>
    <row r="1415" spans="1:4" x14ac:dyDescent="0.2">
      <c r="A1415" s="5">
        <v>1354</v>
      </c>
      <c r="B1415" s="1831">
        <f>'Expenditures 15-22'!D236</f>
        <v>757</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8370</v>
      </c>
      <c r="C1417" s="2" t="s">
        <v>569</v>
      </c>
      <c r="D1417" s="2" t="str">
        <f t="shared" si="21"/>
        <v>Error?</v>
      </c>
    </row>
    <row r="1418" spans="1:4" x14ac:dyDescent="0.2">
      <c r="A1418" s="5">
        <v>1357</v>
      </c>
      <c r="B1418" s="1831">
        <f>'Expenditures 15-22'!D240</f>
        <v>25</v>
      </c>
      <c r="D1418" s="2" t="str">
        <f t="shared" si="21"/>
        <v>Error?</v>
      </c>
    </row>
    <row r="1419" spans="1:4" x14ac:dyDescent="0.2">
      <c r="A1419" s="5">
        <v>1358</v>
      </c>
      <c r="B1419" s="1831">
        <f>'Expenditures 15-22'!D241</f>
        <v>8453</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8478</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8562</v>
      </c>
      <c r="D1423" s="2" t="str">
        <f t="shared" si="21"/>
        <v>Error?</v>
      </c>
    </row>
    <row r="1424" spans="1:4" x14ac:dyDescent="0.2">
      <c r="A1424" s="5">
        <v>1363</v>
      </c>
      <c r="B1424" s="1831">
        <f>'Expenditures 15-22'!D257</f>
        <v>8562</v>
      </c>
      <c r="C1424" s="2" t="s">
        <v>569</v>
      </c>
      <c r="D1424" s="2" t="str">
        <f t="shared" si="21"/>
        <v>Error?</v>
      </c>
    </row>
    <row r="1425" spans="1:4" x14ac:dyDescent="0.2">
      <c r="A1425" s="5">
        <v>1364</v>
      </c>
      <c r="B1425" s="1831">
        <f>'Expenditures 15-22'!D259</f>
        <v>28872</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28872</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15524</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43838</v>
      </c>
      <c r="D1431" s="2" t="str">
        <f t="shared" si="21"/>
        <v>Error?</v>
      </c>
    </row>
    <row r="1432" spans="1:4" x14ac:dyDescent="0.2">
      <c r="A1432" s="5">
        <v>1371</v>
      </c>
      <c r="B1432" s="1831">
        <f>'Expenditures 15-22'!D267</f>
        <v>38515</v>
      </c>
      <c r="D1432" s="2" t="str">
        <f t="shared" si="21"/>
        <v>Error?</v>
      </c>
    </row>
    <row r="1433" spans="1:4" x14ac:dyDescent="0.2">
      <c r="A1433" s="5">
        <v>1372</v>
      </c>
      <c r="B1433" s="1831">
        <f>'Expenditures 15-22'!D268</f>
        <v>25296</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123173</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4354</v>
      </c>
      <c r="D1442" s="2" t="str">
        <f t="shared" si="21"/>
        <v>Error?</v>
      </c>
    </row>
    <row r="1443" spans="1:4" x14ac:dyDescent="0.2">
      <c r="A1443" s="10">
        <v>1382</v>
      </c>
      <c r="B1443" s="1831"/>
      <c r="D1443" s="2" t="str">
        <f t="shared" si="21"/>
        <v>OK</v>
      </c>
    </row>
    <row r="1444" spans="1:4" x14ac:dyDescent="0.2">
      <c r="A1444" s="5">
        <v>1383</v>
      </c>
      <c r="B1444" s="1831">
        <f>'Expenditures 15-22'!D277</f>
        <v>4354</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181809</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324247</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305</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12110</v>
      </c>
      <c r="C1471" s="2" t="s">
        <v>569</v>
      </c>
      <c r="D1471" s="2" t="str">
        <f t="shared" ref="D1471:D1534" si="22">IF(ISBLANK(B1471),"OK",IF(A1471-B1471=0,"OK","Error?"))</f>
        <v>Error?</v>
      </c>
    </row>
    <row r="1472" spans="1:4" x14ac:dyDescent="0.2">
      <c r="A1472" s="5">
        <v>1411</v>
      </c>
      <c r="B1472" s="1831">
        <f>'Expenditures 15-22'!K223</f>
        <v>5271</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142438</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922</v>
      </c>
      <c r="C1476" s="2" t="s">
        <v>569</v>
      </c>
      <c r="D1476" s="2" t="str">
        <f t="shared" si="22"/>
        <v>Error?</v>
      </c>
    </row>
    <row r="1477" spans="1:4" x14ac:dyDescent="0.2">
      <c r="A1477" s="5">
        <v>1416</v>
      </c>
      <c r="B1477" s="1831">
        <f>'Expenditures 15-22'!K234</f>
        <v>5640</v>
      </c>
      <c r="C1477" s="2" t="s">
        <v>569</v>
      </c>
      <c r="D1477" s="2" t="str">
        <f t="shared" si="22"/>
        <v>Error?</v>
      </c>
    </row>
    <row r="1478" spans="1:4" x14ac:dyDescent="0.2">
      <c r="A1478" s="5">
        <v>1417</v>
      </c>
      <c r="B1478" s="1831">
        <f>'Expenditures 15-22'!K235</f>
        <v>1051</v>
      </c>
      <c r="C1478" s="2" t="s">
        <v>569</v>
      </c>
      <c r="D1478" s="2" t="str">
        <f t="shared" si="22"/>
        <v>Error?</v>
      </c>
    </row>
    <row r="1479" spans="1:4" x14ac:dyDescent="0.2">
      <c r="A1479" s="5">
        <v>1418</v>
      </c>
      <c r="B1479" s="1831">
        <f>'Expenditures 15-22'!K236</f>
        <v>757</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8370</v>
      </c>
      <c r="C1481" s="2" t="s">
        <v>569</v>
      </c>
      <c r="D1481" s="2" t="str">
        <f t="shared" si="22"/>
        <v>Error?</v>
      </c>
    </row>
    <row r="1482" spans="1:4" x14ac:dyDescent="0.2">
      <c r="A1482" s="5">
        <v>1421</v>
      </c>
      <c r="B1482" s="1831">
        <f>'Expenditures 15-22'!K240</f>
        <v>25</v>
      </c>
      <c r="C1482" s="2" t="s">
        <v>569</v>
      </c>
      <c r="D1482" s="2" t="str">
        <f t="shared" si="22"/>
        <v>Error?</v>
      </c>
    </row>
    <row r="1483" spans="1:4" x14ac:dyDescent="0.2">
      <c r="A1483" s="5">
        <v>1422</v>
      </c>
      <c r="B1483" s="1831">
        <f>'Expenditures 15-22'!K241</f>
        <v>8453</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8478</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8562</v>
      </c>
      <c r="C1487" s="2" t="s">
        <v>569</v>
      </c>
      <c r="D1487" s="2" t="str">
        <f t="shared" si="22"/>
        <v>Error?</v>
      </c>
    </row>
    <row r="1488" spans="1:4" x14ac:dyDescent="0.2">
      <c r="A1488" s="5">
        <v>1427</v>
      </c>
      <c r="B1488" s="1831">
        <f>'Expenditures 15-22'!K257</f>
        <v>8562</v>
      </c>
      <c r="C1488" s="2" t="s">
        <v>569</v>
      </c>
      <c r="D1488" s="2" t="str">
        <f t="shared" si="22"/>
        <v>Error?</v>
      </c>
    </row>
    <row r="1489" spans="1:4" x14ac:dyDescent="0.2">
      <c r="A1489" s="5">
        <v>1428</v>
      </c>
      <c r="B1489" s="1831">
        <f>'Expenditures 15-22'!K259</f>
        <v>28872</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28872</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15524</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43838</v>
      </c>
      <c r="C1495" s="2" t="s">
        <v>569</v>
      </c>
      <c r="D1495" s="2" t="str">
        <f t="shared" si="22"/>
        <v>Error?</v>
      </c>
    </row>
    <row r="1496" spans="1:4" x14ac:dyDescent="0.2">
      <c r="A1496" s="5">
        <v>1435</v>
      </c>
      <c r="B1496" s="1831">
        <f>'Expenditures 15-22'!K267</f>
        <v>38515</v>
      </c>
      <c r="C1496" s="2" t="s">
        <v>569</v>
      </c>
      <c r="D1496" s="2" t="str">
        <f t="shared" si="22"/>
        <v>Error?</v>
      </c>
    </row>
    <row r="1497" spans="1:4" x14ac:dyDescent="0.2">
      <c r="A1497" s="5">
        <v>1436</v>
      </c>
      <c r="B1497" s="1831">
        <f>'Expenditures 15-22'!K268</f>
        <v>25296</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123173</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4354</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4354</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181809</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324247</v>
      </c>
      <c r="C1517" s="2" t="s">
        <v>569</v>
      </c>
      <c r="D1517" s="2" t="str">
        <f t="shared" si="22"/>
        <v>Error?</v>
      </c>
    </row>
    <row r="1518" spans="1:4" x14ac:dyDescent="0.2">
      <c r="A1518" s="5">
        <v>1457</v>
      </c>
      <c r="B1518" s="1831">
        <f>'Expenditures 15-22'!K296</f>
        <v>7533</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5635</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5459969</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5900917</v>
      </c>
      <c r="C1630" s="2" t="s">
        <v>569</v>
      </c>
      <c r="D1630" s="2" t="str">
        <f t="shared" si="24"/>
        <v>Error?</v>
      </c>
    </row>
    <row r="1631" spans="1:4" x14ac:dyDescent="0.2">
      <c r="A1631" s="5">
        <v>1570</v>
      </c>
      <c r="B1631" s="1831">
        <f>'Acct Summary 7-8'!D79</f>
        <v>1817559</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2176908</v>
      </c>
      <c r="C1644" s="2" t="s">
        <v>569</v>
      </c>
      <c r="D1644" s="2" t="str">
        <f t="shared" si="24"/>
        <v>Error?</v>
      </c>
    </row>
    <row r="1645" spans="1:4" x14ac:dyDescent="0.2">
      <c r="A1645" s="5">
        <v>1584</v>
      </c>
      <c r="B1645" s="1831">
        <f>'Acct Summary 7-8'!E79</f>
        <v>258686</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266948</v>
      </c>
      <c r="C1658" s="2" t="s">
        <v>569</v>
      </c>
      <c r="D1658" s="2" t="str">
        <f t="shared" si="24"/>
        <v>Error?</v>
      </c>
    </row>
    <row r="1659" spans="1:4" x14ac:dyDescent="0.2">
      <c r="A1659" s="5">
        <v>1598</v>
      </c>
      <c r="B1659" s="1831">
        <f>'Acct Summary 7-8'!F79</f>
        <v>845573</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973306</v>
      </c>
      <c r="C1672" s="2" t="s">
        <v>569</v>
      </c>
      <c r="D1672" s="2" t="str">
        <f t="shared" si="25"/>
        <v>Error?</v>
      </c>
    </row>
    <row r="1673" spans="1:4" x14ac:dyDescent="0.2">
      <c r="A1673" s="5">
        <v>1612</v>
      </c>
      <c r="B1673" s="1831">
        <f>'Acct Summary 7-8'!G79</f>
        <v>453271</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460804</v>
      </c>
      <c r="C1686" s="2" t="s">
        <v>569</v>
      </c>
      <c r="D1686" s="2" t="str">
        <f t="shared" si="25"/>
        <v>Error?</v>
      </c>
    </row>
    <row r="1687" spans="1:4" x14ac:dyDescent="0.2">
      <c r="A1687" s="5">
        <v>1626</v>
      </c>
      <c r="B1687" s="1831">
        <f>'Acct Summary 7-8'!H79</f>
        <v>7595</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13230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3743023</v>
      </c>
      <c r="C1744" s="2" t="s">
        <v>569</v>
      </c>
      <c r="D1744" s="2" t="str">
        <f t="shared" si="26"/>
        <v>Error?</v>
      </c>
    </row>
    <row r="1745" spans="1:5" x14ac:dyDescent="0.2">
      <c r="A1745" s="5">
        <v>1684</v>
      </c>
      <c r="B1745" s="1831">
        <f>'Tax Sched 23'!B5</f>
        <v>935576</v>
      </c>
      <c r="C1745" s="2" t="s">
        <v>569</v>
      </c>
      <c r="D1745" s="2" t="str">
        <f t="shared" si="26"/>
        <v>Error?</v>
      </c>
    </row>
    <row r="1746" spans="1:5" x14ac:dyDescent="0.2">
      <c r="A1746" s="5">
        <v>1685</v>
      </c>
      <c r="B1746" s="1831">
        <f>'Tax Sched 23'!B6</f>
        <v>466489</v>
      </c>
      <c r="C1746" s="2" t="s">
        <v>569</v>
      </c>
      <c r="D1746" s="2" t="str">
        <f t="shared" si="26"/>
        <v>Error?</v>
      </c>
    </row>
    <row r="1747" spans="1:5" x14ac:dyDescent="0.2">
      <c r="A1747" s="5">
        <v>1686</v>
      </c>
      <c r="B1747" s="1831">
        <f>'Tax Sched 23'!B7</f>
        <v>287869</v>
      </c>
      <c r="C1747" s="2" t="s">
        <v>569</v>
      </c>
      <c r="D1747" s="2" t="str">
        <f t="shared" si="26"/>
        <v>Error?</v>
      </c>
    </row>
    <row r="1748" spans="1:5" x14ac:dyDescent="0.2">
      <c r="A1748" s="5">
        <v>1687</v>
      </c>
      <c r="B1748" s="1831">
        <f>'Tax Sched 23'!B8</f>
        <v>111921</v>
      </c>
      <c r="C1748" s="2" t="s">
        <v>569</v>
      </c>
      <c r="D1748" s="2" t="str">
        <f t="shared" si="26"/>
        <v>Error?</v>
      </c>
    </row>
    <row r="1749" spans="1:5" x14ac:dyDescent="0.2">
      <c r="A1749" s="5">
        <v>1688</v>
      </c>
      <c r="B1749" s="1831">
        <f>'Tax Sched 23'!B10</f>
        <v>19932</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218156</v>
      </c>
      <c r="C1752" s="2" t="s">
        <v>569</v>
      </c>
      <c r="D1752" s="2" t="str">
        <f t="shared" si="26"/>
        <v>Error?</v>
      </c>
    </row>
    <row r="1753" spans="1:5" x14ac:dyDescent="0.2">
      <c r="A1753" s="5">
        <v>1692</v>
      </c>
      <c r="B1753" s="1831">
        <f>'Tax Sched 23'!B12</f>
        <v>71970</v>
      </c>
      <c r="C1753" s="2" t="s">
        <v>569</v>
      </c>
      <c r="D1753" s="2" t="str">
        <f t="shared" si="26"/>
        <v>Error?</v>
      </c>
    </row>
    <row r="1754" spans="1:5" x14ac:dyDescent="0.2">
      <c r="A1754" s="5">
        <v>1693</v>
      </c>
      <c r="B1754" s="1831">
        <f>'Tax Sched 23'!B14</f>
        <v>57572</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6101846</v>
      </c>
      <c r="C1759" s="2" t="s">
        <v>569</v>
      </c>
      <c r="D1759" s="2" t="str">
        <f t="shared" si="26"/>
        <v>Error?</v>
      </c>
    </row>
    <row r="1760" spans="1:5" x14ac:dyDescent="0.2">
      <c r="A1760" s="5">
        <v>1699</v>
      </c>
      <c r="B1760" s="1831">
        <f>'Tax Sched 23'!D4</f>
        <v>3743023</v>
      </c>
      <c r="C1760" s="2" t="s">
        <v>569</v>
      </c>
      <c r="D1760" s="2" t="str">
        <f t="shared" si="26"/>
        <v>Error?</v>
      </c>
    </row>
    <row r="1761" spans="1:7" x14ac:dyDescent="0.2">
      <c r="A1761" s="5">
        <v>1700</v>
      </c>
      <c r="B1761" s="1831">
        <f>'Tax Sched 23'!D5</f>
        <v>935576</v>
      </c>
      <c r="C1761" s="2" t="s">
        <v>569</v>
      </c>
      <c r="D1761" s="2" t="str">
        <f t="shared" si="26"/>
        <v>Error?</v>
      </c>
    </row>
    <row r="1762" spans="1:7" s="8" customFormat="1" x14ac:dyDescent="0.2">
      <c r="A1762" s="5">
        <v>1701</v>
      </c>
      <c r="B1762" s="1831">
        <f>'Tax Sched 23'!D6</f>
        <v>466489</v>
      </c>
      <c r="C1762" s="2" t="s">
        <v>569</v>
      </c>
      <c r="D1762" s="2" t="str">
        <f t="shared" si="26"/>
        <v>Error?</v>
      </c>
      <c r="E1762" s="9"/>
      <c r="G1762"/>
    </row>
    <row r="1763" spans="1:7" x14ac:dyDescent="0.2">
      <c r="A1763" s="5">
        <v>1702</v>
      </c>
      <c r="B1763" s="1831">
        <f>'Tax Sched 23'!D7</f>
        <v>287869</v>
      </c>
      <c r="C1763" s="2" t="s">
        <v>569</v>
      </c>
      <c r="D1763" s="2" t="str">
        <f t="shared" si="26"/>
        <v>Error?</v>
      </c>
    </row>
    <row r="1764" spans="1:7" x14ac:dyDescent="0.2">
      <c r="A1764" s="5">
        <v>1703</v>
      </c>
      <c r="B1764" s="1831">
        <f>'Tax Sched 23'!D8</f>
        <v>111921</v>
      </c>
      <c r="C1764" s="2" t="s">
        <v>569</v>
      </c>
      <c r="D1764" s="2" t="str">
        <f t="shared" si="26"/>
        <v>Error?</v>
      </c>
    </row>
    <row r="1765" spans="1:7" x14ac:dyDescent="0.2">
      <c r="A1765" s="5">
        <v>1704</v>
      </c>
      <c r="B1765" s="1831">
        <f>'Tax Sched 23'!D10</f>
        <v>19932</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218156</v>
      </c>
      <c r="C1768" s="2" t="s">
        <v>569</v>
      </c>
      <c r="D1768" s="2" t="str">
        <f t="shared" si="26"/>
        <v>Error?</v>
      </c>
    </row>
    <row r="1769" spans="1:7" x14ac:dyDescent="0.2">
      <c r="A1769" s="5">
        <v>1708</v>
      </c>
      <c r="B1769" s="1831">
        <f>'Tax Sched 23'!D12</f>
        <v>71970</v>
      </c>
      <c r="C1769" s="2" t="s">
        <v>569</v>
      </c>
      <c r="D1769" s="2" t="str">
        <f t="shared" si="26"/>
        <v>Error?</v>
      </c>
    </row>
    <row r="1770" spans="1:7" x14ac:dyDescent="0.2">
      <c r="A1770" s="5">
        <v>1709</v>
      </c>
      <c r="B1770" s="1831">
        <f>'Tax Sched 23'!D14</f>
        <v>57572</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6101846</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4074593</v>
      </c>
      <c r="C1792" s="2" t="s">
        <v>569</v>
      </c>
      <c r="D1792" s="2" t="str">
        <f t="shared" si="27"/>
        <v>Error?</v>
      </c>
    </row>
    <row r="1793" spans="1:4" x14ac:dyDescent="0.2">
      <c r="A1793" s="5">
        <v>1732</v>
      </c>
      <c r="B1793" s="1831">
        <f>'Tax Sched 23'!F5</f>
        <v>911929</v>
      </c>
      <c r="C1793" s="2" t="s">
        <v>569</v>
      </c>
      <c r="D1793" s="2" t="str">
        <f t="shared" si="27"/>
        <v>Error?</v>
      </c>
    </row>
    <row r="1794" spans="1:4" x14ac:dyDescent="0.2">
      <c r="A1794" s="5">
        <v>1733</v>
      </c>
      <c r="B1794" s="1831">
        <f>'Tax Sched 23'!F6</f>
        <v>454992</v>
      </c>
      <c r="C1794" s="2" t="s">
        <v>569</v>
      </c>
      <c r="D1794" s="2" t="str">
        <f t="shared" si="27"/>
        <v>Error?</v>
      </c>
    </row>
    <row r="1795" spans="1:4" x14ac:dyDescent="0.2">
      <c r="A1795" s="5">
        <v>1734</v>
      </c>
      <c r="B1795" s="1831">
        <f>'Tax Sched 23'!F7</f>
        <v>280600</v>
      </c>
      <c r="C1795" s="2" t="s">
        <v>569</v>
      </c>
      <c r="D1795" s="2" t="str">
        <f t="shared" si="27"/>
        <v>Error?</v>
      </c>
    </row>
    <row r="1796" spans="1:4" x14ac:dyDescent="0.2">
      <c r="A1796" s="5">
        <v>1735</v>
      </c>
      <c r="B1796" s="1831">
        <f>'Tax Sched 23'!F8</f>
        <v>109091</v>
      </c>
      <c r="C1796" s="2" t="s">
        <v>569</v>
      </c>
      <c r="D1796" s="2" t="str">
        <f t="shared" si="27"/>
        <v>Error?</v>
      </c>
    </row>
    <row r="1797" spans="1:4" x14ac:dyDescent="0.2">
      <c r="A1797" s="5">
        <v>1736</v>
      </c>
      <c r="B1797" s="1831">
        <f>'Tax Sched 23'!F10</f>
        <v>48513</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212650</v>
      </c>
      <c r="C1800" s="2" t="s">
        <v>569</v>
      </c>
      <c r="D1800" s="2" t="str">
        <f t="shared" si="27"/>
        <v>Error?</v>
      </c>
    </row>
    <row r="1801" spans="1:4" x14ac:dyDescent="0.2">
      <c r="A1801" s="5">
        <v>1740</v>
      </c>
      <c r="B1801" s="1831">
        <f>'Tax Sched 23'!F12</f>
        <v>70143</v>
      </c>
      <c r="C1801" s="2" t="s">
        <v>569</v>
      </c>
      <c r="D1801" s="2" t="str">
        <f t="shared" si="27"/>
        <v>Error?</v>
      </c>
    </row>
    <row r="1802" spans="1:4" x14ac:dyDescent="0.2">
      <c r="A1802" s="5">
        <v>1741</v>
      </c>
      <c r="B1802" s="1831">
        <f>'Tax Sched 23'!F14</f>
        <v>56120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6403192</v>
      </c>
      <c r="C1807" s="2" t="s">
        <v>569</v>
      </c>
      <c r="D1807" s="2" t="str">
        <f t="shared" si="27"/>
        <v>Error?</v>
      </c>
    </row>
    <row r="1808" spans="1:4" x14ac:dyDescent="0.2">
      <c r="A1808" s="5">
        <v>1747</v>
      </c>
      <c r="B1808" s="1831">
        <f>'Tax Sched 23'!E4</f>
        <v>4074593</v>
      </c>
      <c r="D1808" s="2" t="str">
        <f t="shared" si="27"/>
        <v>Error?</v>
      </c>
    </row>
    <row r="1809" spans="1:4" x14ac:dyDescent="0.2">
      <c r="A1809" s="5">
        <v>1748</v>
      </c>
      <c r="B1809" s="1831">
        <f>'Tax Sched 23'!E5</f>
        <v>911929</v>
      </c>
      <c r="D1809" s="2" t="str">
        <f t="shared" si="27"/>
        <v>Error?</v>
      </c>
    </row>
    <row r="1810" spans="1:4" x14ac:dyDescent="0.2">
      <c r="A1810" s="5">
        <v>1749</v>
      </c>
      <c r="B1810" s="1831">
        <f>'Tax Sched 23'!E6</f>
        <v>454992</v>
      </c>
      <c r="D1810" s="2" t="str">
        <f t="shared" si="27"/>
        <v>Error?</v>
      </c>
    </row>
    <row r="1811" spans="1:4" x14ac:dyDescent="0.2">
      <c r="A1811" s="5">
        <v>1750</v>
      </c>
      <c r="B1811" s="1831">
        <f>'Tax Sched 23'!E7</f>
        <v>280600</v>
      </c>
      <c r="D1811" s="2" t="str">
        <f t="shared" si="27"/>
        <v>Error?</v>
      </c>
    </row>
    <row r="1812" spans="1:4" x14ac:dyDescent="0.2">
      <c r="A1812" s="5">
        <v>1751</v>
      </c>
      <c r="B1812" s="1831">
        <f>'Tax Sched 23'!E8</f>
        <v>109091</v>
      </c>
      <c r="D1812" s="2" t="str">
        <f t="shared" si="27"/>
        <v>Error?</v>
      </c>
    </row>
    <row r="1813" spans="1:4" x14ac:dyDescent="0.2">
      <c r="A1813" s="5">
        <v>1752</v>
      </c>
      <c r="B1813" s="1831">
        <f>'Tax Sched 23'!E10</f>
        <v>48513</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212650</v>
      </c>
      <c r="D1816" s="2" t="str">
        <f t="shared" si="27"/>
        <v>Error?</v>
      </c>
    </row>
    <row r="1817" spans="1:4" x14ac:dyDescent="0.2">
      <c r="A1817" s="5">
        <v>1756</v>
      </c>
      <c r="B1817" s="1831">
        <f>'Tax Sched 23'!E12</f>
        <v>70143</v>
      </c>
      <c r="D1817" s="2" t="str">
        <f t="shared" si="27"/>
        <v>Error?</v>
      </c>
    </row>
    <row r="1818" spans="1:4" x14ac:dyDescent="0.2">
      <c r="A1818" s="5">
        <v>1757</v>
      </c>
      <c r="B1818" s="1831">
        <f>'Tax Sched 23'!E14</f>
        <v>56120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6403192</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2875150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57572</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57572</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191310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191310</v>
      </c>
      <c r="C1982" s="2" t="s">
        <v>569</v>
      </c>
      <c r="D1982" s="2" t="str">
        <f t="shared" si="29"/>
        <v>Error?</v>
      </c>
    </row>
    <row r="1983" spans="1:5" x14ac:dyDescent="0.2">
      <c r="A1983" s="5">
        <v>1922</v>
      </c>
      <c r="B1983" s="1831">
        <f>'Rest Tax Levies-Tort Im 25'!H24</f>
        <v>-133738</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42500</v>
      </c>
      <c r="D2008" s="2" t="str">
        <f t="shared" si="30"/>
        <v>Error?</v>
      </c>
    </row>
    <row r="2009" spans="1:4" x14ac:dyDescent="0.2">
      <c r="A2009" s="5">
        <v>1948</v>
      </c>
      <c r="B2009" s="1831">
        <f>'Cap Outlay Deprec 26'!C8</f>
        <v>7709371</v>
      </c>
      <c r="D2009" s="2" t="str">
        <f t="shared" si="30"/>
        <v>Error?</v>
      </c>
    </row>
    <row r="2010" spans="1:4" x14ac:dyDescent="0.2">
      <c r="A2010" s="5">
        <v>1949</v>
      </c>
      <c r="B2010" s="1831">
        <f>'Cap Outlay Deprec 26'!C10</f>
        <v>6983776</v>
      </c>
      <c r="D2010" s="2" t="str">
        <f t="shared" si="30"/>
        <v>Error?</v>
      </c>
    </row>
    <row r="2011" spans="1:4" x14ac:dyDescent="0.2">
      <c r="A2011" s="5">
        <v>1950</v>
      </c>
      <c r="B2011" s="1831">
        <f>'Cap Outlay Deprec 26'!C12</f>
        <v>1087287</v>
      </c>
      <c r="D2011" s="2" t="str">
        <f t="shared" si="30"/>
        <v>Error?</v>
      </c>
    </row>
    <row r="2012" spans="1:4" x14ac:dyDescent="0.2">
      <c r="A2012" s="5">
        <v>1951</v>
      </c>
      <c r="B2012" s="1831">
        <f>'Cap Outlay Deprec 26'!C13</f>
        <v>118933</v>
      </c>
      <c r="D2012" s="2" t="str">
        <f t="shared" si="30"/>
        <v>Error?</v>
      </c>
    </row>
    <row r="2013" spans="1:4" x14ac:dyDescent="0.2">
      <c r="A2013" s="5">
        <v>1952</v>
      </c>
      <c r="B2013" s="1831">
        <f>'Cap Outlay Deprec 26'!C16</f>
        <v>15941867</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380143</v>
      </c>
      <c r="D2016" s="2" t="str">
        <f t="shared" si="30"/>
        <v>Error?</v>
      </c>
    </row>
    <row r="2017" spans="1:4" x14ac:dyDescent="0.2">
      <c r="A2017" s="5">
        <v>1956</v>
      </c>
      <c r="B2017" s="1831">
        <f>'Cap Outlay Deprec 26'!D12</f>
        <v>146286</v>
      </c>
      <c r="D2017" s="2" t="str">
        <f t="shared" si="30"/>
        <v>Error?</v>
      </c>
    </row>
    <row r="2018" spans="1:4" x14ac:dyDescent="0.2">
      <c r="A2018" s="5">
        <v>1957</v>
      </c>
      <c r="B2018" s="1831">
        <f>'Cap Outlay Deprec 26'!D13</f>
        <v>25985</v>
      </c>
      <c r="D2018" s="2" t="str">
        <f t="shared" si="30"/>
        <v>Error?</v>
      </c>
    </row>
    <row r="2019" spans="1:4" x14ac:dyDescent="0.2">
      <c r="A2019" s="5">
        <v>1958</v>
      </c>
      <c r="B2019" s="1831">
        <f>'Cap Outlay Deprec 26'!D16</f>
        <v>552414</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119252</v>
      </c>
      <c r="D2023" s="2" t="str">
        <f t="shared" si="30"/>
        <v>Error?</v>
      </c>
    </row>
    <row r="2024" spans="1:4" x14ac:dyDescent="0.2">
      <c r="A2024" s="5">
        <v>1963</v>
      </c>
      <c r="B2024" s="1831">
        <f>'Cap Outlay Deprec 26'!E13</f>
        <v>19675</v>
      </c>
      <c r="D2024" s="2" t="str">
        <f t="shared" si="30"/>
        <v>Error?</v>
      </c>
    </row>
    <row r="2025" spans="1:4" x14ac:dyDescent="0.2">
      <c r="A2025" s="5">
        <v>1964</v>
      </c>
      <c r="B2025" s="1831">
        <f>'Cap Outlay Deprec 26'!E16</f>
        <v>138927</v>
      </c>
      <c r="C2025" s="2" t="s">
        <v>569</v>
      </c>
      <c r="D2025" s="2" t="str">
        <f t="shared" si="30"/>
        <v>Error?</v>
      </c>
    </row>
    <row r="2026" spans="1:4" x14ac:dyDescent="0.2">
      <c r="A2026" s="5">
        <v>1965</v>
      </c>
      <c r="B2026" s="1831">
        <f>'Cap Outlay Deprec 26'!F5</f>
        <v>42500</v>
      </c>
      <c r="C2026" s="2" t="s">
        <v>569</v>
      </c>
      <c r="D2026" s="2" t="str">
        <f t="shared" si="30"/>
        <v>Error?</v>
      </c>
    </row>
    <row r="2027" spans="1:4" x14ac:dyDescent="0.2">
      <c r="A2027" s="5">
        <v>1966</v>
      </c>
      <c r="B2027" s="1831">
        <f>'Cap Outlay Deprec 26'!F8</f>
        <v>7709371</v>
      </c>
      <c r="C2027" s="2" t="s">
        <v>569</v>
      </c>
      <c r="D2027" s="2" t="str">
        <f t="shared" si="30"/>
        <v>Error?</v>
      </c>
    </row>
    <row r="2028" spans="1:4" x14ac:dyDescent="0.2">
      <c r="A2028" s="5">
        <v>1967</v>
      </c>
      <c r="B2028" s="1831">
        <f>'Cap Outlay Deprec 26'!F10</f>
        <v>7363919</v>
      </c>
      <c r="C2028" s="2" t="s">
        <v>569</v>
      </c>
      <c r="D2028" s="2" t="str">
        <f t="shared" si="30"/>
        <v>Error?</v>
      </c>
    </row>
    <row r="2029" spans="1:4" x14ac:dyDescent="0.2">
      <c r="A2029" s="5">
        <v>1968</v>
      </c>
      <c r="B2029" s="1831">
        <f>'Cap Outlay Deprec 26'!F12</f>
        <v>1114321</v>
      </c>
      <c r="C2029" s="2" t="s">
        <v>569</v>
      </c>
      <c r="D2029" s="2" t="str">
        <f t="shared" si="30"/>
        <v>Error?</v>
      </c>
    </row>
    <row r="2030" spans="1:4" x14ac:dyDescent="0.2">
      <c r="A2030" s="5">
        <v>1969</v>
      </c>
      <c r="B2030" s="1831">
        <f>'Cap Outlay Deprec 26'!F13</f>
        <v>125243</v>
      </c>
      <c r="C2030" s="2" t="s">
        <v>569</v>
      </c>
      <c r="D2030" s="2" t="str">
        <f t="shared" si="30"/>
        <v>Error?</v>
      </c>
    </row>
    <row r="2031" spans="1:4" x14ac:dyDescent="0.2">
      <c r="A2031" s="5">
        <v>1970</v>
      </c>
      <c r="B2031" s="1831">
        <f>'Cap Outlay Deprec 26'!F16</f>
        <v>16355354</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4057511</v>
      </c>
      <c r="D2033" s="2" t="str">
        <f t="shared" si="30"/>
        <v>Error?</v>
      </c>
    </row>
    <row r="2034" spans="1:4" x14ac:dyDescent="0.2">
      <c r="A2034" s="5">
        <v>1973</v>
      </c>
      <c r="B2034" s="1831">
        <f>'Cap Outlay Deprec 26'!H10</f>
        <v>3385248</v>
      </c>
      <c r="D2034" s="2" t="str">
        <f t="shared" si="30"/>
        <v>Error?</v>
      </c>
    </row>
    <row r="2035" spans="1:4" x14ac:dyDescent="0.2">
      <c r="A2035" s="5">
        <v>1974</v>
      </c>
      <c r="B2035" s="1831">
        <f>'Cap Outlay Deprec 26'!H12</f>
        <v>592320</v>
      </c>
      <c r="D2035" s="2" t="str">
        <f t="shared" si="30"/>
        <v>Error?</v>
      </c>
    </row>
    <row r="2036" spans="1:4" x14ac:dyDescent="0.2">
      <c r="A2036" s="5">
        <v>1975</v>
      </c>
      <c r="B2036" s="1831">
        <f>'Cap Outlay Deprec 26'!H13</f>
        <v>55109</v>
      </c>
      <c r="D2036" s="2" t="str">
        <f t="shared" si="30"/>
        <v>Error?</v>
      </c>
    </row>
    <row r="2037" spans="1:4" x14ac:dyDescent="0.2">
      <c r="A2037" s="5">
        <v>1976</v>
      </c>
      <c r="B2037" s="1831">
        <f>'Cap Outlay Deprec 26'!H16</f>
        <v>8090188</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154186</v>
      </c>
      <c r="D2039" s="2" t="str">
        <f t="shared" si="30"/>
        <v>Error?</v>
      </c>
    </row>
    <row r="2040" spans="1:4" x14ac:dyDescent="0.2">
      <c r="A2040" s="5">
        <v>1979</v>
      </c>
      <c r="B2040" s="1831">
        <f>'Cap Outlay Deprec 26'!I10</f>
        <v>337554</v>
      </c>
      <c r="D2040" s="2" t="str">
        <f t="shared" si="30"/>
        <v>Error?</v>
      </c>
    </row>
    <row r="2041" spans="1:4" x14ac:dyDescent="0.2">
      <c r="A2041" s="5">
        <v>1980</v>
      </c>
      <c r="B2041" s="1831">
        <f>'Cap Outlay Deprec 26'!I12</f>
        <v>98023</v>
      </c>
      <c r="D2041" s="2" t="str">
        <f t="shared" si="30"/>
        <v>Error?</v>
      </c>
    </row>
    <row r="2042" spans="1:4" x14ac:dyDescent="0.2">
      <c r="A2042" s="5">
        <v>1981</v>
      </c>
      <c r="B2042" s="1831">
        <f>'Cap Outlay Deprec 26'!I13</f>
        <v>17566</v>
      </c>
      <c r="D2042" s="2" t="str">
        <f t="shared" si="30"/>
        <v>Error?</v>
      </c>
    </row>
    <row r="2043" spans="1:4" x14ac:dyDescent="0.2">
      <c r="A2043" s="5">
        <v>1982</v>
      </c>
      <c r="B2043" s="1831">
        <f>'Cap Outlay Deprec 26'!I16</f>
        <v>607329</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119252</v>
      </c>
      <c r="D2047" s="2" t="str">
        <f t="shared" ref="D2047:D2110" si="31">IF(ISBLANK(B2047),"OK",IF(A2047-B2047=0,"OK","Error?"))</f>
        <v>Error?</v>
      </c>
    </row>
    <row r="2048" spans="1:4" x14ac:dyDescent="0.2">
      <c r="A2048" s="5">
        <v>1987</v>
      </c>
      <c r="B2048" s="1831">
        <f>'Cap Outlay Deprec 26'!J13</f>
        <v>19675</v>
      </c>
      <c r="D2048" s="2" t="str">
        <f t="shared" si="31"/>
        <v>Error?</v>
      </c>
    </row>
    <row r="2049" spans="1:4" x14ac:dyDescent="0.2">
      <c r="A2049" s="5">
        <v>1988</v>
      </c>
      <c r="B2049" s="1831">
        <f>'Cap Outlay Deprec 26'!J16</f>
        <v>138927</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4211697</v>
      </c>
      <c r="C2051" s="2" t="s">
        <v>569</v>
      </c>
      <c r="D2051" s="2" t="str">
        <f t="shared" si="31"/>
        <v>Error?</v>
      </c>
    </row>
    <row r="2052" spans="1:4" x14ac:dyDescent="0.2">
      <c r="A2052" s="5">
        <v>1991</v>
      </c>
      <c r="B2052" s="1831">
        <f>'Cap Outlay Deprec 26'!K10</f>
        <v>3722802</v>
      </c>
      <c r="C2052" s="2" t="s">
        <v>569</v>
      </c>
      <c r="D2052" s="2" t="str">
        <f t="shared" si="31"/>
        <v>Error?</v>
      </c>
    </row>
    <row r="2053" spans="1:4" x14ac:dyDescent="0.2">
      <c r="A2053" s="5">
        <v>1992</v>
      </c>
      <c r="B2053" s="1831">
        <f>'Cap Outlay Deprec 26'!K12</f>
        <v>571091</v>
      </c>
      <c r="C2053" s="2" t="s">
        <v>569</v>
      </c>
      <c r="D2053" s="2" t="str">
        <f t="shared" si="31"/>
        <v>Error?</v>
      </c>
    </row>
    <row r="2054" spans="1:4" x14ac:dyDescent="0.2">
      <c r="A2054" s="5">
        <v>1993</v>
      </c>
      <c r="B2054" s="1831">
        <f>'Cap Outlay Deprec 26'!K13</f>
        <v>53000</v>
      </c>
      <c r="C2054" s="2" t="s">
        <v>569</v>
      </c>
      <c r="D2054" s="2" t="str">
        <f t="shared" si="31"/>
        <v>Error?</v>
      </c>
    </row>
    <row r="2055" spans="1:4" x14ac:dyDescent="0.2">
      <c r="A2055" s="5">
        <v>1994</v>
      </c>
      <c r="B2055" s="1831">
        <f>'Cap Outlay Deprec 26'!K16</f>
        <v>8558590</v>
      </c>
      <c r="C2055" s="2" t="s">
        <v>569</v>
      </c>
      <c r="D2055" s="2" t="str">
        <f t="shared" si="31"/>
        <v>Error?</v>
      </c>
    </row>
    <row r="2056" spans="1:4" x14ac:dyDescent="0.2">
      <c r="A2056" s="5">
        <v>1995</v>
      </c>
      <c r="B2056" s="1831">
        <f>'Cap Outlay Deprec 26'!L5</f>
        <v>42500</v>
      </c>
      <c r="C2056" s="2" t="s">
        <v>569</v>
      </c>
      <c r="D2056" s="2" t="str">
        <f t="shared" si="31"/>
        <v>Error?</v>
      </c>
    </row>
    <row r="2057" spans="1:4" x14ac:dyDescent="0.2">
      <c r="A2057" s="5">
        <v>1996</v>
      </c>
      <c r="B2057" s="1831">
        <f>'Cap Outlay Deprec 26'!L8</f>
        <v>3497674</v>
      </c>
      <c r="C2057" s="2" t="s">
        <v>569</v>
      </c>
      <c r="D2057" s="2" t="str">
        <f t="shared" si="31"/>
        <v>Error?</v>
      </c>
    </row>
    <row r="2058" spans="1:4" x14ac:dyDescent="0.2">
      <c r="A2058" s="5">
        <v>1997</v>
      </c>
      <c r="B2058" s="1831">
        <f>'Cap Outlay Deprec 26'!L10</f>
        <v>3641117</v>
      </c>
      <c r="C2058" s="2" t="s">
        <v>569</v>
      </c>
      <c r="D2058" s="2" t="str">
        <f t="shared" si="31"/>
        <v>Error?</v>
      </c>
    </row>
    <row r="2059" spans="1:4" x14ac:dyDescent="0.2">
      <c r="A2059" s="5">
        <v>1998</v>
      </c>
      <c r="B2059" s="1831">
        <f>'Cap Outlay Deprec 26'!L12</f>
        <v>543230</v>
      </c>
      <c r="C2059" s="2" t="s">
        <v>569</v>
      </c>
      <c r="D2059" s="2" t="str">
        <f t="shared" si="31"/>
        <v>Error?</v>
      </c>
    </row>
    <row r="2060" spans="1:4" x14ac:dyDescent="0.2">
      <c r="A2060" s="5">
        <v>1999</v>
      </c>
      <c r="B2060" s="1831">
        <f>'Cap Outlay Deprec 26'!L13</f>
        <v>72243</v>
      </c>
      <c r="C2060" s="2" t="s">
        <v>569</v>
      </c>
      <c r="D2060" s="2" t="str">
        <f t="shared" si="31"/>
        <v>Error?</v>
      </c>
    </row>
    <row r="2061" spans="1:4" x14ac:dyDescent="0.2">
      <c r="A2061" s="5">
        <v>2000</v>
      </c>
      <c r="B2061" s="1831">
        <f>'Cap Outlay Deprec 26'!L16</f>
        <v>7796764</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79023</v>
      </c>
      <c r="C2088" s="2" t="s">
        <v>569</v>
      </c>
      <c r="D2088" s="2" t="str">
        <f t="shared" si="31"/>
        <v>Error?</v>
      </c>
    </row>
    <row r="2089" spans="1:4" x14ac:dyDescent="0.2">
      <c r="A2089" s="5">
        <v>2028</v>
      </c>
      <c r="B2089" s="1831">
        <f>'Expenditures 15-22'!K92</f>
        <v>167061</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37903</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87569</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4281496</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2193181</v>
      </c>
      <c r="C2553" s="2" t="s">
        <v>569</v>
      </c>
      <c r="D2553" s="2" t="str">
        <f t="shared" si="38"/>
        <v>Error?</v>
      </c>
    </row>
    <row r="2554" spans="1:4" x14ac:dyDescent="0.2">
      <c r="A2554" s="5">
        <v>2493</v>
      </c>
      <c r="B2554" s="1831">
        <f>'Acct Summary 7-8'!C7</f>
        <v>762840</v>
      </c>
      <c r="C2554" s="2" t="s">
        <v>569</v>
      </c>
      <c r="D2554" s="2" t="str">
        <f t="shared" si="38"/>
        <v>Error?</v>
      </c>
    </row>
    <row r="2555" spans="1:4" x14ac:dyDescent="0.2">
      <c r="A2555" s="5">
        <v>2494</v>
      </c>
      <c r="B2555" s="1831">
        <f>'Acct Summary 7-8'!C8</f>
        <v>7237517</v>
      </c>
      <c r="C2555" s="2" t="s">
        <v>569</v>
      </c>
      <c r="D2555" s="2" t="str">
        <f t="shared" si="38"/>
        <v>Error?</v>
      </c>
    </row>
    <row r="2556" spans="1:4" x14ac:dyDescent="0.2">
      <c r="A2556" s="5">
        <v>2495</v>
      </c>
      <c r="B2556" s="1831">
        <f>'Acct Summary 7-8'!C12</f>
        <v>4659149</v>
      </c>
      <c r="C2556" s="2" t="s">
        <v>569</v>
      </c>
      <c r="D2556" s="2" t="str">
        <f t="shared" si="38"/>
        <v>Error?</v>
      </c>
    </row>
    <row r="2557" spans="1:4" x14ac:dyDescent="0.2">
      <c r="A2557" s="5">
        <v>2496</v>
      </c>
      <c r="B2557" s="1831">
        <f>'Acct Summary 7-8'!C13</f>
        <v>1889499</v>
      </c>
      <c r="C2557" s="2" t="s">
        <v>569</v>
      </c>
      <c r="D2557" s="2" t="str">
        <f t="shared" si="38"/>
        <v>Error?</v>
      </c>
    </row>
    <row r="2558" spans="1:4" x14ac:dyDescent="0.2">
      <c r="A2558" s="5">
        <v>2497</v>
      </c>
      <c r="B2558" s="1831">
        <f>'Acct Summary 7-8'!C14</f>
        <v>1837</v>
      </c>
      <c r="C2558" s="2" t="s">
        <v>569</v>
      </c>
      <c r="D2558" s="2" t="str">
        <f t="shared" si="38"/>
        <v>Error?</v>
      </c>
    </row>
    <row r="2559" spans="1:4" x14ac:dyDescent="0.2">
      <c r="A2559" s="5">
        <v>2498</v>
      </c>
      <c r="B2559" s="1831">
        <f>'Acct Summary 7-8'!C15</f>
        <v>246084</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6796569</v>
      </c>
      <c r="C2561" s="2" t="s">
        <v>569</v>
      </c>
      <c r="D2561" s="2" t="str">
        <f t="shared" si="39"/>
        <v>Error?</v>
      </c>
    </row>
    <row r="2562" spans="1:4" x14ac:dyDescent="0.2">
      <c r="A2562" s="5">
        <v>2501</v>
      </c>
      <c r="B2562" s="1831">
        <f>'Acct Summary 7-8'!C20</f>
        <v>440948</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989712</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40000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1029712</v>
      </c>
      <c r="C2568" s="2" t="s">
        <v>569</v>
      </c>
      <c r="D2568" s="2" t="str">
        <f t="shared" si="39"/>
        <v>Error?</v>
      </c>
    </row>
    <row r="2569" spans="1:4" x14ac:dyDescent="0.2">
      <c r="A2569" s="5">
        <v>2508</v>
      </c>
      <c r="B2569" s="1831">
        <f>'Acct Summary 7-8'!D13</f>
        <v>670363</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670363</v>
      </c>
      <c r="C2573" s="2" t="s">
        <v>569</v>
      </c>
      <c r="D2573" s="2" t="str">
        <f t="shared" si="39"/>
        <v>Error?</v>
      </c>
    </row>
    <row r="2574" spans="1:4" x14ac:dyDescent="0.2">
      <c r="A2574" s="5">
        <v>2513</v>
      </c>
      <c r="B2574" s="1831">
        <f>'Acct Summary 7-8'!D20</f>
        <v>359349</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301106</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470725</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771831</v>
      </c>
      <c r="C2595" s="2" t="s">
        <v>569</v>
      </c>
      <c r="D2595" s="2" t="str">
        <f t="shared" si="39"/>
        <v>Error?</v>
      </c>
    </row>
    <row r="2596" spans="1:4" x14ac:dyDescent="0.2">
      <c r="A2596" s="5">
        <v>2535</v>
      </c>
      <c r="B2596" s="1831">
        <f>'Acct Summary 7-8'!F13</f>
        <v>673217</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673217</v>
      </c>
      <c r="C2600" s="2" t="s">
        <v>569</v>
      </c>
      <c r="D2600" s="2" t="str">
        <f t="shared" si="39"/>
        <v>Error?</v>
      </c>
    </row>
    <row r="2601" spans="1:4" x14ac:dyDescent="0.2">
      <c r="A2601" s="5">
        <v>2540</v>
      </c>
      <c r="B2601" s="1831">
        <f>'Acct Summary 7-8'!F20</f>
        <v>98614</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331780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331780</v>
      </c>
      <c r="C2606" s="2" t="s">
        <v>569</v>
      </c>
      <c r="D2606" s="2" t="str">
        <f t="shared" si="39"/>
        <v>Error?</v>
      </c>
    </row>
    <row r="2607" spans="1:4" x14ac:dyDescent="0.2">
      <c r="A2607" s="5">
        <v>2546</v>
      </c>
      <c r="B2607" s="1831">
        <f>'Acct Summary 7-8'!G12</f>
        <v>142438</v>
      </c>
      <c r="C2607" s="2" t="s">
        <v>569</v>
      </c>
      <c r="D2607" s="2" t="str">
        <f t="shared" si="39"/>
        <v>Error?</v>
      </c>
    </row>
    <row r="2608" spans="1:4" x14ac:dyDescent="0.2">
      <c r="A2608" s="5">
        <v>2547</v>
      </c>
      <c r="B2608" s="1831">
        <f>'Acct Summary 7-8'!G13</f>
        <v>181809</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324247</v>
      </c>
      <c r="C2612" s="2" t="s">
        <v>569</v>
      </c>
      <c r="D2612" s="2" t="str">
        <f t="shared" si="39"/>
        <v>Error?</v>
      </c>
    </row>
    <row r="2613" spans="1:4" x14ac:dyDescent="0.2">
      <c r="A2613" s="5">
        <v>2552</v>
      </c>
      <c r="B2613" s="1831">
        <f>'Acct Summary 7-8'!G20</f>
        <v>7533</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472191</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472191</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463929</v>
      </c>
      <c r="C2634" s="2" t="s">
        <v>569</v>
      </c>
      <c r="D2634" s="2" t="str">
        <f t="shared" si="40"/>
        <v>Error?</v>
      </c>
    </row>
    <row r="2635" spans="1:4" x14ac:dyDescent="0.2">
      <c r="A2635" s="5">
        <v>2574</v>
      </c>
      <c r="B2635" s="1831">
        <f>'Acct Summary 7-8'!E17</f>
        <v>463929</v>
      </c>
      <c r="C2635" s="2" t="s">
        <v>569</v>
      </c>
      <c r="D2635" s="2" t="str">
        <f t="shared" si="40"/>
        <v>Error?</v>
      </c>
    </row>
    <row r="2636" spans="1:4" x14ac:dyDescent="0.2">
      <c r="A2636" s="5">
        <v>2575</v>
      </c>
      <c r="B2636" s="1831">
        <f>'Acct Summary 7-8'!E20</f>
        <v>8262</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5635</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5635</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5635</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79023</v>
      </c>
      <c r="C2789" s="2" t="s">
        <v>569</v>
      </c>
      <c r="D2789" s="2" t="str">
        <f t="shared" si="42"/>
        <v>Error?</v>
      </c>
    </row>
    <row r="2790" spans="1:4" x14ac:dyDescent="0.2">
      <c r="A2790" s="5">
        <v>2729</v>
      </c>
      <c r="B2790" s="1831">
        <f>'Expenditures 15-22'!E102</f>
        <v>79023</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125243</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391500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948210</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54130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171018</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948210</v>
      </c>
      <c r="D2912" s="2" t="str">
        <f t="shared" si="44"/>
        <v>Error?</v>
      </c>
    </row>
    <row r="2913" spans="1:4" x14ac:dyDescent="0.2">
      <c r="A2913" s="5">
        <v>2852</v>
      </c>
      <c r="B2913" s="1831">
        <f>'Assets-Liab 5-6'!I41</f>
        <v>948210</v>
      </c>
      <c r="C2913" s="2" t="s">
        <v>569</v>
      </c>
      <c r="D2913" s="2" t="str">
        <f t="shared" si="44"/>
        <v>Error?</v>
      </c>
    </row>
    <row r="2914" spans="1:4" x14ac:dyDescent="0.2">
      <c r="A2914" s="5">
        <v>2853</v>
      </c>
      <c r="B2914" s="1831">
        <f>'Assets-Liab 5-6'!L33</f>
        <v>171018</v>
      </c>
      <c r="D2914" s="2" t="str">
        <f t="shared" si="44"/>
        <v>Error?</v>
      </c>
    </row>
    <row r="2915" spans="1:4" x14ac:dyDescent="0.2">
      <c r="A2915" s="10">
        <v>2854</v>
      </c>
      <c r="B2915" s="1831"/>
      <c r="D2915" s="2" t="str">
        <f t="shared" si="44"/>
        <v>OK</v>
      </c>
    </row>
    <row r="2916" spans="1:4" x14ac:dyDescent="0.2">
      <c r="A2916" s="5">
        <v>2855</v>
      </c>
      <c r="B2916" s="1831">
        <f>'Assets-Liab 5-6'!L34</f>
        <v>171018</v>
      </c>
      <c r="C2916" s="2" t="s">
        <v>569</v>
      </c>
      <c r="D2916" s="2" t="str">
        <f t="shared" si="44"/>
        <v>Error?</v>
      </c>
    </row>
    <row r="2917" spans="1:4" x14ac:dyDescent="0.2">
      <c r="A2917" s="5">
        <v>2856</v>
      </c>
      <c r="B2917" s="1831">
        <f>'Assets-Liab 5-6'!L41</f>
        <v>171018</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11441</v>
      </c>
      <c r="D2949" s="2" t="str">
        <f t="shared" si="45"/>
        <v>Error?</v>
      </c>
    </row>
    <row r="2950" spans="1:4" x14ac:dyDescent="0.2">
      <c r="A2950" s="5">
        <v>2889</v>
      </c>
      <c r="B2950" s="1831">
        <f>'Expenditures 15-22'!E79</f>
        <v>67082</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500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11441</v>
      </c>
      <c r="C2973" s="2" t="s">
        <v>569</v>
      </c>
      <c r="D2973" s="2" t="str">
        <f t="shared" si="45"/>
        <v>Error?</v>
      </c>
    </row>
    <row r="2974" spans="1:4" x14ac:dyDescent="0.2">
      <c r="A2974" s="5">
        <v>2913</v>
      </c>
      <c r="B2974" s="1831">
        <f>'Expenditures 15-22'!K79</f>
        <v>67082</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500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91341</v>
      </c>
      <c r="D3055" s="2" t="str">
        <f t="shared" si="46"/>
        <v>Error?</v>
      </c>
    </row>
    <row r="3056" spans="1:4" x14ac:dyDescent="0.2">
      <c r="A3056" s="5">
        <v>2995</v>
      </c>
      <c r="B3056" s="1831">
        <f>'Expenditures 15-22'!D10</f>
        <v>4916</v>
      </c>
      <c r="D3056" s="2" t="str">
        <f t="shared" si="46"/>
        <v>Error?</v>
      </c>
    </row>
    <row r="3057" spans="1:4" x14ac:dyDescent="0.2">
      <c r="A3057" s="5">
        <v>2996</v>
      </c>
      <c r="B3057" s="1831">
        <f>'Expenditures 15-22'!E10</f>
        <v>19472</v>
      </c>
      <c r="D3057" s="2" t="str">
        <f t="shared" si="46"/>
        <v>Error?</v>
      </c>
    </row>
    <row r="3058" spans="1:4" x14ac:dyDescent="0.2">
      <c r="A3058" s="5">
        <v>2997</v>
      </c>
      <c r="B3058" s="1831">
        <f>'Expenditures 15-22'!F10</f>
        <v>35910</v>
      </c>
      <c r="D3058" s="2" t="str">
        <f t="shared" si="46"/>
        <v>Error?</v>
      </c>
    </row>
    <row r="3059" spans="1:4" x14ac:dyDescent="0.2">
      <c r="A3059" s="5">
        <v>2998</v>
      </c>
      <c r="B3059" s="1831">
        <f>'Expenditures 15-22'!G10</f>
        <v>5439</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157078</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14506</v>
      </c>
      <c r="D3064" s="2" t="str">
        <f t="shared" si="46"/>
        <v>Error?</v>
      </c>
    </row>
    <row r="3065" spans="1:4" x14ac:dyDescent="0.2">
      <c r="A3065" s="5">
        <v>3004</v>
      </c>
      <c r="B3065" s="1831">
        <f>'Expenditures 15-22'!K219</f>
        <v>14506</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29314</v>
      </c>
      <c r="C3225" s="2" t="s">
        <v>569</v>
      </c>
      <c r="D3225" s="2" t="str">
        <f t="shared" si="49"/>
        <v>Error?</v>
      </c>
    </row>
    <row r="3226" spans="1:4" x14ac:dyDescent="0.2">
      <c r="A3226" s="5">
        <v>3165</v>
      </c>
      <c r="B3226" s="1831">
        <f>'Acct Summary 7-8'!I8</f>
        <v>29314</v>
      </c>
      <c r="C3226" s="2" t="s">
        <v>569</v>
      </c>
      <c r="D3226" s="2" t="str">
        <f t="shared" si="49"/>
        <v>Error?</v>
      </c>
    </row>
    <row r="3227" spans="1:4" x14ac:dyDescent="0.2">
      <c r="A3227" s="5">
        <v>3166</v>
      </c>
      <c r="B3227" s="1831">
        <f>'Acct Summary 7-8'!I20</f>
        <v>29314</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440948</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359349</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29119</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29119</v>
      </c>
      <c r="C3255" s="2" t="s">
        <v>569</v>
      </c>
      <c r="D3255" s="2" t="str">
        <f t="shared" si="49"/>
        <v>Error?</v>
      </c>
    </row>
    <row r="3256" spans="1:4" x14ac:dyDescent="0.2">
      <c r="A3256" s="5">
        <v>3195</v>
      </c>
      <c r="B3256" s="1831">
        <f>'Acct Summary 7-8'!F78</f>
        <v>127733</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7533</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8262</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5635</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29314</v>
      </c>
      <c r="C3320" s="2" t="s">
        <v>569</v>
      </c>
      <c r="D3320" s="2" t="str">
        <f t="shared" si="50"/>
        <v>Error?</v>
      </c>
    </row>
    <row r="3321" spans="1:4" x14ac:dyDescent="0.2">
      <c r="A3321" s="5">
        <v>3260</v>
      </c>
      <c r="B3321" s="1831">
        <f>'Acct Summary 7-8'!I79</f>
        <v>918896</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948210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593801</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112421</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3048</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3664</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712934</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43387</v>
      </c>
      <c r="D3387" s="2" t="str">
        <f t="shared" si="51"/>
        <v>Error?</v>
      </c>
    </row>
    <row r="3388" spans="1:4" x14ac:dyDescent="0.2">
      <c r="A3388" s="5">
        <v>3327</v>
      </c>
      <c r="B3388" s="1831">
        <f>'Expenditures 15-22'!D217</f>
        <v>54174</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43387</v>
      </c>
      <c r="C3390" s="2" t="s">
        <v>569</v>
      </c>
      <c r="D3390" s="2" t="str">
        <f t="shared" si="51"/>
        <v>Error?</v>
      </c>
    </row>
    <row r="3391" spans="1:4" x14ac:dyDescent="0.2">
      <c r="A3391" s="5">
        <v>3330</v>
      </c>
      <c r="B3391" s="1831">
        <f>'Expenditures 15-22'!K217</f>
        <v>54174</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2046887</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1722270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266948</v>
      </c>
      <c r="D3417" s="2" t="str">
        <f t="shared" si="52"/>
        <v>Error?</v>
      </c>
    </row>
    <row r="3418" spans="1:4" x14ac:dyDescent="0.2">
      <c r="A3418" s="10">
        <v>3357</v>
      </c>
      <c r="B3418" s="1831"/>
      <c r="D3418" s="2" t="str">
        <f t="shared" si="52"/>
        <v>OK</v>
      </c>
    </row>
    <row r="3419" spans="1:4" x14ac:dyDescent="0.2">
      <c r="A3419" s="5">
        <v>3358</v>
      </c>
      <c r="B3419" s="1831">
        <f>'Assets-Liab 5-6'!F4</f>
        <v>840603</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290059</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13230</v>
      </c>
      <c r="D3425" s="2" t="str">
        <f t="shared" si="52"/>
        <v>Error?</v>
      </c>
    </row>
    <row r="3426" spans="1:4" x14ac:dyDescent="0.2">
      <c r="A3426" s="10">
        <v>3365</v>
      </c>
      <c r="B3426" s="1831"/>
      <c r="D3426" s="2" t="str">
        <f t="shared" si="52"/>
        <v>OK</v>
      </c>
    </row>
    <row r="3427" spans="1:4" x14ac:dyDescent="0.2">
      <c r="A3427" s="5">
        <v>3366</v>
      </c>
      <c r="B3427" s="1831">
        <f>'Assets-Liab 5-6'!I4</f>
        <v>556710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116888</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189338</v>
      </c>
      <c r="C3446" s="2" t="s">
        <v>569</v>
      </c>
      <c r="D3446" s="2" t="str">
        <f t="shared" si="52"/>
        <v>Error?</v>
      </c>
    </row>
    <row r="3447" spans="1:4" x14ac:dyDescent="0.2">
      <c r="A3447" s="5">
        <v>3386</v>
      </c>
      <c r="B3447" s="1831">
        <f>'Tax Sched 23'!D16</f>
        <v>189338</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184561</v>
      </c>
      <c r="C3449" s="2" t="s">
        <v>569</v>
      </c>
      <c r="D3449" s="2" t="str">
        <f t="shared" si="52"/>
        <v>Error?</v>
      </c>
    </row>
    <row r="3450" spans="1:4" x14ac:dyDescent="0.2">
      <c r="A3450" s="5">
        <v>3389</v>
      </c>
      <c r="B3450" s="1831">
        <f>'Tax Sched 23'!E16</f>
        <v>184561</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29119</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640880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205588</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846468</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846468</v>
      </c>
      <c r="D3567" s="2" t="str">
        <f t="shared" si="54"/>
        <v>Error?</v>
      </c>
    </row>
    <row r="3568" spans="1:4" x14ac:dyDescent="0.2">
      <c r="A3568" s="5">
        <v>3507</v>
      </c>
      <c r="B3568" s="1831">
        <f>'Assets-Liab 5-6'!K41</f>
        <v>846468</v>
      </c>
      <c r="C3568" s="2" t="s">
        <v>569</v>
      </c>
      <c r="D3568" s="2" t="str">
        <f t="shared" si="54"/>
        <v>Error?</v>
      </c>
    </row>
    <row r="3569" spans="1:4" x14ac:dyDescent="0.2">
      <c r="A3569" s="5">
        <v>3508</v>
      </c>
      <c r="B3569" s="1831">
        <f>'Acct Summary 7-8'!K4</f>
        <v>80161</v>
      </c>
      <c r="C3569" s="2" t="s">
        <v>569</v>
      </c>
      <c r="D3569" s="2" t="str">
        <f t="shared" si="54"/>
        <v>Error?</v>
      </c>
    </row>
    <row r="3570" spans="1:4" x14ac:dyDescent="0.2">
      <c r="A3570" s="5">
        <v>3509</v>
      </c>
      <c r="B3570" s="1831">
        <f>'Acct Summary 7-8'!K6</f>
        <v>50000</v>
      </c>
      <c r="C3570" s="2" t="s">
        <v>569</v>
      </c>
      <c r="D3570" s="2" t="str">
        <f t="shared" si="54"/>
        <v>Error?</v>
      </c>
    </row>
    <row r="3571" spans="1:4" x14ac:dyDescent="0.2">
      <c r="A3571" s="5">
        <v>3510</v>
      </c>
      <c r="B3571" s="1831">
        <f>'Acct Summary 7-8'!K8</f>
        <v>130161</v>
      </c>
      <c r="C3571" s="2" t="s">
        <v>569</v>
      </c>
      <c r="D3571" s="2" t="str">
        <f t="shared" si="54"/>
        <v>Error?</v>
      </c>
    </row>
    <row r="3572" spans="1:4" x14ac:dyDescent="0.2">
      <c r="A3572" s="5">
        <v>3511</v>
      </c>
      <c r="B3572" s="1831">
        <f>'Acct Summary 7-8'!K13</f>
        <v>380352</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380352</v>
      </c>
      <c r="C3575" s="2" t="s">
        <v>569</v>
      </c>
      <c r="D3575" s="2" t="str">
        <f t="shared" si="54"/>
        <v>Error?</v>
      </c>
    </row>
    <row r="3576" spans="1:4" x14ac:dyDescent="0.2">
      <c r="A3576" s="5">
        <v>3515</v>
      </c>
      <c r="B3576" s="1831">
        <f>'Acct Summary 7-8'!K20</f>
        <v>-250191</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-250191</v>
      </c>
      <c r="C3588" s="2" t="s">
        <v>569</v>
      </c>
      <c r="D3588" s="2" t="str">
        <f t="shared" si="55"/>
        <v>Error?</v>
      </c>
    </row>
    <row r="3589" spans="1:4" x14ac:dyDescent="0.2">
      <c r="A3589" s="5">
        <v>3528</v>
      </c>
      <c r="B3589" s="1831">
        <f>'Acct Summary 7-8'!K79</f>
        <v>1096659</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846468</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209</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209</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209</v>
      </c>
      <c r="C3635" s="2" t="s">
        <v>569</v>
      </c>
      <c r="D3635" s="2" t="str">
        <f t="shared" si="55"/>
        <v>Error?</v>
      </c>
    </row>
    <row r="3636" spans="1:4" x14ac:dyDescent="0.2">
      <c r="A3636" s="5">
        <v>3575</v>
      </c>
      <c r="B3636" s="1831">
        <f>'Expenditures 15-22'!E367</f>
        <v>209</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380143</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380143</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380143</v>
      </c>
      <c r="C3649" s="2" t="s">
        <v>569</v>
      </c>
      <c r="D3649" s="2" t="str">
        <f t="shared" si="56"/>
        <v>Error?</v>
      </c>
    </row>
    <row r="3650" spans="1:4" x14ac:dyDescent="0.2">
      <c r="A3650" s="5">
        <v>3589</v>
      </c>
      <c r="B3650" s="1831">
        <f>'Expenditures 15-22'!G367</f>
        <v>380143</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380352</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380352</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380352</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380352</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-250191</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3298246</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10535763</v>
      </c>
      <c r="C4122" s="2" t="s">
        <v>569</v>
      </c>
      <c r="D4122" s="2" t="str">
        <f t="shared" si="63"/>
        <v>Error?</v>
      </c>
    </row>
    <row r="4123" spans="1:4" x14ac:dyDescent="0.2">
      <c r="A4123" s="5">
        <v>4062</v>
      </c>
      <c r="B4123" s="1831">
        <f>'Acct Summary 7-8'!D10</f>
        <v>1029712</v>
      </c>
      <c r="C4123" s="2" t="s">
        <v>569</v>
      </c>
      <c r="D4123" s="2" t="str">
        <f t="shared" si="63"/>
        <v>Error?</v>
      </c>
    </row>
    <row r="4124" spans="1:4" x14ac:dyDescent="0.2">
      <c r="A4124" s="5">
        <v>4063</v>
      </c>
      <c r="B4124" s="1831">
        <f>'Acct Summary 7-8'!E10</f>
        <v>472191</v>
      </c>
      <c r="C4124" s="2" t="s">
        <v>569</v>
      </c>
      <c r="D4124" s="2" t="str">
        <f t="shared" si="63"/>
        <v>Error?</v>
      </c>
    </row>
    <row r="4125" spans="1:4" x14ac:dyDescent="0.2">
      <c r="A4125" s="5">
        <v>4064</v>
      </c>
      <c r="B4125" s="1831">
        <f>'Acct Summary 7-8'!F10</f>
        <v>771831</v>
      </c>
      <c r="C4125" s="2" t="s">
        <v>569</v>
      </c>
      <c r="D4125" s="2" t="str">
        <f t="shared" si="63"/>
        <v>Error?</v>
      </c>
    </row>
    <row r="4126" spans="1:4" x14ac:dyDescent="0.2">
      <c r="A4126" s="5">
        <v>4065</v>
      </c>
      <c r="B4126" s="1831">
        <f>'Acct Summary 7-8'!G10</f>
        <v>331780</v>
      </c>
      <c r="C4126" s="2" t="s">
        <v>569</v>
      </c>
      <c r="D4126" s="2" t="str">
        <f t="shared" si="63"/>
        <v>Error?</v>
      </c>
    </row>
    <row r="4127" spans="1:4" x14ac:dyDescent="0.2">
      <c r="A4127" s="5">
        <v>4066</v>
      </c>
      <c r="B4127" s="1831">
        <f>'Acct Summary 7-8'!H10</f>
        <v>5635</v>
      </c>
      <c r="C4127" s="2" t="s">
        <v>569</v>
      </c>
      <c r="D4127" s="2" t="str">
        <f t="shared" si="63"/>
        <v>Error?</v>
      </c>
    </row>
    <row r="4128" spans="1:4" x14ac:dyDescent="0.2">
      <c r="A4128" s="5">
        <v>4067</v>
      </c>
      <c r="B4128" s="1831">
        <f>'Acct Summary 7-8'!I10</f>
        <v>29314</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130161</v>
      </c>
      <c r="C4130" s="2" t="s">
        <v>569</v>
      </c>
      <c r="D4130" s="2" t="str">
        <f t="shared" si="63"/>
        <v>Error?</v>
      </c>
    </row>
    <row r="4131" spans="1:4" x14ac:dyDescent="0.2">
      <c r="A4131" s="5">
        <v>4070</v>
      </c>
      <c r="B4131" s="1831">
        <f>'Acct Summary 7-8'!C18</f>
        <v>3298246</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10094815</v>
      </c>
      <c r="C4136" s="2" t="s">
        <v>569</v>
      </c>
      <c r="D4136" s="2" t="str">
        <f t="shared" si="63"/>
        <v>Error?</v>
      </c>
    </row>
    <row r="4137" spans="1:4" x14ac:dyDescent="0.2">
      <c r="A4137" s="5">
        <v>4076</v>
      </c>
      <c r="B4137" s="1831">
        <f>'Acct Summary 7-8'!D19</f>
        <v>670363</v>
      </c>
      <c r="C4137" s="2" t="s">
        <v>569</v>
      </c>
      <c r="D4137" s="2" t="str">
        <f t="shared" si="63"/>
        <v>Error?</v>
      </c>
    </row>
    <row r="4138" spans="1:4" x14ac:dyDescent="0.2">
      <c r="A4138" s="5">
        <v>4077</v>
      </c>
      <c r="B4138" s="1831">
        <f>'Acct Summary 7-8'!E19</f>
        <v>463929</v>
      </c>
      <c r="C4138" s="2" t="s">
        <v>569</v>
      </c>
      <c r="D4138" s="2" t="str">
        <f t="shared" si="63"/>
        <v>Error?</v>
      </c>
    </row>
    <row r="4139" spans="1:4" x14ac:dyDescent="0.2">
      <c r="A4139" s="5">
        <v>4078</v>
      </c>
      <c r="B4139" s="1831">
        <f>'Acct Summary 7-8'!F19</f>
        <v>673217</v>
      </c>
      <c r="C4139" s="2" t="s">
        <v>569</v>
      </c>
      <c r="D4139" s="2" t="str">
        <f t="shared" si="63"/>
        <v>Error?</v>
      </c>
    </row>
    <row r="4140" spans="1:4" x14ac:dyDescent="0.2">
      <c r="A4140" s="5">
        <v>4079</v>
      </c>
      <c r="B4140" s="1831">
        <f>'Acct Summary 7-8'!G19</f>
        <v>324247</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380352</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2510930</v>
      </c>
      <c r="C4171" s="2" t="s">
        <v>569</v>
      </c>
      <c r="D4171" s="2" t="str">
        <f t="shared" si="64"/>
        <v>Error?</v>
      </c>
    </row>
    <row r="4172" spans="1:4" x14ac:dyDescent="0.2">
      <c r="A4172" s="5">
        <v>4111</v>
      </c>
      <c r="B4172" s="1831">
        <f>'Short-Term Long-Term Debt 24'!J49</f>
        <v>2243982</v>
      </c>
      <c r="C4172" s="2" t="s">
        <v>569</v>
      </c>
      <c r="D4172" s="2" t="str">
        <f t="shared" si="64"/>
        <v>Error?</v>
      </c>
    </row>
    <row r="4173" spans="1:4" x14ac:dyDescent="0.2">
      <c r="A4173" s="5">
        <v>4112</v>
      </c>
      <c r="B4173" s="1831">
        <f>'Short-Term Long-Term Debt 24'!H49</f>
        <v>364220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2769.15</v>
      </c>
      <c r="C4265" s="2" t="s">
        <v>569</v>
      </c>
      <c r="D4265" s="2" t="str">
        <f t="shared" si="65"/>
        <v>Error?</v>
      </c>
      <c r="E4265" s="125"/>
    </row>
    <row r="4266" spans="1:5" x14ac:dyDescent="0.2">
      <c r="A4266" s="12">
        <v>4205</v>
      </c>
      <c r="B4266" s="1831">
        <f>('FP Info 3'!F10)*100000</f>
        <v>619.76</v>
      </c>
      <c r="C4266" s="2" t="s">
        <v>569</v>
      </c>
      <c r="D4266" s="2" t="str">
        <f t="shared" si="65"/>
        <v>Error?</v>
      </c>
      <c r="E4266" s="125"/>
    </row>
    <row r="4267" spans="1:5" x14ac:dyDescent="0.2">
      <c r="A4267" s="12">
        <v>4206</v>
      </c>
      <c r="B4267" s="1831">
        <f>('FP Info 3'!H10)*100000</f>
        <v>190.70000000000002</v>
      </c>
      <c r="C4267" s="2" t="s">
        <v>569</v>
      </c>
      <c r="D4267" s="2" t="str">
        <f t="shared" si="65"/>
        <v>Error?</v>
      </c>
      <c r="E4267" s="125"/>
    </row>
    <row r="4268" spans="1:5" x14ac:dyDescent="0.2">
      <c r="A4268" s="12">
        <v>4207</v>
      </c>
      <c r="B4268" s="1831">
        <f>('FP Info 3'!J10)*100000</f>
        <v>3580</v>
      </c>
      <c r="C4268" s="2" t="s">
        <v>569</v>
      </c>
      <c r="D4268" s="2" t="str">
        <f t="shared" si="65"/>
        <v>Error?</v>
      </c>
    </row>
    <row r="4269" spans="1:5" x14ac:dyDescent="0.2">
      <c r="A4269" s="12">
        <v>4208</v>
      </c>
      <c r="B4269" s="1831">
        <f>'FP Info 3'!J16</f>
        <v>9999341</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50000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18708</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14070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6444</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8977</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57534</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32.97</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147142356</v>
      </c>
      <c r="D4995" s="2" t="str">
        <f t="shared" si="77"/>
        <v>Error?</v>
      </c>
    </row>
    <row r="4996" spans="1:4" x14ac:dyDescent="0.2">
      <c r="A4996" s="12">
        <v>4935</v>
      </c>
      <c r="B4996" s="1831">
        <f>'FP Info 3'!H31</f>
        <v>20305645.128000002</v>
      </c>
      <c r="D4996" s="2" t="str">
        <f t="shared" si="77"/>
        <v>Error?</v>
      </c>
    </row>
    <row r="4997" spans="1:4" x14ac:dyDescent="0.2">
      <c r="A4997" s="12">
        <v>4936</v>
      </c>
      <c r="B4997" s="1831">
        <f>'FP Info 3'!H37</f>
        <v>2510930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50000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3743023</v>
      </c>
      <c r="D5061" s="2" t="str">
        <f t="shared" si="78"/>
        <v>Error?</v>
      </c>
    </row>
    <row r="5062" spans="1:4" x14ac:dyDescent="0.2">
      <c r="A5062" s="10">
        <v>5001</v>
      </c>
      <c r="B5062" s="1831"/>
      <c r="D5062" s="2" t="str">
        <f t="shared" si="78"/>
        <v>OK</v>
      </c>
    </row>
    <row r="5063" spans="1:4" x14ac:dyDescent="0.2">
      <c r="A5063" s="5">
        <v>5002</v>
      </c>
      <c r="B5063" s="1831">
        <f>'Revenues 9-14'!C7</f>
        <v>57572</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3800595</v>
      </c>
      <c r="C5066" s="2" t="s">
        <v>569</v>
      </c>
      <c r="D5066" s="2" t="str">
        <f t="shared" si="78"/>
        <v>Error?</v>
      </c>
    </row>
    <row r="5067" spans="1:4" x14ac:dyDescent="0.2">
      <c r="A5067" s="5">
        <v>5006</v>
      </c>
      <c r="B5067" s="1831">
        <f>'Revenues 9-14'!C14</f>
        <v>8076</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224786</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232862</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45276</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45276</v>
      </c>
      <c r="C5090" s="2" t="s">
        <v>569</v>
      </c>
      <c r="D5090" s="2" t="str">
        <f t="shared" si="78"/>
        <v>Error?</v>
      </c>
    </row>
    <row r="5091" spans="1:4" x14ac:dyDescent="0.2">
      <c r="A5091" s="5">
        <v>5030</v>
      </c>
      <c r="B5091" s="1831">
        <f>'Revenues 9-14'!C70</f>
        <v>10942</v>
      </c>
      <c r="D5091" s="2" t="str">
        <f t="shared" si="78"/>
        <v>Error?</v>
      </c>
    </row>
    <row r="5092" spans="1:4" x14ac:dyDescent="0.2">
      <c r="A5092" s="5">
        <v>5031</v>
      </c>
      <c r="B5092" s="1831">
        <f>'Revenues 9-14'!C71</f>
        <v>8755</v>
      </c>
      <c r="D5092" s="2" t="str">
        <f t="shared" si="78"/>
        <v>Error?</v>
      </c>
    </row>
    <row r="5093" spans="1:4" x14ac:dyDescent="0.2">
      <c r="A5093" s="5">
        <v>5032</v>
      </c>
      <c r="B5093" s="1831">
        <f>'Revenues 9-14'!C72</f>
        <v>3022</v>
      </c>
      <c r="D5093" s="2" t="str">
        <f t="shared" si="78"/>
        <v>Error?</v>
      </c>
    </row>
    <row r="5094" spans="1:4" x14ac:dyDescent="0.2">
      <c r="A5094" s="5">
        <v>5033</v>
      </c>
      <c r="B5094" s="1831">
        <f>'Revenues 9-14'!C73</f>
        <v>6906</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95132</v>
      </c>
      <c r="C5096" s="2" t="s">
        <v>569</v>
      </c>
      <c r="D5096" s="2" t="str">
        <f t="shared" si="78"/>
        <v>Error?</v>
      </c>
    </row>
    <row r="5097" spans="1:4" x14ac:dyDescent="0.2">
      <c r="A5097" s="5">
        <v>5036</v>
      </c>
      <c r="B5097" s="1831">
        <f>'Revenues 9-14'!C77</f>
        <v>16540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3430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475</v>
      </c>
      <c r="D5101" s="2" t="str">
        <f t="shared" si="78"/>
        <v>Error?</v>
      </c>
    </row>
    <row r="5102" spans="1:4" x14ac:dyDescent="0.2">
      <c r="A5102" s="5">
        <v>5041</v>
      </c>
      <c r="B5102" s="1831">
        <f>'Revenues 9-14'!C82</f>
        <v>20445</v>
      </c>
      <c r="C5102" s="2" t="s">
        <v>569</v>
      </c>
      <c r="D5102" s="2" t="str">
        <f t="shared" si="78"/>
        <v>Error?</v>
      </c>
    </row>
    <row r="5103" spans="1:4" x14ac:dyDescent="0.2">
      <c r="A5103" s="5">
        <v>5042</v>
      </c>
      <c r="B5103" s="1831">
        <f>'Revenues 9-14'!C84</f>
        <v>31804</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675</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32479</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22785</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9789</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14081</v>
      </c>
      <c r="D5119" s="2" t="str">
        <f t="shared" ref="D5119:D5182" si="79">IF(ISBLANK(B5119),"OK",IF(A5119-B5119=0,"OK","Error?"))</f>
        <v>Error?</v>
      </c>
    </row>
    <row r="5120" spans="1:4" x14ac:dyDescent="0.2">
      <c r="A5120" s="5">
        <v>5059</v>
      </c>
      <c r="B5120" s="1831">
        <f>'Revenues 9-14'!C108</f>
        <v>54707</v>
      </c>
      <c r="C5120" s="2" t="s">
        <v>569</v>
      </c>
      <c r="D5120" s="2" t="str">
        <f t="shared" si="79"/>
        <v>Error?</v>
      </c>
    </row>
    <row r="5121" spans="1:4" x14ac:dyDescent="0.2">
      <c r="A5121" s="5">
        <v>5060</v>
      </c>
      <c r="B5121" s="1831">
        <f>'Revenues 9-14'!C109</f>
        <v>4281496</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1893779</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1893779</v>
      </c>
      <c r="C5132" s="2" t="s">
        <v>569</v>
      </c>
      <c r="D5132" s="2" t="str">
        <f t="shared" si="79"/>
        <v>Error?</v>
      </c>
    </row>
    <row r="5133" spans="1:4" x14ac:dyDescent="0.2">
      <c r="A5133" s="5">
        <v>5072</v>
      </c>
      <c r="B5133" s="1831">
        <f>'Revenues 9-14'!C125</f>
        <v>3808</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8114</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11922</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7100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19625</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3040</v>
      </c>
      <c r="D5167" s="2" t="str">
        <f t="shared" si="79"/>
        <v>Error?</v>
      </c>
    </row>
    <row r="5168" spans="1:4" x14ac:dyDescent="0.2">
      <c r="A5168" s="5">
        <v>5107</v>
      </c>
      <c r="B5168" s="1831">
        <f>'Revenues 9-14'!C148</f>
        <v>6828</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257237</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299402</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2193181</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157839</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50760</v>
      </c>
      <c r="D5241" s="2" t="str">
        <f t="shared" si="80"/>
        <v>Error?</v>
      </c>
    </row>
    <row r="5242" spans="1:4" x14ac:dyDescent="0.2">
      <c r="A5242" s="5">
        <v>5181</v>
      </c>
      <c r="B5242" s="1831">
        <f>'Revenues 9-14'!C194</f>
        <v>104159</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312758</v>
      </c>
      <c r="C5246" s="2" t="s">
        <v>569</v>
      </c>
      <c r="D5246" s="2" t="str">
        <f t="shared" si="80"/>
        <v>Error?</v>
      </c>
    </row>
    <row r="5247" spans="1:4" x14ac:dyDescent="0.2">
      <c r="A5247" s="5">
        <v>5186</v>
      </c>
      <c r="B5247" s="1831">
        <f>'Revenues 9-14'!C200</f>
        <v>343143</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8977</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361851</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1206</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1206</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762840</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762840</v>
      </c>
      <c r="C5326" s="2" t="s">
        <v>569</v>
      </c>
      <c r="D5326" s="2" t="str">
        <f t="shared" si="82"/>
        <v>Error?</v>
      </c>
    </row>
    <row r="5327" spans="1:5" x14ac:dyDescent="0.2">
      <c r="A5327" s="5">
        <v>5266</v>
      </c>
      <c r="B5327" s="1831">
        <f>'Revenues 9-14'!C268</f>
        <v>7237517</v>
      </c>
      <c r="C5327" s="2" t="s">
        <v>569</v>
      </c>
      <c r="D5327" s="2" t="str">
        <f t="shared" si="82"/>
        <v>Error?</v>
      </c>
    </row>
    <row r="5328" spans="1:5" x14ac:dyDescent="0.2">
      <c r="A5328" s="5">
        <v>5267</v>
      </c>
      <c r="B5328" s="1831">
        <f>'Revenues 9-14'!D5</f>
        <v>935576</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935576</v>
      </c>
      <c r="C5334" s="2" t="s">
        <v>569</v>
      </c>
      <c r="D5334" s="2" t="str">
        <f t="shared" si="82"/>
        <v>Error?</v>
      </c>
    </row>
    <row r="5335" spans="1:4" x14ac:dyDescent="0.2">
      <c r="A5335" s="5">
        <v>5274</v>
      </c>
      <c r="B5335" s="1831">
        <f>'Revenues 9-14'!D14</f>
        <v>1988</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1988</v>
      </c>
      <c r="C5339" s="2" t="s">
        <v>569</v>
      </c>
      <c r="D5339" s="2" t="str">
        <f t="shared" si="82"/>
        <v>Error?</v>
      </c>
    </row>
    <row r="5340" spans="1:4" x14ac:dyDescent="0.2">
      <c r="A5340" s="5">
        <v>5279</v>
      </c>
      <c r="B5340" s="1831">
        <f>'Revenues 9-14'!D65</f>
        <v>46316</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46316</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5700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132</v>
      </c>
      <c r="D5354" s="2" t="str">
        <f t="shared" si="82"/>
        <v>Error?</v>
      </c>
    </row>
    <row r="5355" spans="1:4" x14ac:dyDescent="0.2">
      <c r="A5355" s="5">
        <v>5294</v>
      </c>
      <c r="B5355" s="1831">
        <f>'Revenues 9-14'!D108</f>
        <v>5832</v>
      </c>
      <c r="C5355" s="2" t="s">
        <v>569</v>
      </c>
      <c r="D5355" s="2" t="str">
        <f t="shared" si="82"/>
        <v>Error?</v>
      </c>
    </row>
    <row r="5356" spans="1:4" x14ac:dyDescent="0.2">
      <c r="A5356" s="5">
        <v>5295</v>
      </c>
      <c r="B5356" s="1831">
        <f>'Revenues 9-14'!D109</f>
        <v>989712</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40000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40000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40000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1029712</v>
      </c>
      <c r="C5508" s="2" t="s">
        <v>569</v>
      </c>
      <c r="D5508" s="2" t="str">
        <f t="shared" si="85"/>
        <v>Error?</v>
      </c>
    </row>
    <row r="5509" spans="1:4" x14ac:dyDescent="0.2">
      <c r="A5509" s="5">
        <v>5448</v>
      </c>
      <c r="B5509" s="1831">
        <f>'Revenues 9-14'!E5</f>
        <v>466489</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466489</v>
      </c>
      <c r="C5513" s="2" t="s">
        <v>569</v>
      </c>
      <c r="D5513" s="2" t="str">
        <f t="shared" si="85"/>
        <v>Error?</v>
      </c>
    </row>
    <row r="5514" spans="1:4" x14ac:dyDescent="0.2">
      <c r="A5514" s="5">
        <v>5453</v>
      </c>
      <c r="B5514" s="1831">
        <f>'Revenues 9-14'!E14</f>
        <v>992</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992</v>
      </c>
      <c r="C5518" s="2" t="s">
        <v>569</v>
      </c>
      <c r="D5518" s="2" t="str">
        <f t="shared" si="85"/>
        <v>Error?</v>
      </c>
    </row>
    <row r="5519" spans="1:4" x14ac:dyDescent="0.2">
      <c r="A5519" s="5">
        <v>5458</v>
      </c>
      <c r="B5519" s="1831">
        <f>'Revenues 9-14'!E65</f>
        <v>4710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4710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472191</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472191</v>
      </c>
      <c r="C5552" s="2" t="s">
        <v>569</v>
      </c>
      <c r="D5552" s="2" t="str">
        <f t="shared" si="85"/>
        <v>Error?</v>
      </c>
    </row>
    <row r="5553" spans="1:4" x14ac:dyDescent="0.2">
      <c r="A5553" s="5">
        <v>5492</v>
      </c>
      <c r="B5553" s="1831">
        <f>'Revenues 9-14'!F5</f>
        <v>287869</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287869</v>
      </c>
      <c r="C5557" s="2" t="s">
        <v>569</v>
      </c>
      <c r="D5557" s="2" t="str">
        <f t="shared" si="85"/>
        <v>Error?</v>
      </c>
    </row>
    <row r="5558" spans="1:4" x14ac:dyDescent="0.2">
      <c r="A5558" s="5">
        <v>5497</v>
      </c>
      <c r="B5558" s="1831">
        <f>'Revenues 9-14'!F14</f>
        <v>612</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612</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9449</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9449</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3176</v>
      </c>
      <c r="D5586" s="2" t="str">
        <f t="shared" si="86"/>
        <v>Error?</v>
      </c>
    </row>
    <row r="5587" spans="1:4" x14ac:dyDescent="0.2">
      <c r="A5587" s="5">
        <v>5526</v>
      </c>
      <c r="B5587" s="1831">
        <f>'Revenues 9-14'!F108</f>
        <v>3176</v>
      </c>
      <c r="C5587" s="2" t="s">
        <v>569</v>
      </c>
      <c r="D5587" s="2" t="str">
        <f t="shared" si="86"/>
        <v>Error?</v>
      </c>
    </row>
    <row r="5588" spans="1:4" x14ac:dyDescent="0.2">
      <c r="A5588" s="5">
        <v>5527</v>
      </c>
      <c r="B5588" s="1831">
        <f>'Revenues 9-14'!F109</f>
        <v>301106</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10000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10000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321887</v>
      </c>
      <c r="D5615" s="2" t="str">
        <f t="shared" si="86"/>
        <v>Error?</v>
      </c>
    </row>
    <row r="5616" spans="1:4" x14ac:dyDescent="0.2">
      <c r="A5616" s="10">
        <v>5555</v>
      </c>
      <c r="B5616" s="1831"/>
      <c r="D5616" s="2" t="str">
        <f t="shared" si="86"/>
        <v>OK</v>
      </c>
    </row>
    <row r="5617" spans="1:5" x14ac:dyDescent="0.2">
      <c r="A5617" s="5">
        <v>5556</v>
      </c>
      <c r="B5617" s="1831">
        <f>'Revenues 9-14'!F153</f>
        <v>138838</v>
      </c>
      <c r="D5617" s="2" t="str">
        <f t="shared" si="86"/>
        <v>Error?</v>
      </c>
    </row>
    <row r="5618" spans="1:5" x14ac:dyDescent="0.2">
      <c r="A5618" s="5">
        <v>5557</v>
      </c>
      <c r="B5618" s="1831">
        <f>'Revenues 9-14'!F155</f>
        <v>460725</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460725</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470725</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771831</v>
      </c>
      <c r="C5720" s="2" t="s">
        <v>569</v>
      </c>
      <c r="D5720" s="2" t="str">
        <f t="shared" si="88"/>
        <v>Error?</v>
      </c>
    </row>
    <row r="5721" spans="1:4" x14ac:dyDescent="0.2">
      <c r="A5721" s="5">
        <v>5660</v>
      </c>
      <c r="B5721" s="1831">
        <f>'Revenues 9-14'!G5</f>
        <v>111921</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189338</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301259</v>
      </c>
      <c r="C5725" s="2" t="s">
        <v>569</v>
      </c>
      <c r="D5725" s="2" t="str">
        <f t="shared" si="88"/>
        <v>Error?</v>
      </c>
    </row>
    <row r="5726" spans="1:4" x14ac:dyDescent="0.2">
      <c r="A5726" s="5">
        <v>5665</v>
      </c>
      <c r="B5726" s="1831">
        <f>'Revenues 9-14'!G14</f>
        <v>640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24000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24640</v>
      </c>
      <c r="C5730" s="2" t="s">
        <v>569</v>
      </c>
      <c r="D5730" s="2" t="str">
        <f t="shared" si="88"/>
        <v>Error?</v>
      </c>
    </row>
    <row r="5731" spans="1:4" x14ac:dyDescent="0.2">
      <c r="A5731" s="5">
        <v>5670</v>
      </c>
      <c r="B5731" s="1831">
        <f>'Revenues 9-14'!G65</f>
        <v>5881</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5881</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331780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113</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113</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5522</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5635</v>
      </c>
      <c r="C5915" s="2" t="s">
        <v>569</v>
      </c>
      <c r="D5915" s="2" t="str">
        <f t="shared" si="91"/>
        <v>Error?</v>
      </c>
    </row>
    <row r="5916" spans="1:4" x14ac:dyDescent="0.2">
      <c r="A5916" s="5">
        <v>5855</v>
      </c>
      <c r="B5916" s="1831">
        <f>'Revenues 9-14'!I5</f>
        <v>19932</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19932</v>
      </c>
      <c r="C5918" s="2" t="s">
        <v>569</v>
      </c>
      <c r="D5918" s="2" t="str">
        <f t="shared" si="91"/>
        <v>Error?</v>
      </c>
    </row>
    <row r="5919" spans="1:4" x14ac:dyDescent="0.2">
      <c r="A5919" s="5">
        <v>5858</v>
      </c>
      <c r="B5919" s="1831">
        <f>'Revenues 9-14'!I14</f>
        <v>42</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42</v>
      </c>
      <c r="C5923" s="2" t="s">
        <v>569</v>
      </c>
      <c r="D5923" s="2" t="str">
        <f t="shared" si="91"/>
        <v>Error?</v>
      </c>
    </row>
    <row r="5924" spans="1:4" x14ac:dyDescent="0.2">
      <c r="A5924" s="5">
        <v>5863</v>
      </c>
      <c r="B5924" s="1831">
        <f>'Revenues 9-14'!I65</f>
        <v>9340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9340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29314</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71970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71970</v>
      </c>
      <c r="C5987" s="2" t="s">
        <v>569</v>
      </c>
      <c r="D5987" s="2" t="str">
        <f t="shared" si="92"/>
        <v>Error?</v>
      </c>
    </row>
    <row r="5988" spans="1:4" x14ac:dyDescent="0.2">
      <c r="A5988" s="5">
        <v>5927</v>
      </c>
      <c r="B5988" s="1831">
        <f>'Revenues 9-14'!K14</f>
        <v>153</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153</v>
      </c>
      <c r="C5992" s="2" t="s">
        <v>569</v>
      </c>
      <c r="D5992" s="2" t="str">
        <f t="shared" si="92"/>
        <v>Error?</v>
      </c>
    </row>
    <row r="5993" spans="1:4" x14ac:dyDescent="0.2">
      <c r="A5993" s="5">
        <v>5932</v>
      </c>
      <c r="B5993" s="1831">
        <f>'Revenues 9-14'!K65</f>
        <v>8038</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8038</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50000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130161</v>
      </c>
      <c r="C6023" s="2" t="s">
        <v>569</v>
      </c>
      <c r="D6023" s="2" t="str">
        <f t="shared" si="93"/>
        <v>Error?</v>
      </c>
    </row>
    <row r="6024" spans="1:5" x14ac:dyDescent="0.2">
      <c r="A6024" s="5">
        <v>5963</v>
      </c>
      <c r="B6024" s="1831">
        <f>'Revenues 9-14'!G109</f>
        <v>331780</v>
      </c>
      <c r="C6024" s="2" t="s">
        <v>569</v>
      </c>
      <c r="D6024" s="2" t="str">
        <f t="shared" si="93"/>
        <v>Error?</v>
      </c>
    </row>
    <row r="6025" spans="1:5" x14ac:dyDescent="0.2">
      <c r="A6025" s="5">
        <v>5964</v>
      </c>
      <c r="B6025" s="1831">
        <f>'Revenues 9-14'!H109</f>
        <v>5635</v>
      </c>
      <c r="C6025" s="2" t="s">
        <v>569</v>
      </c>
      <c r="D6025" s="2" t="str">
        <f t="shared" si="93"/>
        <v>Error?</v>
      </c>
    </row>
    <row r="6026" spans="1:5" x14ac:dyDescent="0.2">
      <c r="A6026" s="5">
        <v>5965</v>
      </c>
      <c r="B6026" s="1831">
        <f>'Revenues 9-14'!I109</f>
        <v>29314</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80161</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65507</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44084</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780.6</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478155</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478155</v>
      </c>
      <c r="D6215" s="2" t="str">
        <f t="shared" si="96"/>
        <v>Error?</v>
      </c>
      <c r="E6215" s="2" t="s">
        <v>189</v>
      </c>
    </row>
    <row r="6216" spans="1:5" x14ac:dyDescent="0.2">
      <c r="A6216">
        <v>6155</v>
      </c>
      <c r="B6216" s="1831">
        <f>'Assets-Liab 5-6'!J41</f>
        <v>478155</v>
      </c>
      <c r="D6216" s="2" t="str">
        <f t="shared" si="96"/>
        <v>Error?</v>
      </c>
      <c r="E6216" s="2" t="s">
        <v>189</v>
      </c>
    </row>
    <row r="6217" spans="1:5" x14ac:dyDescent="0.2">
      <c r="A6217">
        <v>6156</v>
      </c>
      <c r="B6217" s="1831">
        <f>'Assets-Liab 5-6'!J4</f>
        <v>478155</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239422</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239422</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239422</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191130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191130</v>
      </c>
      <c r="D6229" s="2" t="str">
        <f t="shared" si="96"/>
        <v>Error?</v>
      </c>
      <c r="E6229" s="2" t="s">
        <v>189</v>
      </c>
    </row>
    <row r="6230" spans="1:5" x14ac:dyDescent="0.2">
      <c r="A6230">
        <v>6169</v>
      </c>
      <c r="B6230" s="1831">
        <f>'Acct Summary 7-8'!J20</f>
        <v>48292</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48292</v>
      </c>
      <c r="D6263" s="2" t="str">
        <f t="shared" si="96"/>
        <v>Error?</v>
      </c>
      <c r="E6263" s="2" t="s">
        <v>189</v>
      </c>
    </row>
    <row r="6264" spans="1:5" x14ac:dyDescent="0.2">
      <c r="A6264">
        <v>6203</v>
      </c>
      <c r="B6264" s="1831">
        <f>'Acct Summary 7-8'!J79</f>
        <v>429863</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478155</v>
      </c>
      <c r="D6266" s="2" t="str">
        <f t="shared" si="96"/>
        <v>Error?</v>
      </c>
      <c r="E6266" s="2" t="s">
        <v>189</v>
      </c>
    </row>
    <row r="6267" spans="1:5" x14ac:dyDescent="0.2">
      <c r="A6267">
        <v>6206</v>
      </c>
      <c r="B6267" s="1831">
        <f>'Acct Summary 7-8'!C82</f>
        <v>440948</v>
      </c>
      <c r="D6267" s="2" t="str">
        <f t="shared" si="96"/>
        <v>Error?</v>
      </c>
      <c r="E6267" s="2" t="s">
        <v>189</v>
      </c>
    </row>
    <row r="6268" spans="1:5" x14ac:dyDescent="0.2">
      <c r="A6268">
        <v>6207</v>
      </c>
      <c r="B6268" s="1831">
        <f>'Acct Summary 7-8'!D82</f>
        <v>359349</v>
      </c>
      <c r="D6268" s="2" t="str">
        <f t="shared" si="96"/>
        <v>Error?</v>
      </c>
      <c r="E6268" s="2" t="s">
        <v>189</v>
      </c>
    </row>
    <row r="6269" spans="1:5" x14ac:dyDescent="0.2">
      <c r="A6269">
        <v>6208</v>
      </c>
      <c r="B6269" s="1831">
        <f>'Acct Summary 7-8'!E82</f>
        <v>8262</v>
      </c>
      <c r="D6269" s="2" t="str">
        <f t="shared" si="96"/>
        <v>Error?</v>
      </c>
      <c r="E6269" s="2" t="s">
        <v>189</v>
      </c>
    </row>
    <row r="6270" spans="1:5" x14ac:dyDescent="0.2">
      <c r="A6270">
        <v>6209</v>
      </c>
      <c r="B6270" s="1831">
        <f>'Acct Summary 7-8'!F82</f>
        <v>127733</v>
      </c>
      <c r="D6270" s="2" t="str">
        <f t="shared" si="96"/>
        <v>Error?</v>
      </c>
      <c r="E6270" s="2" t="s">
        <v>189</v>
      </c>
    </row>
    <row r="6271" spans="1:5" x14ac:dyDescent="0.2">
      <c r="A6271">
        <v>6210</v>
      </c>
      <c r="B6271" s="1831">
        <f>'Acct Summary 7-8'!G82</f>
        <v>7533</v>
      </c>
      <c r="D6271" s="2" t="str">
        <f t="shared" ref="D6271:D6334" si="97">IF(ISBLANK(B6271),"OK",IF(A6271-B6271=0,"OK","Error?"))</f>
        <v>Error?</v>
      </c>
      <c r="E6271" s="2" t="s">
        <v>189</v>
      </c>
    </row>
    <row r="6272" spans="1:5" x14ac:dyDescent="0.2">
      <c r="A6272">
        <v>6211</v>
      </c>
      <c r="B6272" s="1831">
        <f>'Acct Summary 7-8'!H82</f>
        <v>5635</v>
      </c>
      <c r="D6272" s="2" t="str">
        <f t="shared" si="97"/>
        <v>Error?</v>
      </c>
      <c r="E6272" s="2" t="s">
        <v>189</v>
      </c>
    </row>
    <row r="6273" spans="1:5" x14ac:dyDescent="0.2">
      <c r="A6273">
        <v>6212</v>
      </c>
      <c r="B6273" s="1831">
        <f>'Acct Summary 7-8'!I82</f>
        <v>29314</v>
      </c>
      <c r="D6273" s="2" t="str">
        <f t="shared" si="97"/>
        <v>Error?</v>
      </c>
      <c r="E6273" s="2" t="s">
        <v>189</v>
      </c>
    </row>
    <row r="6274" spans="1:5" x14ac:dyDescent="0.2">
      <c r="A6274">
        <v>6213</v>
      </c>
      <c r="B6274" s="1831">
        <f>'Acct Summary 7-8'!J82</f>
        <v>48292</v>
      </c>
      <c r="D6274" s="2" t="str">
        <f t="shared" si="97"/>
        <v>Error?</v>
      </c>
      <c r="E6274" s="2" t="s">
        <v>189</v>
      </c>
    </row>
    <row r="6275" spans="1:5" x14ac:dyDescent="0.2">
      <c r="A6275">
        <v>6214</v>
      </c>
      <c r="B6275" s="1831">
        <f>'Acct Summary 7-8'!K82</f>
        <v>-250191</v>
      </c>
      <c r="D6275" s="2" t="str">
        <f t="shared" si="97"/>
        <v>Error?</v>
      </c>
      <c r="E6275" s="2" t="s">
        <v>189</v>
      </c>
    </row>
    <row r="6276" spans="1:5" x14ac:dyDescent="0.2">
      <c r="A6276">
        <v>6215</v>
      </c>
      <c r="B6276" s="1831">
        <f>'Acct Summary 7-8'!C83</f>
        <v>7.4725335062330145E-2</v>
      </c>
      <c r="D6276" s="2" t="str">
        <f t="shared" si="97"/>
        <v>Error?</v>
      </c>
      <c r="E6276" s="2" t="s">
        <v>189</v>
      </c>
    </row>
    <row r="6277" spans="1:5" x14ac:dyDescent="0.2">
      <c r="A6277">
        <v>6216</v>
      </c>
      <c r="B6277" s="1831">
        <f>'Acct Summary 7-8'!D83</f>
        <v>0.16507312206119873</v>
      </c>
      <c r="D6277" s="2" t="str">
        <f t="shared" si="97"/>
        <v>Error?</v>
      </c>
      <c r="E6277" s="2" t="s">
        <v>189</v>
      </c>
    </row>
    <row r="6278" spans="1:5" x14ac:dyDescent="0.2">
      <c r="A6278">
        <v>6217</v>
      </c>
      <c r="B6278" s="1831">
        <f>'Acct Summary 7-8'!E83</f>
        <v>3.0949847910454471E-2</v>
      </c>
      <c r="D6278" s="2" t="str">
        <f t="shared" si="97"/>
        <v>Error?</v>
      </c>
      <c r="E6278" s="2" t="s">
        <v>189</v>
      </c>
    </row>
    <row r="6279" spans="1:5" x14ac:dyDescent="0.2">
      <c r="A6279">
        <v>6218</v>
      </c>
      <c r="B6279" s="1831">
        <f>'Acct Summary 7-8'!F83</f>
        <v>0.13123621964726406</v>
      </c>
      <c r="D6279" s="2" t="str">
        <f t="shared" si="97"/>
        <v>Error?</v>
      </c>
      <c r="E6279" s="2" t="s">
        <v>189</v>
      </c>
    </row>
    <row r="6280" spans="1:5" x14ac:dyDescent="0.2">
      <c r="A6280">
        <v>6219</v>
      </c>
      <c r="B6280" s="1831">
        <f>'Acct Summary 7-8'!G83</f>
        <v>1.6347514344493538E-2</v>
      </c>
      <c r="D6280" s="2" t="str">
        <f t="shared" si="97"/>
        <v>Error?</v>
      </c>
      <c r="E6280" s="2" t="s">
        <v>189</v>
      </c>
    </row>
    <row r="6281" spans="1:5" x14ac:dyDescent="0.2">
      <c r="A6281">
        <v>6220</v>
      </c>
      <c r="B6281" s="1831">
        <f>'Acct Summary 7-8'!H83</f>
        <v>0.42592592592592593</v>
      </c>
      <c r="D6281" s="2" t="str">
        <f t="shared" si="97"/>
        <v>Error?</v>
      </c>
      <c r="E6281" s="2" t="s">
        <v>189</v>
      </c>
    </row>
    <row r="6282" spans="1:5" x14ac:dyDescent="0.2">
      <c r="A6282">
        <v>6221</v>
      </c>
      <c r="B6282" s="1831">
        <f>'Acct Summary 7-8'!I83</f>
        <v>3.0915092648253026E-2</v>
      </c>
      <c r="D6282" s="2" t="str">
        <f t="shared" si="97"/>
        <v>Error?</v>
      </c>
      <c r="E6282" s="2" t="s">
        <v>189</v>
      </c>
    </row>
    <row r="6283" spans="1:5" x14ac:dyDescent="0.2">
      <c r="A6283">
        <v>6222</v>
      </c>
      <c r="B6283" s="1831">
        <f>'Acct Summary 7-8'!J83</f>
        <v>0.10099653877926613</v>
      </c>
      <c r="D6283" s="2" t="str">
        <f t="shared" si="97"/>
        <v>Error?</v>
      </c>
      <c r="E6283" s="2" t="s">
        <v>189</v>
      </c>
    </row>
    <row r="6284" spans="1:5" x14ac:dyDescent="0.2">
      <c r="A6284">
        <v>6223</v>
      </c>
      <c r="B6284" s="1831">
        <f>'Acct Summary 7-8'!K83</f>
        <v>-0.29557053544847534</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218156</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218156</v>
      </c>
      <c r="D6301" s="2" t="str">
        <f t="shared" si="97"/>
        <v>Error?</v>
      </c>
      <c r="E6301" s="2" t="s">
        <v>189</v>
      </c>
    </row>
    <row r="6302" spans="1:5" x14ac:dyDescent="0.2">
      <c r="A6302">
        <v>6241</v>
      </c>
      <c r="B6302" s="1831">
        <f>'Revenues 9-14'!J14</f>
        <v>464</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464</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5704</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5704</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14370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8052</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728</v>
      </c>
      <c r="D6350" s="2" t="str">
        <f t="shared" si="98"/>
        <v>Error?</v>
      </c>
      <c r="E6350" s="2" t="s">
        <v>189</v>
      </c>
    </row>
    <row r="6351" spans="1:5" x14ac:dyDescent="0.2">
      <c r="A6351">
        <v>6290</v>
      </c>
      <c r="B6351" s="1831">
        <f>'Revenues 9-14'!J108</f>
        <v>15098</v>
      </c>
      <c r="D6351" s="2" t="str">
        <f t="shared" si="98"/>
        <v>Error?</v>
      </c>
      <c r="E6351" s="2" t="s">
        <v>189</v>
      </c>
    </row>
    <row r="6352" spans="1:5" x14ac:dyDescent="0.2">
      <c r="A6352">
        <v>6291</v>
      </c>
      <c r="B6352" s="1831">
        <f>'Revenues 9-14'!J109</f>
        <v>239422</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12525</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196141</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280604</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27251</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24249</v>
      </c>
      <c r="D6880" s="2" t="str">
        <f t="shared" si="106"/>
        <v>Error?</v>
      </c>
    </row>
    <row r="6881" spans="1:4" x14ac:dyDescent="0.2">
      <c r="A6881">
        <v>6820</v>
      </c>
      <c r="B6881" s="1831">
        <f>'Expenditures 15-22'!K22</f>
        <v>24249</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167061</v>
      </c>
      <c r="D6983" s="2" t="str">
        <f t="shared" si="108"/>
        <v>Error?</v>
      </c>
    </row>
    <row r="6984" spans="1:4" x14ac:dyDescent="0.2">
      <c r="A6984">
        <v>6923</v>
      </c>
      <c r="B6984" s="1831">
        <f>'Expenditures 15-22'!K86</f>
        <v>167061</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167061</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191130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239422</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12327</v>
      </c>
      <c r="D7073" s="2" t="str">
        <f t="shared" si="109"/>
        <v>Error?</v>
      </c>
    </row>
    <row r="7074" spans="1:4" x14ac:dyDescent="0.2">
      <c r="A7074">
        <v>7013</v>
      </c>
      <c r="B7074" s="1831">
        <f>'Expenditures 15-22'!K216</f>
        <v>12327</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358</v>
      </c>
      <c r="D7079" s="2" t="str">
        <f t="shared" si="109"/>
        <v>Error?</v>
      </c>
    </row>
    <row r="7080" spans="1:4" x14ac:dyDescent="0.2">
      <c r="A7080">
        <v>7019</v>
      </c>
      <c r="B7080" s="1831">
        <f>'Expenditures 15-22'!K226</f>
        <v>358</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12354</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12354</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170851</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170851</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4475</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4475</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3450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3450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191130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191130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191130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191130</v>
      </c>
      <c r="D7224" s="2" t="str">
        <f t="shared" si="111"/>
        <v>Error?</v>
      </c>
    </row>
    <row r="7225" spans="1:4" x14ac:dyDescent="0.2">
      <c r="A7225">
        <v>7164</v>
      </c>
      <c r="B7225" s="1831">
        <f>'Expenditures 15-22'!K343</f>
        <v>48292</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38068</v>
      </c>
      <c r="D7246" s="2" t="str">
        <f t="shared" si="112"/>
        <v>Error?</v>
      </c>
    </row>
    <row r="7247" spans="1:4" x14ac:dyDescent="0.2">
      <c r="A7247">
        <f t="shared" si="113"/>
        <v>7186</v>
      </c>
      <c r="B7247" s="1831">
        <f>'Expenditures 15-22'!E7</f>
        <v>25800</v>
      </c>
      <c r="D7247" s="2" t="str">
        <f t="shared" si="112"/>
        <v>Error?</v>
      </c>
    </row>
    <row r="7248" spans="1:4" x14ac:dyDescent="0.2">
      <c r="A7248">
        <f t="shared" si="113"/>
        <v>7187</v>
      </c>
      <c r="B7248" s="1831">
        <f>'Expenditures 15-22'!F7</f>
        <v>19232</v>
      </c>
      <c r="D7248" s="2" t="str">
        <f t="shared" si="112"/>
        <v>Error?</v>
      </c>
    </row>
    <row r="7249" spans="1:4" x14ac:dyDescent="0.2">
      <c r="A7249">
        <f t="shared" si="113"/>
        <v>7188</v>
      </c>
      <c r="B7249" s="1831">
        <f>'Expenditures 15-22'!G7</f>
        <v>1363</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24671</v>
      </c>
      <c r="D7263" s="2" t="str">
        <f t="shared" si="112"/>
        <v>Error?</v>
      </c>
    </row>
    <row r="7264" spans="1:4" x14ac:dyDescent="0.2">
      <c r="A7264">
        <f t="shared" si="113"/>
        <v>7203</v>
      </c>
      <c r="B7264" s="1831">
        <f>'Expenditures 15-22'!D17</f>
        <v>372</v>
      </c>
      <c r="D7264" s="2" t="str">
        <f t="shared" si="112"/>
        <v>Error?</v>
      </c>
    </row>
    <row r="7265" spans="1:5" x14ac:dyDescent="0.2">
      <c r="A7265">
        <f t="shared" si="113"/>
        <v>7204</v>
      </c>
      <c r="B7265" s="1831">
        <f>'Expenditures 15-22'!E17</f>
        <v>1960</v>
      </c>
      <c r="D7265" s="2" t="str">
        <f t="shared" si="112"/>
        <v>Error?</v>
      </c>
    </row>
    <row r="7266" spans="1:5" x14ac:dyDescent="0.2">
      <c r="A7266">
        <f t="shared" si="113"/>
        <v>7205</v>
      </c>
      <c r="B7266" s="1831">
        <f>'Expenditures 15-22'!F17</f>
        <v>248</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607329</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7595</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113</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8052</v>
      </c>
      <c r="D7712" s="2" t="str">
        <f t="shared" si="126"/>
        <v>Error?</v>
      </c>
      <c r="E7712" s="2" t="s">
        <v>822</v>
      </c>
    </row>
    <row r="7713" spans="1:6" x14ac:dyDescent="0.2">
      <c r="A7713">
        <v>7652</v>
      </c>
      <c r="B7713" s="1831">
        <f>'Rest Tax Levies-Tort Im 25'!J8</f>
        <v>5522</v>
      </c>
      <c r="D7713" s="2" t="str">
        <f t="shared" si="126"/>
        <v>Error?</v>
      </c>
      <c r="E7713" s="2" t="s">
        <v>822</v>
      </c>
    </row>
    <row r="7714" spans="1:6" x14ac:dyDescent="0.2">
      <c r="A7714">
        <v>7653</v>
      </c>
      <c r="B7714" s="1831">
        <f>'Rest Tax Levies-Tort Im 25'!K9</f>
        <v>6828</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5635</v>
      </c>
      <c r="D7718" s="2" t="str">
        <f t="shared" si="126"/>
        <v>Error?</v>
      </c>
      <c r="E7718" s="2" t="s">
        <v>822</v>
      </c>
    </row>
    <row r="7719" spans="1:6" x14ac:dyDescent="0.2">
      <c r="A7719">
        <v>7658</v>
      </c>
      <c r="B7719" s="1831">
        <f>'Rest Tax Levies-Tort Im 25'!K12</f>
        <v>14880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27251</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5522</v>
      </c>
      <c r="D7731" s="2" t="str">
        <f t="shared" si="126"/>
        <v>Error?</v>
      </c>
      <c r="E7731" s="2" t="s">
        <v>822</v>
      </c>
    </row>
    <row r="7732" spans="1:6" x14ac:dyDescent="0.2">
      <c r="A7732">
        <v>7671</v>
      </c>
      <c r="B7732" s="1831">
        <f>'Rest Tax Levies-Tort Im 25'!J24</f>
        <v>13230</v>
      </c>
      <c r="D7732" s="2" t="str">
        <f t="shared" si="126"/>
        <v>Error?</v>
      </c>
      <c r="E7732" s="2" t="s">
        <v>822</v>
      </c>
    </row>
    <row r="7733" spans="1:6" x14ac:dyDescent="0.2">
      <c r="A7733">
        <v>7672</v>
      </c>
      <c r="B7733" s="1831">
        <f>'Rest Tax Levies-Tort Im 25'!K24</f>
        <v>-12371</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-133738</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13230</v>
      </c>
      <c r="D7742" s="2" t="str">
        <f t="shared" si="126"/>
        <v>Error?</v>
      </c>
      <c r="E7742" s="2" t="s">
        <v>822</v>
      </c>
    </row>
    <row r="7743" spans="1:6" x14ac:dyDescent="0.2">
      <c r="A7743">
        <v>7682</v>
      </c>
      <c r="B7743" s="1831">
        <f>'Rest Tax Levies-Tort Im 25'!K26</f>
        <v>-12371</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27251</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3651540</v>
      </c>
      <c r="D7817" s="2" t="str">
        <f t="shared" si="128"/>
        <v>Error?</v>
      </c>
      <c r="E7817" s="4" t="s">
        <v>1966</v>
      </c>
    </row>
    <row r="7818" spans="1:5" x14ac:dyDescent="0.2">
      <c r="A7818">
        <v>7757</v>
      </c>
      <c r="B7818" s="1831">
        <f>'PCTC-OEPP 27-28'!F172</f>
        <v>249558</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-237904</v>
      </c>
      <c r="D7820" s="2" t="str">
        <f t="shared" si="128"/>
        <v>Error?</v>
      </c>
    </row>
    <row r="7821" spans="1:5" x14ac:dyDescent="0.2">
      <c r="A7821">
        <v>7760</v>
      </c>
      <c r="B7821" s="1831">
        <f>'ICR Computation 30'!G40</f>
        <v>-237904</v>
      </c>
      <c r="D7821" s="2" t="str">
        <f t="shared" si="128"/>
        <v>Error?</v>
      </c>
    </row>
    <row r="7822" spans="1:5" x14ac:dyDescent="0.2">
      <c r="A7822" s="1">
        <v>7761</v>
      </c>
      <c r="B7822" s="1831">
        <f>'PCTC-OEPP 27-28'!F14</f>
        <v>9119455</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279241</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1837</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1100229</v>
      </c>
      <c r="D7834" s="2" t="str">
        <f t="shared" si="129"/>
        <v>Error?</v>
      </c>
      <c r="E7834" s="4" t="s">
        <v>1998</v>
      </c>
    </row>
    <row r="7835" spans="1:5" x14ac:dyDescent="0.2">
      <c r="A7835">
        <v>7774</v>
      </c>
      <c r="B7835" s="1831">
        <f>'PCTC-OEPP 27-28'!F78</f>
        <v>8019226</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10273.156546246477</v>
      </c>
      <c r="D7837" s="2" t="str">
        <f t="shared" si="129"/>
        <v>Error?</v>
      </c>
      <c r="E7837" s="4" t="s">
        <v>1998</v>
      </c>
    </row>
    <row r="7838" spans="1:5" x14ac:dyDescent="0.2">
      <c r="A7838">
        <v>7777</v>
      </c>
      <c r="B7838" s="1831">
        <f>'PCTC-OEPP 27-28'!F96</f>
        <v>20445</v>
      </c>
      <c r="D7838" s="2" t="str">
        <f t="shared" si="129"/>
        <v>Error?</v>
      </c>
      <c r="E7838" s="4" t="s">
        <v>1998</v>
      </c>
    </row>
    <row r="7839" spans="1:5" x14ac:dyDescent="0.2">
      <c r="A7839">
        <v>7778</v>
      </c>
      <c r="B7839" s="1831">
        <f>'PCTC-OEPP 27-28'!F102</f>
        <v>5700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11922</v>
      </c>
      <c r="D7842" s="2" t="str">
        <f t="shared" si="129"/>
        <v>Error?</v>
      </c>
      <c r="E7842" s="4" t="s">
        <v>1998</v>
      </c>
    </row>
    <row r="7843" spans="1:5" x14ac:dyDescent="0.2">
      <c r="A7843">
        <v>7782</v>
      </c>
      <c r="B7843" s="1831">
        <f>'PCTC-OEPP 27-28'!F107</f>
        <v>19625</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6828</v>
      </c>
      <c r="D7846" s="2" t="str">
        <f t="shared" si="129"/>
        <v>Error?</v>
      </c>
      <c r="E7846" s="4" t="s">
        <v>1998</v>
      </c>
    </row>
    <row r="7847" spans="1:5" x14ac:dyDescent="0.2">
      <c r="A7847">
        <v>7786</v>
      </c>
      <c r="B7847" s="1831">
        <f>'PCTC-OEPP 27-28'!F112</f>
        <v>460725</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750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312758</v>
      </c>
      <c r="D7858" s="2" t="str">
        <f t="shared" si="129"/>
        <v>Error?</v>
      </c>
      <c r="E7858" s="4" t="s">
        <v>1998</v>
      </c>
    </row>
    <row r="7859" spans="1:5" x14ac:dyDescent="0.2">
      <c r="A7859">
        <v>7798</v>
      </c>
      <c r="B7859" s="1831">
        <f>'PCTC-OEPP 27-28'!F127</f>
        <v>361851</v>
      </c>
      <c r="D7859" s="2" t="str">
        <f t="shared" si="129"/>
        <v>Error?</v>
      </c>
      <c r="E7859" s="4" t="s">
        <v>1998</v>
      </c>
    </row>
    <row r="7860" spans="1:5" x14ac:dyDescent="0.2">
      <c r="A7860">
        <v>7799</v>
      </c>
      <c r="B7860" s="1831">
        <f>'PCTC-OEPP 27-28'!F128</f>
        <v>8977</v>
      </c>
      <c r="D7860" s="2" t="str">
        <f t="shared" si="129"/>
        <v>Error?</v>
      </c>
      <c r="E7860" s="4" t="s">
        <v>1998</v>
      </c>
    </row>
    <row r="7861" spans="1:5" x14ac:dyDescent="0.2">
      <c r="A7861">
        <v>7800</v>
      </c>
      <c r="B7861" s="1831">
        <f>'PCTC-OEPP 27-28'!F129</f>
        <v>1206</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57534</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14070</v>
      </c>
      <c r="D7874" s="2" t="str">
        <f t="shared" si="129"/>
        <v>Error?</v>
      </c>
      <c r="E7874" s="4" t="s">
        <v>1998</v>
      </c>
    </row>
    <row r="7875" spans="1:5" x14ac:dyDescent="0.2">
      <c r="A7875">
        <v>7814</v>
      </c>
      <c r="B7875" s="1831">
        <f>'PCTC-OEPP 27-28'!F170</f>
        <v>6444</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1669044</v>
      </c>
      <c r="D7877" s="2" t="str">
        <f t="shared" si="129"/>
        <v>Error?</v>
      </c>
      <c r="E7877" s="4" t="s">
        <v>1998</v>
      </c>
    </row>
    <row r="7878" spans="1:5" x14ac:dyDescent="0.2">
      <c r="A7878">
        <v>7817</v>
      </c>
      <c r="B7878" s="1831">
        <f>'PCTC-OEPP 27-28'!F176</f>
        <v>6350182</v>
      </c>
      <c r="D7878" s="2" t="str">
        <f t="shared" si="129"/>
        <v>Error?</v>
      </c>
      <c r="E7878" s="4" t="s">
        <v>1998</v>
      </c>
    </row>
    <row r="7879" spans="1:5" x14ac:dyDescent="0.2">
      <c r="A7879">
        <v>7818</v>
      </c>
      <c r="B7879" s="1831">
        <f>'PCTC-OEPP 27-28'!F178</f>
        <v>6957511</v>
      </c>
      <c r="D7879" s="2" t="str">
        <f t="shared" si="129"/>
        <v>Error?</v>
      </c>
      <c r="E7879" s="4" t="s">
        <v>1998</v>
      </c>
    </row>
    <row r="7880" spans="1:5" x14ac:dyDescent="0.2">
      <c r="A7880">
        <v>7819</v>
      </c>
      <c r="B7880" s="1831">
        <f>'PCTC-OEPP 27-28'!F180</f>
        <v>8913.0297207276453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B1" zoomScale="110" zoomScaleNormal="110" workbookViewId="0">
      <selection activeCell="B33" sqref="B33"/>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4" t="s">
        <v>1181</v>
      </c>
      <c r="B2" s="2514"/>
      <c r="C2" s="2514"/>
      <c r="D2" s="2514"/>
      <c r="E2" s="2514"/>
      <c r="F2" s="2514"/>
      <c r="G2" s="2514"/>
      <c r="H2" s="2514"/>
      <c r="I2" s="2514"/>
      <c r="J2" s="2514"/>
      <c r="K2" s="2514"/>
      <c r="L2" s="2514"/>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7" t="str">
        <f>COVER!A17</f>
        <v xml:space="preserve">   West Central CUSD 235</v>
      </c>
      <c r="B7" s="2538"/>
      <c r="C7" s="2538"/>
      <c r="D7" s="2539"/>
      <c r="E7" s="2540">
        <f>COVER!A13</f>
        <v>33036235026</v>
      </c>
      <c r="F7" s="2541"/>
      <c r="G7" s="2547">
        <f>COVER!T23</f>
        <v>60.008476000000002</v>
      </c>
      <c r="H7" s="2548"/>
      <c r="I7" s="2548"/>
      <c r="J7" s="2548"/>
      <c r="K7" s="2548"/>
      <c r="L7" s="2549"/>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50"/>
      <c r="B9" s="2551"/>
      <c r="C9" s="2551"/>
      <c r="D9" s="2551"/>
      <c r="E9" s="2551"/>
      <c r="F9" s="2552"/>
      <c r="G9" s="2520" t="str">
        <f>COVER!T13</f>
        <v>Cavanaugh, Davies, Blackman &amp; Cramblet, CPA's</v>
      </c>
      <c r="H9" s="2553"/>
      <c r="I9" s="2553"/>
      <c r="J9" s="2553"/>
      <c r="K9" s="2553"/>
      <c r="L9" s="2554"/>
    </row>
    <row r="10" spans="1:29" ht="13.5" customHeight="1" x14ac:dyDescent="0.2">
      <c r="A10" s="2526" t="str">
        <f>COVER!A38</f>
        <v>Mrs. Paula Markey</v>
      </c>
      <c r="B10" s="2527"/>
      <c r="C10" s="2527"/>
      <c r="D10" s="2527"/>
      <c r="E10" s="2527"/>
      <c r="F10" s="2528"/>
      <c r="G10" s="2520" t="str">
        <f>COVER!T17</f>
        <v>1021 North Main Street, PO Box 318</v>
      </c>
      <c r="H10" s="2521"/>
      <c r="I10" s="2521"/>
      <c r="J10" s="2521"/>
      <c r="K10" s="2521"/>
      <c r="L10" s="2522"/>
    </row>
    <row r="11" spans="1:29" ht="13.5" customHeight="1" x14ac:dyDescent="0.2">
      <c r="A11" s="962" t="s">
        <v>1502</v>
      </c>
      <c r="B11" s="963"/>
      <c r="C11" s="964"/>
      <c r="D11" s="969"/>
      <c r="E11" s="964"/>
      <c r="F11" s="968"/>
      <c r="G11" s="2520" t="str">
        <f>COVER!T19</f>
        <v>Monmouth</v>
      </c>
      <c r="H11" s="2521"/>
      <c r="I11" s="2521"/>
      <c r="J11" s="2521"/>
      <c r="K11" s="2521"/>
      <c r="L11" s="2522"/>
    </row>
    <row r="12" spans="1:29" ht="13.5" customHeight="1" x14ac:dyDescent="0.2">
      <c r="A12" s="2529" t="s">
        <v>1501</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1503</v>
      </c>
      <c r="H13" s="2516"/>
      <c r="I13" s="2532" t="str">
        <f>COVER!T25</f>
        <v>cdbccpas@monmouthcpa.com</v>
      </c>
      <c r="J13" s="2533"/>
      <c r="K13" s="2533"/>
      <c r="L13" s="2534"/>
    </row>
    <row r="14" spans="1:29" ht="13.5" customHeight="1" x14ac:dyDescent="0.2">
      <c r="A14" s="2520" t="str">
        <f>COVER!A19</f>
        <v>1514 Old US Rt 34</v>
      </c>
      <c r="B14" s="2521"/>
      <c r="C14" s="2521"/>
      <c r="D14" s="2521"/>
      <c r="E14" s="2521"/>
      <c r="F14" s="2522"/>
      <c r="G14" s="973" t="s">
        <v>1175</v>
      </c>
      <c r="H14" s="971"/>
      <c r="I14" s="971"/>
      <c r="J14" s="971"/>
      <c r="K14" s="971"/>
      <c r="L14" s="972"/>
    </row>
    <row r="15" spans="1:29" ht="13.5" customHeight="1" x14ac:dyDescent="0.2">
      <c r="A15" s="2520" t="str">
        <f>COVER!A21</f>
        <v>Biggsville</v>
      </c>
      <c r="B15" s="2521"/>
      <c r="C15" s="2521"/>
      <c r="D15" s="2521"/>
      <c r="E15" s="2521"/>
      <c r="F15" s="2522"/>
      <c r="G15" s="2517" t="str">
        <f>COVER!T15</f>
        <v>Rod Davies</v>
      </c>
      <c r="H15" s="2518"/>
      <c r="I15" s="2518"/>
      <c r="J15" s="2518"/>
      <c r="K15" s="2518"/>
      <c r="L15" s="2519"/>
    </row>
    <row r="16" spans="1:29" ht="12.2" customHeight="1" x14ac:dyDescent="0.2">
      <c r="A16" s="2543">
        <f>COVER!A25</f>
        <v>61418</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3" t="s">
        <v>1174</v>
      </c>
      <c r="H17" s="971"/>
      <c r="I17" s="971"/>
      <c r="J17" s="971"/>
      <c r="K17" s="975" t="s">
        <v>1173</v>
      </c>
      <c r="L17" s="968"/>
      <c r="M17" s="961"/>
    </row>
    <row r="18" spans="1:13" ht="12.2" customHeight="1" x14ac:dyDescent="0.2">
      <c r="A18" s="2526"/>
      <c r="B18" s="2527"/>
      <c r="C18" s="2527"/>
      <c r="D18" s="2527"/>
      <c r="E18" s="2527"/>
      <c r="F18" s="2528"/>
      <c r="G18" s="2537" t="str">
        <f>COVER!T21</f>
        <v>309-734-2330</v>
      </c>
      <c r="H18" s="2538"/>
      <c r="I18" s="2538"/>
      <c r="J18" s="2538"/>
      <c r="K18" s="2537" t="str">
        <f>COVER!X21</f>
        <v>309-734-2349</v>
      </c>
      <c r="L18" s="2542"/>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33" sqref="B33"/>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9" t="str">
        <f>'Single Audit Cover'!A7</f>
        <v xml:space="preserve">   West Central CUSD 235</v>
      </c>
      <c r="B1" s="2560"/>
      <c r="C1" s="2560"/>
      <c r="D1" s="2560"/>
    </row>
    <row r="2" spans="1:11" s="990" customFormat="1" ht="12.75" x14ac:dyDescent="0.2">
      <c r="A2" s="2561">
        <f>'Single Audit Cover'!E7</f>
        <v>33036235026</v>
      </c>
      <c r="B2" s="2562"/>
      <c r="C2" s="2562"/>
      <c r="D2" s="2562"/>
    </row>
    <row r="3" spans="1:11" s="990" customFormat="1" ht="12.75" x14ac:dyDescent="0.2">
      <c r="A3" s="2559" t="s">
        <v>1496</v>
      </c>
      <c r="B3" s="2560"/>
      <c r="C3" s="2560"/>
      <c r="D3" s="2560"/>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33" sqref="B33"/>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4" t="str">
        <f>'Single Audit Cover'!A7</f>
        <v xml:space="preserve">   West Central CUSD 235</v>
      </c>
      <c r="B1" s="2564"/>
      <c r="C1" s="2564"/>
      <c r="D1" s="2564"/>
      <c r="E1" s="2564"/>
    </row>
    <row r="2" spans="1:5" x14ac:dyDescent="0.2">
      <c r="A2" s="2565">
        <f>'Single Audit Cover'!E7</f>
        <v>33036235026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5" t="s">
        <v>1232</v>
      </c>
    </row>
    <row r="10" spans="1:5" x14ac:dyDescent="0.2">
      <c r="A10" s="1036" t="s">
        <v>1231</v>
      </c>
      <c r="B10" s="1037" t="s">
        <v>1230</v>
      </c>
      <c r="C10" s="1037"/>
      <c r="D10" s="1038">
        <f>SUM('Acct Summary 7-8'!C7:K7)</f>
        <v>762840</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44084</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-6444</v>
      </c>
    </row>
    <row r="19" spans="1:4" ht="13.5" thickBot="1" x14ac:dyDescent="0.25">
      <c r="A19" s="1040" t="s">
        <v>1224</v>
      </c>
      <c r="D19" s="1041">
        <f>SUM(D10:D17)</f>
        <v>800480</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6"/>
      <c r="B24" s="2566"/>
      <c r="D24" s="1043"/>
    </row>
    <row r="25" spans="1:4" x14ac:dyDescent="0.2">
      <c r="A25" s="2563"/>
      <c r="B25" s="2563"/>
      <c r="D25" s="1043"/>
    </row>
    <row r="26" spans="1:4" x14ac:dyDescent="0.2">
      <c r="A26" s="2563"/>
      <c r="B26" s="2563"/>
      <c r="D26" s="1043"/>
    </row>
    <row r="27" spans="1:4" x14ac:dyDescent="0.2">
      <c r="A27" s="2563"/>
      <c r="B27" s="2563"/>
      <c r="D27" s="1043"/>
    </row>
    <row r="28" spans="1:4" x14ac:dyDescent="0.2">
      <c r="A28" s="2563"/>
      <c r="B28" s="2563"/>
      <c r="D28" s="1043"/>
    </row>
    <row r="29" spans="1:4" x14ac:dyDescent="0.2">
      <c r="A29" s="2563"/>
      <c r="B29" s="2563"/>
      <c r="D29" s="1043"/>
    </row>
    <row r="30" spans="1:4" x14ac:dyDescent="0.2">
      <c r="A30" s="2563"/>
      <c r="B30" s="2563"/>
      <c r="D30" s="1043"/>
    </row>
    <row r="32" spans="1:4" x14ac:dyDescent="0.2">
      <c r="A32" s="1035" t="s">
        <v>1222</v>
      </c>
      <c r="D32" s="1038">
        <f>SUM(D19:D30)</f>
        <v>800480</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3"/>
      <c r="B40" s="2563"/>
      <c r="D40" s="1043"/>
    </row>
    <row r="41" spans="1:4" x14ac:dyDescent="0.2">
      <c r="A41" s="2563"/>
      <c r="B41" s="2563"/>
      <c r="D41" s="1046"/>
    </row>
    <row r="42" spans="1:4" x14ac:dyDescent="0.2">
      <c r="A42" s="2563"/>
      <c r="B42" s="2563"/>
      <c r="D42" s="1046"/>
    </row>
    <row r="43" spans="1:4" x14ac:dyDescent="0.2">
      <c r="A43" s="2563"/>
      <c r="B43" s="2563"/>
      <c r="D43" s="1046"/>
    </row>
    <row r="44" spans="1:4" x14ac:dyDescent="0.2">
      <c r="A44" s="2563"/>
      <c r="B44" s="2563"/>
      <c r="D44" s="1046"/>
    </row>
    <row r="45" spans="1:4" x14ac:dyDescent="0.2">
      <c r="A45" s="2563"/>
      <c r="B45" s="2563"/>
      <c r="D45" s="1046"/>
    </row>
    <row r="47" spans="1:4" x14ac:dyDescent="0.2">
      <c r="B47" s="1047" t="s">
        <v>1216</v>
      </c>
      <c r="C47" s="1047"/>
      <c r="D47" s="1048">
        <f>SUM(D35:D45)</f>
        <v>0</v>
      </c>
    </row>
    <row r="49" spans="2:4" x14ac:dyDescent="0.2">
      <c r="B49" s="1047" t="s">
        <v>1215</v>
      </c>
      <c r="C49" s="1047"/>
      <c r="D49" s="1048">
        <f>D32-D47</f>
        <v>800480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33" sqref="B33"/>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West Central CUSD 235</v>
      </c>
      <c r="C1" s="2568"/>
      <c r="D1" s="2568"/>
      <c r="E1" s="2568"/>
      <c r="F1" s="2568"/>
      <c r="G1" s="2568"/>
      <c r="H1" s="2568"/>
      <c r="I1" s="2568"/>
      <c r="J1" s="2568"/>
      <c r="K1" s="2568"/>
      <c r="L1" s="2568"/>
      <c r="M1" s="2568"/>
    </row>
    <row r="2" spans="2:14" ht="15" x14ac:dyDescent="0.2">
      <c r="B2" s="2569">
        <f>'Single Audit Cover'!E7</f>
        <v>33036235026</v>
      </c>
      <c r="C2" s="2569"/>
      <c r="D2" s="2569"/>
      <c r="E2" s="2569"/>
      <c r="F2" s="2569"/>
      <c r="G2" s="2569"/>
      <c r="H2" s="2569"/>
      <c r="I2" s="2569"/>
      <c r="J2" s="2569"/>
      <c r="K2" s="2569"/>
      <c r="L2" s="2569"/>
      <c r="M2" s="2569"/>
      <c r="N2" s="1077"/>
    </row>
    <row r="3" spans="2:14" ht="15" x14ac:dyDescent="0.2">
      <c r="B3" s="2570" t="s">
        <v>1208</v>
      </c>
      <c r="C3" s="2570"/>
      <c r="D3" s="2570"/>
      <c r="E3" s="2570"/>
      <c r="F3" s="2570"/>
      <c r="G3" s="2570"/>
      <c r="H3" s="2570"/>
      <c r="I3" s="2570"/>
      <c r="J3" s="2570"/>
      <c r="K3" s="2570"/>
      <c r="L3" s="2570"/>
      <c r="M3" s="2570"/>
      <c r="N3" s="1077"/>
    </row>
    <row r="4" spans="2:14" ht="15" x14ac:dyDescent="0.2">
      <c r="B4" s="2571" t="str">
        <f>'Single Audit Cover'!A4</f>
        <v>Year Ending June 30, 2020</v>
      </c>
      <c r="C4" s="2571"/>
      <c r="D4" s="2571"/>
      <c r="E4" s="2571"/>
      <c r="F4" s="2571"/>
      <c r="G4" s="2571"/>
      <c r="H4" s="2571"/>
      <c r="I4" s="2571"/>
      <c r="J4" s="2571"/>
      <c r="K4" s="2571"/>
      <c r="L4" s="2571"/>
      <c r="M4" s="2571"/>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33" sqref="B33"/>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West Central CUSD 235</v>
      </c>
      <c r="B1" s="2581"/>
      <c r="C1" s="2581"/>
      <c r="D1" s="2581"/>
      <c r="E1" s="2581"/>
      <c r="F1" s="2581"/>
    </row>
    <row r="2" spans="1:7" ht="13.5" customHeight="1" x14ac:dyDescent="0.2">
      <c r="A2" s="2569">
        <f>'Single Audit Cover'!E7</f>
        <v>33036235026</v>
      </c>
      <c r="B2" s="2569"/>
      <c r="C2" s="2569"/>
      <c r="D2" s="2569"/>
      <c r="E2" s="2569"/>
      <c r="F2" s="2569"/>
      <c r="G2" s="1050"/>
    </row>
    <row r="3" spans="1:7" ht="15.75" customHeight="1" x14ac:dyDescent="0.2">
      <c r="A3" s="2582" t="s">
        <v>1260</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1" t="s">
        <v>1705</v>
      </c>
      <c r="C6" s="295"/>
      <c r="D6" s="295"/>
    </row>
    <row r="7" spans="1:7" ht="60.95" customHeight="1" x14ac:dyDescent="0.2">
      <c r="A7" s="2580" t="s">
        <v>1706</v>
      </c>
      <c r="B7" s="2580"/>
      <c r="C7" s="2580"/>
      <c r="D7" s="2580"/>
      <c r="E7" s="2580"/>
      <c r="F7" s="2580"/>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80" t="s">
        <v>1708</v>
      </c>
      <c r="B13" s="2580"/>
      <c r="C13" s="2580"/>
      <c r="D13" s="2580"/>
      <c r="E13" s="2580"/>
      <c r="F13" s="2580"/>
    </row>
    <row r="14" spans="1:7" ht="9.75" customHeight="1" x14ac:dyDescent="0.2">
      <c r="C14" s="1035"/>
      <c r="D14" s="1035"/>
    </row>
    <row r="15" spans="1:7" ht="13.5" customHeight="1" x14ac:dyDescent="0.2">
      <c r="C15" s="1475" t="s">
        <v>1259</v>
      </c>
      <c r="D15" s="2578" t="s">
        <v>1258</v>
      </c>
      <c r="E15" s="2578"/>
      <c r="F15" s="2578"/>
    </row>
    <row r="16" spans="1:7" ht="13.5" customHeight="1" x14ac:dyDescent="0.2">
      <c r="A16" s="1057"/>
      <c r="B16" s="1051" t="s">
        <v>1257</v>
      </c>
      <c r="C16" s="1475" t="s">
        <v>1256</v>
      </c>
      <c r="D16" s="2579" t="s">
        <v>1571</v>
      </c>
      <c r="E16" s="2579"/>
      <c r="F16" s="2579"/>
    </row>
    <row r="17" spans="1:6" ht="20.45" customHeight="1" x14ac:dyDescent="0.2">
      <c r="A17" s="1058"/>
      <c r="B17" s="1059"/>
      <c r="C17" s="1060"/>
      <c r="D17" s="2573"/>
      <c r="E17" s="2573"/>
      <c r="F17" s="2573"/>
    </row>
    <row r="18" spans="1:6" ht="20.65" customHeight="1" x14ac:dyDescent="0.2">
      <c r="A18" s="1058"/>
      <c r="B18" s="1059"/>
      <c r="C18" s="1060"/>
      <c r="D18" s="2573"/>
      <c r="E18" s="2573"/>
      <c r="F18" s="2573"/>
    </row>
    <row r="19" spans="1:6" ht="20.65" customHeight="1" x14ac:dyDescent="0.2">
      <c r="A19" s="1058"/>
      <c r="B19" s="1059"/>
      <c r="C19" s="1060"/>
      <c r="D19" s="2573"/>
      <c r="E19" s="2573"/>
      <c r="F19" s="2573"/>
    </row>
    <row r="20" spans="1:6" ht="20.65" customHeight="1" x14ac:dyDescent="0.2">
      <c r="A20" s="1058"/>
      <c r="B20" s="1059"/>
      <c r="C20" s="1060"/>
      <c r="D20" s="2573"/>
      <c r="E20" s="2573"/>
      <c r="F20" s="2573"/>
    </row>
    <row r="21" spans="1:6" ht="20.65" customHeight="1" x14ac:dyDescent="0.2">
      <c r="A21" s="1058"/>
      <c r="B21" s="1059"/>
      <c r="C21" s="1060"/>
      <c r="D21" s="2573"/>
      <c r="E21" s="2573"/>
      <c r="F21" s="2573"/>
    </row>
    <row r="22" spans="1:6" ht="20.65" customHeight="1" x14ac:dyDescent="0.2">
      <c r="A22" s="1058"/>
      <c r="B22" s="1059"/>
      <c r="C22" s="1060"/>
      <c r="D22" s="2573"/>
      <c r="E22" s="2573"/>
      <c r="F22" s="2573"/>
    </row>
    <row r="23" spans="1:6" ht="20.65" customHeight="1" x14ac:dyDescent="0.2">
      <c r="A23" s="1058"/>
      <c r="B23" s="1059"/>
      <c r="C23" s="1060"/>
      <c r="D23" s="2573"/>
      <c r="E23" s="2573"/>
      <c r="F23" s="2573"/>
    </row>
    <row r="24" spans="1:6" ht="20.65" customHeight="1" x14ac:dyDescent="0.2">
      <c r="A24" s="1058"/>
      <c r="B24" s="1059"/>
      <c r="C24" s="1060"/>
      <c r="D24" s="2573"/>
      <c r="E24" s="2573"/>
      <c r="F24" s="2573"/>
    </row>
    <row r="25" spans="1:6" ht="20.65" customHeight="1" x14ac:dyDescent="0.2">
      <c r="A25" s="1058"/>
      <c r="B25" s="1059"/>
      <c r="C25" s="1060"/>
      <c r="D25" s="2573"/>
      <c r="E25" s="2573"/>
      <c r="F25" s="2573"/>
    </row>
    <row r="26" spans="1:6" ht="20.65" customHeight="1" x14ac:dyDescent="0.2">
      <c r="A26" s="1058"/>
      <c r="B26" s="1059"/>
      <c r="C26" s="1060"/>
      <c r="D26" s="2573"/>
      <c r="E26" s="2573"/>
      <c r="F26" s="2573"/>
    </row>
    <row r="27" spans="1:6" ht="20.65" customHeight="1" x14ac:dyDescent="0.2">
      <c r="A27" s="1058"/>
      <c r="B27" s="1059"/>
      <c r="C27" s="1060"/>
      <c r="D27" s="2573"/>
      <c r="E27" s="2573"/>
      <c r="F27" s="2573"/>
    </row>
    <row r="28" spans="1:6" ht="20.65" customHeight="1" x14ac:dyDescent="0.2">
      <c r="A28" s="1058"/>
      <c r="B28" s="1059"/>
      <c r="C28" s="1060"/>
      <c r="D28" s="2573"/>
      <c r="E28" s="2573"/>
      <c r="F28" s="2573"/>
    </row>
    <row r="29" spans="1:6" ht="20.65" customHeight="1" x14ac:dyDescent="0.2">
      <c r="A29" s="1058"/>
      <c r="B29" s="1059"/>
      <c r="C29" s="1060"/>
      <c r="D29" s="2573"/>
      <c r="E29" s="2573"/>
      <c r="F29" s="2573"/>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4" t="s">
        <v>1709</v>
      </c>
      <c r="B32" s="2574"/>
      <c r="C32" s="2574"/>
      <c r="D32" s="2574"/>
      <c r="E32" s="2574"/>
      <c r="F32" s="2574"/>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5">
        <f>+C33+C34</f>
        <v>0</v>
      </c>
      <c r="F34" s="2576"/>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7" t="s">
        <v>1573</v>
      </c>
      <c r="C49" s="2577"/>
      <c r="D49" s="2577"/>
      <c r="E49" s="1167"/>
    </row>
    <row r="50" spans="1:5" s="1075" customFormat="1" ht="3.75" customHeight="1" x14ac:dyDescent="0.2">
      <c r="A50" s="1074"/>
      <c r="B50" s="1474"/>
      <c r="C50" s="1474"/>
      <c r="D50" s="1474"/>
      <c r="E50" s="1167"/>
    </row>
    <row r="51" spans="1:5" s="1075" customFormat="1" ht="20.25" customHeight="1" x14ac:dyDescent="0.2">
      <c r="A51" s="1076">
        <v>6</v>
      </c>
      <c r="B51" s="2572" t="s">
        <v>1534</v>
      </c>
      <c r="C51" s="2572"/>
      <c r="D51" s="2572"/>
    </row>
    <row r="52" spans="1:5" ht="14.25" customHeight="1" x14ac:dyDescent="0.2">
      <c r="A52" s="1076"/>
      <c r="B52" s="2572"/>
      <c r="C52" s="2572"/>
      <c r="D52" s="25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33" sqref="B3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t="s">
        <v>2051</v>
      </c>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8" t="s">
        <v>1989</v>
      </c>
      <c r="B88" s="2189"/>
      <c r="C88" s="2189"/>
      <c r="D88" s="2190"/>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2126</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horizontalDpi="4294967295" verticalDpi="4294967295"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33" sqref="B33"/>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West Central CUSD 235</v>
      </c>
      <c r="C1" s="2596"/>
      <c r="D1" s="2596"/>
      <c r="E1" s="2596"/>
      <c r="F1" s="2596"/>
      <c r="G1" s="2596"/>
      <c r="H1" s="2596"/>
      <c r="I1" s="2596"/>
      <c r="J1" s="1177"/>
    </row>
    <row r="2" spans="2:10" s="295" customFormat="1" ht="12.75" customHeight="1" x14ac:dyDescent="0.2">
      <c r="B2" s="2597">
        <f>'Single Audit Cover'!E7</f>
        <v>33036235026</v>
      </c>
      <c r="C2" s="2598"/>
      <c r="D2" s="2598"/>
      <c r="E2" s="2598"/>
      <c r="F2" s="2598"/>
      <c r="G2" s="2598"/>
      <c r="H2" s="2598"/>
      <c r="I2" s="2598"/>
      <c r="J2" s="1177"/>
    </row>
    <row r="3" spans="2:10" s="295" customFormat="1" ht="12.75" customHeight="1" x14ac:dyDescent="0.2">
      <c r="B3" s="2599" t="s">
        <v>1274</v>
      </c>
      <c r="C3" s="2600"/>
      <c r="D3" s="2600"/>
      <c r="E3" s="2600"/>
      <c r="F3" s="2600"/>
      <c r="G3" s="2600"/>
      <c r="H3" s="2600"/>
      <c r="I3" s="2600"/>
      <c r="J3" s="1178"/>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9" t="s">
        <v>1273</v>
      </c>
      <c r="C7" s="2600"/>
      <c r="D7" s="2600"/>
      <c r="E7" s="2600"/>
      <c r="F7" s="2600"/>
      <c r="G7" s="2600"/>
      <c r="H7" s="2600"/>
      <c r="I7" s="2600"/>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601"/>
      <c r="D11" s="2601"/>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02"/>
      <c r="E29" s="2602"/>
      <c r="F29" s="2602"/>
      <c r="G29" s="2602"/>
      <c r="H29" s="2602"/>
      <c r="I29" s="2602"/>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3" t="s">
        <v>1728</v>
      </c>
      <c r="D37" s="2604"/>
      <c r="E37" s="2604"/>
      <c r="F37" s="2605"/>
      <c r="G37" s="2603" t="s">
        <v>1575</v>
      </c>
      <c r="H37" s="2604"/>
      <c r="I37" s="2605"/>
    </row>
    <row r="38" spans="2:9" ht="16.5" customHeight="1" x14ac:dyDescent="0.2">
      <c r="B38" s="1199"/>
      <c r="C38" s="2591"/>
      <c r="D38" s="2592"/>
      <c r="E38" s="2592"/>
      <c r="F38" s="2593"/>
      <c r="G38" s="2606"/>
      <c r="H38" s="2607"/>
      <c r="I38" s="2608"/>
    </row>
    <row r="39" spans="2:9" ht="16.5" customHeight="1" x14ac:dyDescent="0.2">
      <c r="B39" s="1199"/>
      <c r="C39" s="2591"/>
      <c r="D39" s="2592"/>
      <c r="E39" s="2592"/>
      <c r="F39" s="2593"/>
      <c r="G39" s="2594"/>
      <c r="H39" s="2594"/>
      <c r="I39" s="2594"/>
    </row>
    <row r="40" spans="2:9" ht="16.5" customHeight="1" x14ac:dyDescent="0.2">
      <c r="B40" s="1199"/>
      <c r="C40" s="2591"/>
      <c r="D40" s="2592"/>
      <c r="E40" s="2592"/>
      <c r="F40" s="2593"/>
      <c r="G40" s="2594"/>
      <c r="H40" s="2594"/>
      <c r="I40" s="2594"/>
    </row>
    <row r="41" spans="2:9" ht="16.5" customHeight="1" x14ac:dyDescent="0.2">
      <c r="B41" s="1199"/>
      <c r="C41" s="2591"/>
      <c r="D41" s="2592"/>
      <c r="E41" s="2592"/>
      <c r="F41" s="2593"/>
      <c r="G41" s="2594"/>
      <c r="H41" s="2594"/>
      <c r="I41" s="2594"/>
    </row>
    <row r="42" spans="2:9" ht="16.5" customHeight="1" x14ac:dyDescent="0.2">
      <c r="B42" s="1199"/>
      <c r="C42" s="2591"/>
      <c r="D42" s="2592"/>
      <c r="E42" s="2592"/>
      <c r="F42" s="2593"/>
      <c r="G42" s="2594"/>
      <c r="H42" s="2594"/>
      <c r="I42" s="2594"/>
    </row>
    <row r="43" spans="2:9" ht="16.5" customHeight="1" x14ac:dyDescent="0.2">
      <c r="B43" s="1199"/>
      <c r="C43" s="2584" t="s">
        <v>1576</v>
      </c>
      <c r="D43" s="2585"/>
      <c r="E43" s="2585"/>
      <c r="F43" s="2586"/>
      <c r="G43" s="2587">
        <f>SUM(G38:I42)</f>
        <v>0</v>
      </c>
      <c r="H43" s="2587"/>
      <c r="I43" s="2587"/>
    </row>
    <row r="44" spans="2:9" ht="12.75" customHeight="1" x14ac:dyDescent="0.2"/>
    <row r="45" spans="2:9" ht="12.75" customHeight="1" x14ac:dyDescent="0.2">
      <c r="B45" s="1915" t="str">
        <f>"Total Federal Expenditures for 7/1/"&amp;MID('AFR20'!E2,3,2)-1&amp;"-6/30/"&amp;MID('AFR20'!E2,3,2)</f>
        <v>Total Federal Expenditures for 7/1/19-6/30/20</v>
      </c>
      <c r="C45" s="1916"/>
      <c r="D45" s="2588">
        <v>0</v>
      </c>
      <c r="E45" s="2589"/>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90"/>
      <c r="F49" s="2590"/>
      <c r="G49" s="2590"/>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West Central CUSD 235</v>
      </c>
      <c r="C1" s="2595"/>
      <c r="D1" s="2595"/>
      <c r="E1" s="2595"/>
      <c r="F1" s="2595"/>
      <c r="G1" s="2595"/>
      <c r="H1" s="2595"/>
      <c r="I1" s="2595"/>
      <c r="J1" s="2595"/>
      <c r="K1" s="2595"/>
      <c r="L1" s="1143"/>
      <c r="M1" s="1143"/>
    </row>
    <row r="2" spans="1:13" ht="12" customHeight="1" x14ac:dyDescent="0.2">
      <c r="B2" s="2597">
        <f>'Single Audit Cover'!E7</f>
        <v>33036235026</v>
      </c>
      <c r="C2" s="2597"/>
      <c r="D2" s="2597"/>
      <c r="E2" s="2597"/>
      <c r="F2" s="2597"/>
      <c r="G2" s="2597"/>
      <c r="H2" s="2597"/>
      <c r="I2" s="2597"/>
      <c r="J2" s="2597"/>
      <c r="K2" s="2597"/>
      <c r="L2" s="1144"/>
      <c r="M2" s="1145"/>
    </row>
    <row r="3" spans="1:13" ht="10.35" customHeight="1" x14ac:dyDescent="0.2">
      <c r="B3" s="2611" t="s">
        <v>1274</v>
      </c>
      <c r="C3" s="2611"/>
      <c r="D3" s="2611"/>
      <c r="E3" s="2611"/>
      <c r="F3" s="2611"/>
      <c r="G3" s="2611"/>
      <c r="H3" s="2611"/>
      <c r="I3" s="2611"/>
      <c r="J3" s="2611"/>
      <c r="K3" s="2611"/>
      <c r="L3" s="1146"/>
      <c r="M3" s="1146"/>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2" t="s">
        <v>1285</v>
      </c>
      <c r="C7" s="2612"/>
      <c r="D7" s="2613"/>
      <c r="E7" s="2613"/>
      <c r="F7" s="2613"/>
      <c r="G7" s="2613"/>
      <c r="H7" s="2613"/>
      <c r="I7" s="2613"/>
      <c r="J7" s="2613"/>
      <c r="K7" s="261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2006</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60.75" customHeight="1" x14ac:dyDescent="0.2">
      <c r="B14" s="2610" t="s">
        <v>2079</v>
      </c>
      <c r="C14" s="2610"/>
      <c r="D14" s="2610"/>
      <c r="E14" s="2610"/>
      <c r="F14" s="2610"/>
      <c r="G14" s="2610"/>
      <c r="H14" s="2610"/>
      <c r="I14" s="2610"/>
      <c r="J14" s="2610"/>
      <c r="K14" s="261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0" t="s">
        <v>2080</v>
      </c>
      <c r="C17" s="2610"/>
      <c r="D17" s="2610"/>
      <c r="E17" s="2610"/>
      <c r="F17" s="2610"/>
      <c r="G17" s="2610"/>
      <c r="H17" s="2610"/>
      <c r="I17" s="2610"/>
      <c r="J17" s="2610"/>
      <c r="K17" s="2610"/>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4" t="s">
        <v>2081</v>
      </c>
      <c r="C20" s="2614"/>
      <c r="D20" s="2610"/>
      <c r="E20" s="2610"/>
      <c r="F20" s="2610"/>
      <c r="G20" s="2610"/>
      <c r="H20" s="2610"/>
      <c r="I20" s="2610"/>
      <c r="J20" s="2610"/>
      <c r="K20" s="2610"/>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10" t="s">
        <v>2082</v>
      </c>
      <c r="C23" s="2610"/>
      <c r="D23" s="2610"/>
      <c r="E23" s="2610"/>
      <c r="F23" s="2610"/>
      <c r="G23" s="2610"/>
      <c r="H23" s="2610"/>
      <c r="I23" s="2610"/>
      <c r="J23" s="2610"/>
      <c r="K23" s="2610"/>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0"/>
      <c r="C26" s="2610"/>
      <c r="D26" s="2610"/>
      <c r="E26" s="2610"/>
      <c r="F26" s="2610"/>
      <c r="G26" s="2610"/>
      <c r="H26" s="2610"/>
      <c r="I26" s="2610"/>
      <c r="J26" s="2610"/>
      <c r="K26" s="2610"/>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9" t="s">
        <v>2083</v>
      </c>
      <c r="C29" s="2609"/>
      <c r="D29" s="2610"/>
      <c r="E29" s="2610"/>
      <c r="F29" s="2610"/>
      <c r="G29" s="2610"/>
      <c r="H29" s="2610"/>
      <c r="I29" s="2610"/>
      <c r="J29" s="2610"/>
      <c r="K29" s="261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9" t="s">
        <v>2084</v>
      </c>
      <c r="C32" s="2609"/>
      <c r="D32" s="2610"/>
      <c r="E32" s="2610"/>
      <c r="F32" s="2610"/>
      <c r="G32" s="2610"/>
      <c r="H32" s="2610"/>
      <c r="I32" s="2610"/>
      <c r="J32" s="2610"/>
      <c r="K32" s="261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West Central CUSD 235</v>
      </c>
      <c r="C1" s="2595"/>
      <c r="D1" s="2595"/>
      <c r="E1" s="2595"/>
      <c r="F1" s="2595"/>
      <c r="G1" s="2595"/>
      <c r="H1" s="2595"/>
      <c r="I1" s="2595"/>
      <c r="J1" s="2595"/>
      <c r="K1" s="2595"/>
      <c r="L1" s="1143"/>
      <c r="M1" s="1143"/>
    </row>
    <row r="2" spans="1:13" ht="12" customHeight="1" x14ac:dyDescent="0.2">
      <c r="B2" s="2597">
        <f>'Single Audit Cover'!E7</f>
        <v>33036235026</v>
      </c>
      <c r="C2" s="2597"/>
      <c r="D2" s="2597"/>
      <c r="E2" s="2597"/>
      <c r="F2" s="2597"/>
      <c r="G2" s="2597"/>
      <c r="H2" s="2597"/>
      <c r="I2" s="2597"/>
      <c r="J2" s="2597"/>
      <c r="K2" s="2597"/>
      <c r="L2" s="1144"/>
      <c r="M2" s="1145"/>
    </row>
    <row r="3" spans="1:13" ht="10.35" customHeight="1" x14ac:dyDescent="0.2">
      <c r="B3" s="2611" t="s">
        <v>1274</v>
      </c>
      <c r="C3" s="2611"/>
      <c r="D3" s="2611"/>
      <c r="E3" s="2611"/>
      <c r="F3" s="2611"/>
      <c r="G3" s="2611"/>
      <c r="H3" s="2611"/>
      <c r="I3" s="2611"/>
      <c r="J3" s="2611"/>
      <c r="K3" s="2611"/>
      <c r="L3" s="2033"/>
      <c r="M3" s="2033"/>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2" t="s">
        <v>1285</v>
      </c>
      <c r="C7" s="2612"/>
      <c r="D7" s="2613"/>
      <c r="E7" s="2613"/>
      <c r="F7" s="2613"/>
      <c r="G7" s="2613"/>
      <c r="H7" s="2613"/>
      <c r="I7" s="2613"/>
      <c r="J7" s="2613"/>
      <c r="K7" s="261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2</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2019</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10" t="s">
        <v>2121</v>
      </c>
      <c r="C14" s="2610"/>
      <c r="D14" s="2610"/>
      <c r="E14" s="2610"/>
      <c r="F14" s="2610"/>
      <c r="G14" s="2610"/>
      <c r="H14" s="2610"/>
      <c r="I14" s="2610"/>
      <c r="J14" s="2610"/>
      <c r="K14" s="261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0" t="s">
        <v>2122</v>
      </c>
      <c r="C17" s="2610"/>
      <c r="D17" s="2610"/>
      <c r="E17" s="2610"/>
      <c r="F17" s="2610"/>
      <c r="G17" s="2610"/>
      <c r="H17" s="2610"/>
      <c r="I17" s="2610"/>
      <c r="J17" s="2610"/>
      <c r="K17" s="2610"/>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4"/>
      <c r="C20" s="2614"/>
      <c r="D20" s="2610"/>
      <c r="E20" s="2610"/>
      <c r="F20" s="2610"/>
      <c r="G20" s="2610"/>
      <c r="H20" s="2610"/>
      <c r="I20" s="2610"/>
      <c r="J20" s="2610"/>
      <c r="K20" s="2610"/>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10"/>
      <c r="C23" s="2610"/>
      <c r="D23" s="2610"/>
      <c r="E23" s="2610"/>
      <c r="F23" s="2610"/>
      <c r="G23" s="2610"/>
      <c r="H23" s="2610"/>
      <c r="I23" s="2610"/>
      <c r="J23" s="2610"/>
      <c r="K23" s="2610"/>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0"/>
      <c r="C26" s="2610"/>
      <c r="D26" s="2610"/>
      <c r="E26" s="2610"/>
      <c r="F26" s="2610"/>
      <c r="G26" s="2610"/>
      <c r="H26" s="2610"/>
      <c r="I26" s="2610"/>
      <c r="J26" s="2610"/>
      <c r="K26" s="2610"/>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9" t="s">
        <v>2123</v>
      </c>
      <c r="C29" s="2609"/>
      <c r="D29" s="2610"/>
      <c r="E29" s="2610"/>
      <c r="F29" s="2610"/>
      <c r="G29" s="2610"/>
      <c r="H29" s="2610"/>
      <c r="I29" s="2610"/>
      <c r="J29" s="2610"/>
      <c r="K29" s="261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9" t="s">
        <v>2124</v>
      </c>
      <c r="C32" s="2609"/>
      <c r="D32" s="2610"/>
      <c r="E32" s="2610"/>
      <c r="F32" s="2610"/>
      <c r="G32" s="2610"/>
      <c r="H32" s="2610"/>
      <c r="I32" s="2610"/>
      <c r="J32" s="2610"/>
      <c r="K32" s="261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 xml:space="preserve">   West Central CUSD 235</v>
      </c>
      <c r="C1" s="2618"/>
      <c r="D1" s="2618"/>
      <c r="E1" s="2618"/>
      <c r="F1" s="2618"/>
      <c r="G1" s="2618"/>
      <c r="H1" s="2618"/>
      <c r="I1" s="2618"/>
      <c r="J1" s="2618"/>
      <c r="K1" s="2618"/>
      <c r="L1" s="1220"/>
    </row>
    <row r="2" spans="1:12" ht="12.75" customHeight="1" x14ac:dyDescent="0.2">
      <c r="B2" s="2619">
        <f>'Single Audit Cover'!E7</f>
        <v>33036235026</v>
      </c>
      <c r="C2" s="2619"/>
      <c r="D2" s="2619"/>
      <c r="E2" s="2619"/>
      <c r="F2" s="2619"/>
      <c r="G2" s="2619"/>
      <c r="H2" s="2619"/>
      <c r="I2" s="2619"/>
      <c r="J2" s="2619"/>
      <c r="K2" s="2619"/>
      <c r="L2" s="1221"/>
    </row>
    <row r="3" spans="1:12" ht="12.75" customHeight="1" x14ac:dyDescent="0.2">
      <c r="B3" s="2611" t="s">
        <v>1274</v>
      </c>
      <c r="C3" s="2611"/>
      <c r="D3" s="2611"/>
      <c r="E3" s="2611"/>
      <c r="F3" s="2611"/>
      <c r="G3" s="2611"/>
      <c r="H3" s="2611"/>
      <c r="I3" s="2611"/>
      <c r="J3" s="2611"/>
      <c r="K3" s="2611"/>
      <c r="L3" s="1146"/>
    </row>
    <row r="4" spans="1:12" ht="12.75" customHeight="1" x14ac:dyDescent="0.2">
      <c r="B4" s="2611" t="str">
        <f>'Single Audit Cover'!A4</f>
        <v>Year Ending June 30, 2020</v>
      </c>
      <c r="C4" s="2611"/>
      <c r="D4" s="2611"/>
      <c r="E4" s="2611"/>
      <c r="F4" s="2611"/>
      <c r="G4" s="2611"/>
      <c r="H4" s="2611"/>
      <c r="I4" s="2611"/>
      <c r="J4" s="2611"/>
      <c r="K4" s="2611"/>
      <c r="L4" s="1146"/>
    </row>
    <row r="5" spans="1:12" ht="5.25" customHeight="1" x14ac:dyDescent="0.2">
      <c r="B5" s="1035" t="s">
        <v>1159</v>
      </c>
      <c r="C5" s="1035"/>
      <c r="L5" s="300"/>
    </row>
    <row r="6" spans="1:12" ht="30.75" customHeight="1" x14ac:dyDescent="0.2">
      <c r="A6" s="300"/>
      <c r="B6" s="2620" t="s">
        <v>1297</v>
      </c>
      <c r="C6" s="2620"/>
      <c r="D6" s="2620"/>
      <c r="E6" s="2620"/>
      <c r="F6" s="2620"/>
      <c r="G6" s="2620"/>
      <c r="H6" s="2620"/>
      <c r="I6" s="2620"/>
      <c r="J6" s="2620"/>
      <c r="K6" s="2620"/>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02"/>
      <c r="G12" s="2602"/>
      <c r="H12" s="2602"/>
      <c r="I12" s="2602"/>
      <c r="J12" s="2602"/>
      <c r="K12" s="260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5"/>
      <c r="E14" s="2615"/>
      <c r="F14" s="2615"/>
      <c r="H14" s="1229" t="s">
        <v>1292</v>
      </c>
      <c r="I14" s="2616"/>
      <c r="J14" s="2616"/>
      <c r="K14" s="261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6"/>
      <c r="E16" s="2616"/>
      <c r="F16" s="2616"/>
      <c r="G16" s="2616"/>
      <c r="H16" s="2616"/>
      <c r="I16" s="2616"/>
      <c r="J16" s="2616"/>
      <c r="K16" s="2616"/>
      <c r="L16" s="300"/>
    </row>
    <row r="17" spans="2:12" ht="13.5" customHeight="1" x14ac:dyDescent="0.2">
      <c r="B17" s="1155" t="s">
        <v>1290</v>
      </c>
      <c r="C17" s="1155"/>
      <c r="D17" s="2617"/>
      <c r="E17" s="2617"/>
      <c r="F17" s="2617"/>
      <c r="G17" s="2617"/>
      <c r="H17" s="2617"/>
      <c r="I17" s="2617"/>
      <c r="J17" s="2617"/>
      <c r="K17" s="261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10"/>
      <c r="C20" s="2610"/>
      <c r="D20" s="2610"/>
      <c r="E20" s="2610"/>
      <c r="F20" s="2610"/>
      <c r="G20" s="2610"/>
      <c r="H20" s="2610"/>
      <c r="I20" s="2610"/>
      <c r="J20" s="2610"/>
      <c r="K20" s="2610"/>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5" t="str">
        <f>'Single Audit Cover'!A7</f>
        <v xml:space="preserve">   West Central CUSD 235</v>
      </c>
      <c r="C1" s="2595"/>
      <c r="D1" s="2595"/>
      <c r="E1" s="1239"/>
    </row>
    <row r="2" spans="2:5" s="1057" customFormat="1" ht="12.75" customHeight="1" x14ac:dyDescent="0.2">
      <c r="B2" s="2597">
        <f>'Single Audit Cover'!E7</f>
        <v>33036235026</v>
      </c>
      <c r="C2" s="2597"/>
      <c r="D2" s="2597"/>
      <c r="E2" s="1240"/>
    </row>
    <row r="3" spans="2:5" ht="12.75" customHeight="1" x14ac:dyDescent="0.2">
      <c r="B3" s="2611" t="s">
        <v>1743</v>
      </c>
      <c r="C3" s="2611"/>
      <c r="D3" s="2611"/>
      <c r="E3" s="1049"/>
    </row>
    <row r="4" spans="2:5" s="1057" customFormat="1" ht="12.75" customHeight="1" x14ac:dyDescent="0.2">
      <c r="B4" s="2621" t="str">
        <f>'Single Audit Cover'!A4</f>
        <v>Year Ending June 30, 2020</v>
      </c>
      <c r="C4" s="2621"/>
      <c r="D4" s="2621"/>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t="s">
        <v>2085</v>
      </c>
      <c r="C8" s="302" t="s">
        <v>2086</v>
      </c>
      <c r="D8" s="302" t="s">
        <v>2087</v>
      </c>
      <c r="E8" s="302"/>
    </row>
    <row r="9" spans="2:5" ht="13.5" customHeight="1" x14ac:dyDescent="0.2">
      <c r="B9" s="1245"/>
      <c r="C9" s="301"/>
      <c r="D9" s="301" t="s">
        <v>2088</v>
      </c>
      <c r="E9" s="301"/>
    </row>
    <row r="10" spans="2:5" ht="13.5" customHeight="1" x14ac:dyDescent="0.2">
      <c r="B10" s="1244"/>
      <c r="C10" s="301"/>
      <c r="D10" s="301"/>
      <c r="E10" s="301"/>
    </row>
    <row r="11" spans="2:5" ht="13.5" customHeight="1" x14ac:dyDescent="0.2">
      <c r="B11" s="1244" t="s">
        <v>2089</v>
      </c>
      <c r="C11" s="301" t="s">
        <v>2090</v>
      </c>
      <c r="D11" s="301" t="s">
        <v>2092</v>
      </c>
      <c r="E11" s="301"/>
    </row>
    <row r="12" spans="2:5" ht="13.5" customHeight="1" x14ac:dyDescent="0.2">
      <c r="B12" s="1244"/>
      <c r="C12" s="301" t="s">
        <v>2091</v>
      </c>
      <c r="D12" s="301" t="s">
        <v>2093</v>
      </c>
      <c r="E12" s="301"/>
    </row>
    <row r="13" spans="2:5" ht="13.5" customHeight="1" x14ac:dyDescent="0.2">
      <c r="B13" s="1244"/>
      <c r="C13" s="301"/>
      <c r="D13" s="301"/>
      <c r="E13" s="301"/>
    </row>
    <row r="14" spans="2:5" ht="13.5" customHeight="1" x14ac:dyDescent="0.2">
      <c r="B14" s="1244" t="s">
        <v>2094</v>
      </c>
      <c r="C14" s="301" t="s">
        <v>2095</v>
      </c>
      <c r="D14" s="301" t="s">
        <v>2125</v>
      </c>
      <c r="E14" s="301"/>
    </row>
    <row r="15" spans="2:5" ht="13.5" customHeight="1" x14ac:dyDescent="0.2">
      <c r="B15" s="1244"/>
      <c r="C15" s="301" t="s">
        <v>2096</v>
      </c>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4294967295" verticalDpi="4294967295"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1"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147142356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2.7691500000000001E-2</v>
      </c>
      <c r="E10" s="333" t="s">
        <v>998</v>
      </c>
      <c r="F10" s="332">
        <v>6.1976000000000002E-3</v>
      </c>
      <c r="G10" s="333" t="s">
        <v>998</v>
      </c>
      <c r="H10" s="332">
        <v>1.9070000000000001E-3</v>
      </c>
      <c r="I10" s="333" t="s">
        <v>999</v>
      </c>
      <c r="J10" s="1423">
        <f>ROUND(D10+F10+H10,5)</f>
        <v>3.5799999999999998E-2</v>
      </c>
      <c r="K10" s="217"/>
      <c r="L10" s="332">
        <v>3.2969999999999999E-4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9068374</v>
      </c>
      <c r="E16" s="1546"/>
      <c r="F16" s="1545">
        <f>SUM('Acct Summary 7-8'!C17,'Acct Summary 7-8'!D17,'Acct Summary 7-8'!F17)</f>
        <v>8140149</v>
      </c>
      <c r="G16" s="1546"/>
      <c r="H16" s="1545">
        <f>SUM(D16-F16)</f>
        <v>928225</v>
      </c>
      <c r="I16" s="1547"/>
      <c r="J16" s="1545">
        <f>SUM('Acct Summary 7-8'!C81,'Acct Summary 7-8'!D81,'Acct Summary 7-8'!F81,'Acct Summary 7-8'!I81)</f>
        <v>9999341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20305645.128000002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2510930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horizontalDpi="4294967295" verticalDpi="4294967295"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B33" sqref="B3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West Central CUSD 235</v>
      </c>
      <c r="E7" s="368"/>
      <c r="G7" s="247"/>
      <c r="H7" s="364"/>
      <c r="I7" s="364"/>
      <c r="J7" s="364"/>
      <c r="K7" s="364"/>
      <c r="L7" s="307"/>
      <c r="M7" s="307"/>
      <c r="N7" s="307"/>
      <c r="O7" s="307"/>
      <c r="P7" s="307"/>
    </row>
    <row r="8" spans="1:18" ht="12.75" x14ac:dyDescent="0.2">
      <c r="A8" s="307"/>
      <c r="B8" s="307"/>
      <c r="C8" s="366" t="s">
        <v>1115</v>
      </c>
      <c r="D8" s="369">
        <f>COVER!A13</f>
        <v>33036235026</v>
      </c>
      <c r="E8" s="370"/>
      <c r="G8" s="307"/>
      <c r="H8" s="307"/>
      <c r="I8" s="307"/>
      <c r="J8" s="307"/>
      <c r="K8" s="307"/>
      <c r="L8" s="307"/>
      <c r="M8" s="307"/>
      <c r="N8" s="307"/>
      <c r="O8" s="307"/>
      <c r="P8" s="307"/>
    </row>
    <row r="9" spans="1:18" ht="12.75" x14ac:dyDescent="0.2">
      <c r="A9" s="307"/>
      <c r="B9" s="307"/>
      <c r="C9" s="366" t="s">
        <v>708</v>
      </c>
      <c r="D9" s="371" t="str">
        <f>COVER!A15</f>
        <v>Henderson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9999341</v>
      </c>
      <c r="I12" s="380"/>
      <c r="J12" s="380"/>
      <c r="K12" s="1558">
        <f>TRUNC((H12/H13*100000),5)/100000</f>
        <v>1.1026608517999998</v>
      </c>
      <c r="L12" s="381"/>
      <c r="M12" s="337" t="s">
        <v>1134</v>
      </c>
      <c r="N12" s="337"/>
      <c r="O12" s="1561">
        <v>0.35</v>
      </c>
      <c r="P12" s="213"/>
      <c r="Q12" s="213"/>
    </row>
    <row r="13" spans="1:18" s="382" customFormat="1" ht="12.75" x14ac:dyDescent="0.2">
      <c r="A13" s="213"/>
      <c r="B13" s="377"/>
      <c r="C13" s="2208" t="s">
        <v>1313</v>
      </c>
      <c r="D13" s="2209"/>
      <c r="E13" s="213"/>
      <c r="F13" s="383" t="s">
        <v>788</v>
      </c>
      <c r="G13" s="378"/>
      <c r="H13" s="1550">
        <f>SUM('Acct Summary 7-8'!C8+'Acct Summary 7-8'!D8+'Acct Summary 7-8'!F8+'Acct Summary 7-8'!I8)+H14</f>
        <v>9068374</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8140149</v>
      </c>
      <c r="I17" s="380"/>
      <c r="J17" s="389"/>
      <c r="K17" s="1558">
        <f>TRUNC((H17/H18*100000),5)/100000</f>
        <v>0.89764151759999988</v>
      </c>
      <c r="L17" s="381"/>
      <c r="M17" s="390" t="s">
        <v>1161</v>
      </c>
      <c r="O17" s="1564" t="str">
        <f>IF(AND(O16="2", J20 &gt; 2),"1",IF(AND(O16 = "1", J20 &gt; 2),"2",IF(AND(O16="1", J20 &gt;1),"1","0")))</f>
        <v>0</v>
      </c>
      <c r="P17" s="213"/>
    </row>
    <row r="18" spans="1:18" s="382" customFormat="1" ht="11.25" x14ac:dyDescent="0.2">
      <c r="A18" s="213"/>
      <c r="B18" s="377"/>
      <c r="C18" s="2208" t="s">
        <v>1306</v>
      </c>
      <c r="D18" s="2209"/>
      <c r="E18" s="213"/>
      <c r="F18" s="391" t="s">
        <v>789</v>
      </c>
      <c r="G18" s="378"/>
      <c r="H18" s="1550">
        <f>SUM('Acct Summary 7-8'!C8+'Acct Summary 7-8'!D8+'Acct Summary 7-8'!F8+'Acct Summary 7-8'!I8)+H19</f>
        <v>9068374</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5" t="s">
        <v>1395</v>
      </c>
      <c r="D24" s="2205"/>
      <c r="E24" s="213"/>
      <c r="F24" s="213" t="s">
        <v>442</v>
      </c>
      <c r="G24" s="378"/>
      <c r="H24" s="1550">
        <f>SUM('Assets-Liab 5-6'!C4+'Assets-Liab 5-6'!D4+'Assets-Liab 5-6'!F4+'Assets-Liab 5-6'!I4+'Assets-Liab 5-6'!C5+'Assets-Liab 5-6'!D5+'Assets-Liab 5-6'!F5+'Assets-Liab 5-6'!I5)</f>
        <v>9999341</v>
      </c>
      <c r="I24" s="394"/>
      <c r="J24" s="394"/>
      <c r="K24" s="1554">
        <f>TRUNC(((H24/H25*100000)/100000),2)</f>
        <v>442.22</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22611.525000000001</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4477541.8930799998</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2510930</v>
      </c>
      <c r="I32" s="392"/>
      <c r="J32" s="392"/>
      <c r="K32" s="1554">
        <f>TRUNC(100-((((H32/H33*100))*100)/100),2)</f>
        <v>87.63</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20305645.128000002</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B33" sqref="B33"/>
      <selection pane="bottomLeft" activeCell="B33" sqref="B3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5"/>
      <c r="D3" s="1306"/>
      <c r="E3" s="1306"/>
      <c r="F3" s="1306"/>
      <c r="G3" s="1306"/>
      <c r="H3" s="1306"/>
      <c r="I3" s="1306"/>
      <c r="J3" s="1306"/>
      <c r="K3" s="1306"/>
      <c r="L3" s="1306"/>
      <c r="M3" s="1307"/>
      <c r="N3" s="1308"/>
    </row>
    <row r="4" spans="1:14" ht="13.5" customHeight="1" x14ac:dyDescent="0.2">
      <c r="A4" s="427" t="s">
        <v>1632</v>
      </c>
      <c r="B4" s="428"/>
      <c r="C4" s="1571">
        <v>2046887</v>
      </c>
      <c r="D4" s="1572">
        <v>1722270</v>
      </c>
      <c r="E4" s="1572">
        <v>266948</v>
      </c>
      <c r="F4" s="1572">
        <v>840603</v>
      </c>
      <c r="G4" s="1572">
        <v>290059</v>
      </c>
      <c r="H4" s="1572">
        <v>13230</v>
      </c>
      <c r="I4" s="1572">
        <v>556710</v>
      </c>
      <c r="J4" s="1573">
        <v>478155</v>
      </c>
      <c r="K4" s="1572">
        <v>640880</v>
      </c>
      <c r="L4" s="1572">
        <v>116888</v>
      </c>
      <c r="M4" s="1574"/>
      <c r="N4" s="1575"/>
    </row>
    <row r="5" spans="1:14" x14ac:dyDescent="0.2">
      <c r="A5" s="427" t="s">
        <v>985</v>
      </c>
      <c r="B5" s="429">
        <v>120</v>
      </c>
      <c r="C5" s="1571">
        <v>3854030</v>
      </c>
      <c r="D5" s="1572">
        <v>454638</v>
      </c>
      <c r="E5" s="1572"/>
      <c r="F5" s="1572">
        <v>132703</v>
      </c>
      <c r="G5" s="1572">
        <v>170745</v>
      </c>
      <c r="H5" s="1572"/>
      <c r="I5" s="1572">
        <v>391500</v>
      </c>
      <c r="J5" s="1573"/>
      <c r="K5" s="1576">
        <v>205588</v>
      </c>
      <c r="L5" s="1577">
        <v>54130</v>
      </c>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5900917</v>
      </c>
      <c r="D13" s="1586">
        <f t="shared" ref="D13:L13" si="0">SUM(D4:D12)</f>
        <v>2176908</v>
      </c>
      <c r="E13" s="1586">
        <f t="shared" si="0"/>
        <v>266948</v>
      </c>
      <c r="F13" s="1586">
        <f t="shared" si="0"/>
        <v>973306</v>
      </c>
      <c r="G13" s="1586">
        <f t="shared" si="0"/>
        <v>460804</v>
      </c>
      <c r="H13" s="1586">
        <f t="shared" si="0"/>
        <v>13230</v>
      </c>
      <c r="I13" s="1586">
        <f t="shared" si="0"/>
        <v>948210</v>
      </c>
      <c r="J13" s="1586">
        <f t="shared" si="0"/>
        <v>478155</v>
      </c>
      <c r="K13" s="1586">
        <f t="shared" si="0"/>
        <v>846468</v>
      </c>
      <c r="L13" s="1586">
        <f t="shared" si="0"/>
        <v>171018</v>
      </c>
      <c r="M13" s="1574"/>
      <c r="N13" s="1575"/>
    </row>
    <row r="14" spans="1:14" ht="18" customHeight="1" thickTop="1" x14ac:dyDescent="0.2">
      <c r="A14" s="2217" t="s">
        <v>146</v>
      </c>
      <c r="B14" s="2218"/>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42500</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7709371</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7363919</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1114321</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125243</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266948</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2243982</v>
      </c>
    </row>
    <row r="23" spans="1:14" ht="13.5" customHeight="1" thickBot="1" x14ac:dyDescent="0.25">
      <c r="A23" s="1425" t="s">
        <v>638</v>
      </c>
      <c r="B23" s="1428"/>
      <c r="C23" s="1574"/>
      <c r="D23" s="1574"/>
      <c r="E23" s="1574"/>
      <c r="F23" s="1574"/>
      <c r="G23" s="1574"/>
      <c r="H23" s="1574"/>
      <c r="I23" s="1574"/>
      <c r="J23" s="1574"/>
      <c r="K23" s="1574"/>
      <c r="L23" s="1574"/>
      <c r="M23" s="1593">
        <f>SUM(M15:M22)</f>
        <v>16355354</v>
      </c>
      <c r="N23" s="1593">
        <f>SUM(N21:N22)</f>
        <v>2510930</v>
      </c>
    </row>
    <row r="24" spans="1:14" ht="18" customHeight="1" thickTop="1" x14ac:dyDescent="0.2">
      <c r="A24" s="2219" t="s">
        <v>594</v>
      </c>
      <c r="B24" s="2220"/>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171018</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171018</v>
      </c>
      <c r="M34" s="1574"/>
      <c r="N34" s="1584"/>
    </row>
    <row r="35" spans="1:14" ht="18" customHeight="1" thickTop="1" x14ac:dyDescent="0.2">
      <c r="A35" s="2221" t="s">
        <v>526</v>
      </c>
      <c r="B35" s="2222"/>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2510930</v>
      </c>
    </row>
    <row r="37" spans="1:14" ht="13.5" thickBot="1" x14ac:dyDescent="0.25">
      <c r="A37" s="1425" t="s">
        <v>648</v>
      </c>
      <c r="B37" s="1428"/>
      <c r="C37" s="1581"/>
      <c r="D37" s="1581"/>
      <c r="E37" s="1581"/>
      <c r="F37" s="1581"/>
      <c r="G37" s="1581"/>
      <c r="H37" s="1581"/>
      <c r="I37" s="1581"/>
      <c r="J37" s="1581"/>
      <c r="K37" s="1581"/>
      <c r="L37" s="1584"/>
      <c r="M37" s="1574"/>
      <c r="N37" s="1593">
        <f>SUM(N36:N36)</f>
        <v>2510930</v>
      </c>
    </row>
    <row r="38" spans="1:14" s="307" customFormat="1" ht="13.5" customHeight="1" thickTop="1" x14ac:dyDescent="0.2">
      <c r="A38" s="438" t="s">
        <v>417</v>
      </c>
      <c r="B38" s="432">
        <v>714</v>
      </c>
      <c r="C38" s="1572">
        <v>37903</v>
      </c>
      <c r="D38" s="1572"/>
      <c r="E38" s="1572"/>
      <c r="F38" s="1572"/>
      <c r="G38" s="1572">
        <v>87569</v>
      </c>
      <c r="H38" s="1572"/>
      <c r="I38" s="1572"/>
      <c r="J38" s="1573"/>
      <c r="K38" s="1572"/>
      <c r="L38" s="1585"/>
      <c r="M38" s="1603"/>
      <c r="N38" s="1603"/>
    </row>
    <row r="39" spans="1:14" s="307" customFormat="1" ht="13.5" customHeight="1" x14ac:dyDescent="0.2">
      <c r="A39" s="438" t="s">
        <v>339</v>
      </c>
      <c r="B39" s="432">
        <v>730</v>
      </c>
      <c r="C39" s="1572">
        <v>5863014</v>
      </c>
      <c r="D39" s="1572">
        <v>2176908</v>
      </c>
      <c r="E39" s="1572">
        <v>266948</v>
      </c>
      <c r="F39" s="1572">
        <v>973306</v>
      </c>
      <c r="G39" s="1572">
        <v>373235</v>
      </c>
      <c r="H39" s="1572">
        <v>13230</v>
      </c>
      <c r="I39" s="1572">
        <v>948210</v>
      </c>
      <c r="J39" s="1573">
        <v>478155</v>
      </c>
      <c r="K39" s="1572">
        <v>846468</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16355354</v>
      </c>
      <c r="N40" s="1603"/>
    </row>
    <row r="41" spans="1:14" ht="13.5" customHeight="1" thickBot="1" x14ac:dyDescent="0.25">
      <c r="A41" s="1425" t="s">
        <v>650</v>
      </c>
      <c r="B41" s="1404"/>
      <c r="C41" s="1593">
        <f>(SUM(C34,C37,C38,C39))</f>
        <v>5900917</v>
      </c>
      <c r="D41" s="1593">
        <f t="shared" ref="D41:L41" si="2">SUM(D34,D37,D38:D39)</f>
        <v>2176908</v>
      </c>
      <c r="E41" s="1593">
        <f t="shared" si="2"/>
        <v>266948</v>
      </c>
      <c r="F41" s="1593">
        <f t="shared" si="2"/>
        <v>973306</v>
      </c>
      <c r="G41" s="1593">
        <f t="shared" si="2"/>
        <v>460804</v>
      </c>
      <c r="H41" s="1593">
        <f t="shared" si="2"/>
        <v>13230</v>
      </c>
      <c r="I41" s="1593">
        <f t="shared" si="2"/>
        <v>948210</v>
      </c>
      <c r="J41" s="1593">
        <f t="shared" si="2"/>
        <v>478155</v>
      </c>
      <c r="K41" s="1593">
        <f t="shared" si="2"/>
        <v>846468</v>
      </c>
      <c r="L41" s="1593">
        <f t="shared" si="2"/>
        <v>171018</v>
      </c>
      <c r="M41" s="1593">
        <f>SUM(M40)</f>
        <v>16355354</v>
      </c>
      <c r="N41" s="1593">
        <f>SUM(N37)</f>
        <v>2510930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activeCell="B33" sqref="B33"/>
      <selection pane="bottomLeft" activeCell="B33" sqref="B3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0"/>
      <c r="D3" s="1311"/>
      <c r="E3" s="1311"/>
      <c r="F3" s="1311"/>
      <c r="G3" s="1311"/>
      <c r="H3" s="1311"/>
      <c r="I3" s="1311"/>
      <c r="J3" s="1311"/>
      <c r="K3" s="1312"/>
      <c r="L3" s="446"/>
    </row>
    <row r="4" spans="1:13" ht="15.75" customHeight="1" x14ac:dyDescent="0.2">
      <c r="A4" s="1536" t="s">
        <v>1482</v>
      </c>
      <c r="B4" s="1537">
        <v>1000</v>
      </c>
      <c r="C4" s="1605">
        <f>'Revenues 9-14'!C109</f>
        <v>4281496</v>
      </c>
      <c r="D4" s="1605">
        <f>'Revenues 9-14'!D109</f>
        <v>989712</v>
      </c>
      <c r="E4" s="1605">
        <f>'Revenues 9-14'!E109</f>
        <v>472191</v>
      </c>
      <c r="F4" s="1605">
        <f>'Revenues 9-14'!F109</f>
        <v>301106</v>
      </c>
      <c r="G4" s="1605">
        <f>'Revenues 9-14'!G109</f>
        <v>331780</v>
      </c>
      <c r="H4" s="1605">
        <f>'Revenues 9-14'!H109</f>
        <v>5635</v>
      </c>
      <c r="I4" s="1605">
        <f>'Revenues 9-14'!I109</f>
        <v>29314</v>
      </c>
      <c r="J4" s="1605">
        <f>'Revenues 9-14'!J109</f>
        <v>239422</v>
      </c>
      <c r="K4" s="1605">
        <f>'Revenues 9-14'!K109</f>
        <v>80161</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2193181</v>
      </c>
      <c r="D6" s="1606">
        <f>'Revenues 9-14'!D170</f>
        <v>40000</v>
      </c>
      <c r="E6" s="1606">
        <f>'Revenues 9-14'!E170</f>
        <v>0</v>
      </c>
      <c r="F6" s="1606">
        <f>'Revenues 9-14'!F170</f>
        <v>470725</v>
      </c>
      <c r="G6" s="1606">
        <f>'Revenues 9-14'!G170</f>
        <v>0</v>
      </c>
      <c r="H6" s="1606">
        <f>'Revenues 9-14'!H170</f>
        <v>0</v>
      </c>
      <c r="I6" s="1606">
        <f>'Revenues 9-14'!I170</f>
        <v>0</v>
      </c>
      <c r="J6" s="1606">
        <f>'Revenues 9-14'!J170</f>
        <v>0</v>
      </c>
      <c r="K6" s="1606">
        <f>'Revenues 9-14'!K170</f>
        <v>50000</v>
      </c>
      <c r="L6" s="325"/>
      <c r="M6" s="448"/>
    </row>
    <row r="7" spans="1:13" ht="15.75" customHeight="1" x14ac:dyDescent="0.2">
      <c r="A7" s="1313" t="s">
        <v>1485</v>
      </c>
      <c r="B7" s="1315">
        <v>4000</v>
      </c>
      <c r="C7" s="1606">
        <f>'Revenues 9-14'!C267</f>
        <v>762840</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7237517</v>
      </c>
      <c r="D8" s="1593">
        <f t="shared" ref="D8:K8" si="0">SUM(D4:D7)</f>
        <v>1029712</v>
      </c>
      <c r="E8" s="1593">
        <f t="shared" si="0"/>
        <v>472191</v>
      </c>
      <c r="F8" s="1593">
        <f t="shared" si="0"/>
        <v>771831</v>
      </c>
      <c r="G8" s="1593">
        <f t="shared" si="0"/>
        <v>331780</v>
      </c>
      <c r="H8" s="1593">
        <f t="shared" si="0"/>
        <v>5635</v>
      </c>
      <c r="I8" s="1593">
        <f t="shared" si="0"/>
        <v>29314</v>
      </c>
      <c r="J8" s="1593">
        <f t="shared" si="0"/>
        <v>239422</v>
      </c>
      <c r="K8" s="1593">
        <f t="shared" si="0"/>
        <v>130161</v>
      </c>
      <c r="L8" s="325"/>
    </row>
    <row r="9" spans="1:13" ht="15.75" thickTop="1" x14ac:dyDescent="0.2">
      <c r="A9" s="449" t="s">
        <v>1634</v>
      </c>
      <c r="B9" s="450">
        <v>3998</v>
      </c>
      <c r="C9" s="1585">
        <v>3298246</v>
      </c>
      <c r="D9" s="1612"/>
      <c r="E9" s="1585"/>
      <c r="F9" s="1585"/>
      <c r="G9" s="1613"/>
      <c r="H9" s="1585"/>
      <c r="I9" s="1608" t="s">
        <v>1159</v>
      </c>
      <c r="J9" s="1582"/>
      <c r="K9" s="1585"/>
      <c r="L9" s="325"/>
    </row>
    <row r="10" spans="1:13" s="452" customFormat="1" ht="13.5" thickBot="1" x14ac:dyDescent="0.25">
      <c r="A10" s="1425" t="s">
        <v>1163</v>
      </c>
      <c r="B10" s="1406"/>
      <c r="C10" s="1593">
        <f>SUM(C8:C9)</f>
        <v>10535763</v>
      </c>
      <c r="D10" s="1593">
        <f t="shared" ref="D10:K10" si="1">SUM(D8:D9)</f>
        <v>1029712</v>
      </c>
      <c r="E10" s="1593">
        <f t="shared" si="1"/>
        <v>472191</v>
      </c>
      <c r="F10" s="1593">
        <f t="shared" si="1"/>
        <v>771831</v>
      </c>
      <c r="G10" s="1593">
        <f t="shared" si="1"/>
        <v>331780</v>
      </c>
      <c r="H10" s="1593">
        <f t="shared" si="1"/>
        <v>5635</v>
      </c>
      <c r="I10" s="1593">
        <f t="shared" si="1"/>
        <v>29314</v>
      </c>
      <c r="J10" s="1593">
        <f t="shared" si="1"/>
        <v>239422</v>
      </c>
      <c r="K10" s="1593">
        <f t="shared" si="1"/>
        <v>130161</v>
      </c>
      <c r="L10" s="451"/>
    </row>
    <row r="11" spans="1:13" s="452" customFormat="1" ht="16.7" customHeight="1" thickTop="1" x14ac:dyDescent="0.2">
      <c r="A11" s="2217" t="s">
        <v>1166</v>
      </c>
      <c r="B11" s="2218"/>
      <c r="C11" s="1601"/>
      <c r="D11" s="1602"/>
      <c r="E11" s="1602"/>
      <c r="F11" s="1602"/>
      <c r="G11" s="1602"/>
      <c r="H11" s="1602"/>
      <c r="I11" s="1602"/>
      <c r="J11" s="1602"/>
      <c r="K11" s="1614"/>
      <c r="L11" s="451"/>
    </row>
    <row r="12" spans="1:13" ht="15.75" customHeight="1" x14ac:dyDescent="0.2">
      <c r="A12" s="1313" t="s">
        <v>453</v>
      </c>
      <c r="B12" s="1315">
        <v>1000</v>
      </c>
      <c r="C12" s="1605">
        <f>'Expenditures 15-22'!K33</f>
        <v>4659149</v>
      </c>
      <c r="D12" s="1615" t="s">
        <v>1159</v>
      </c>
      <c r="E12" s="1574" t="s">
        <v>1159</v>
      </c>
      <c r="F12" s="1574" t="s">
        <v>1159</v>
      </c>
      <c r="G12" s="1605">
        <f>'Expenditures 15-22'!K229</f>
        <v>142438</v>
      </c>
      <c r="H12" s="1616"/>
      <c r="I12" s="1574" t="s">
        <v>1159</v>
      </c>
      <c r="J12" s="1574" t="s">
        <v>1159</v>
      </c>
      <c r="K12" s="1616" t="s">
        <v>1159</v>
      </c>
      <c r="L12" s="325"/>
    </row>
    <row r="13" spans="1:13" ht="15.75" customHeight="1" x14ac:dyDescent="0.2">
      <c r="A13" s="1313" t="s">
        <v>454</v>
      </c>
      <c r="B13" s="1315">
        <v>2000</v>
      </c>
      <c r="C13" s="1606">
        <f>'Expenditures 15-22'!K74</f>
        <v>1889499</v>
      </c>
      <c r="D13" s="1606">
        <f>'Expenditures 15-22'!K129</f>
        <v>670363</v>
      </c>
      <c r="E13" s="1575" t="s">
        <v>1159</v>
      </c>
      <c r="F13" s="1606">
        <f>'Expenditures 15-22'!K184</f>
        <v>673217</v>
      </c>
      <c r="G13" s="1606">
        <f>'Expenditures 15-22'!K279</f>
        <v>181809</v>
      </c>
      <c r="H13" s="1606">
        <f>'Expenditures 15-22'!K303</f>
        <v>0</v>
      </c>
      <c r="I13" s="1574" t="s">
        <v>1159</v>
      </c>
      <c r="J13" s="1606">
        <f>'Expenditures 15-22'!K330</f>
        <v>191130</v>
      </c>
      <c r="K13" s="1617">
        <f>'Expenditures 15-22'!K352</f>
        <v>380352</v>
      </c>
      <c r="L13" s="325"/>
    </row>
    <row r="14" spans="1:13" ht="15.75" customHeight="1" x14ac:dyDescent="0.2">
      <c r="A14" s="1313" t="s">
        <v>446</v>
      </c>
      <c r="B14" s="1315">
        <v>3000</v>
      </c>
      <c r="C14" s="1606">
        <f>'Expenditures 15-22'!K75</f>
        <v>1837</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246084</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463929</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6796569</v>
      </c>
      <c r="D17" s="1593">
        <f t="shared" si="2"/>
        <v>670363</v>
      </c>
      <c r="E17" s="1593">
        <f t="shared" si="2"/>
        <v>463929</v>
      </c>
      <c r="F17" s="1593">
        <f t="shared" si="2"/>
        <v>673217</v>
      </c>
      <c r="G17" s="1593">
        <f t="shared" si="2"/>
        <v>324247</v>
      </c>
      <c r="H17" s="1593">
        <f t="shared" si="2"/>
        <v>0</v>
      </c>
      <c r="I17" s="1574"/>
      <c r="J17" s="1593">
        <f>SUM(J12:J16)</f>
        <v>191130</v>
      </c>
      <c r="K17" s="1593">
        <f>SUM(K12:K16)</f>
        <v>380352</v>
      </c>
      <c r="L17" s="325"/>
    </row>
    <row r="18" spans="1:12" ht="15" customHeight="1" thickTop="1" x14ac:dyDescent="0.2">
      <c r="A18" s="1429" t="s">
        <v>1635</v>
      </c>
      <c r="B18" s="1430">
        <v>4180</v>
      </c>
      <c r="C18" s="1605">
        <f t="shared" ref="C18:H18" si="3">C9</f>
        <v>3298246</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10094815</v>
      </c>
      <c r="D19" s="1593">
        <f t="shared" si="4"/>
        <v>670363</v>
      </c>
      <c r="E19" s="1593">
        <f t="shared" si="4"/>
        <v>463929</v>
      </c>
      <c r="F19" s="1593">
        <f t="shared" si="4"/>
        <v>673217</v>
      </c>
      <c r="G19" s="1593">
        <f t="shared" si="4"/>
        <v>324247</v>
      </c>
      <c r="H19" s="1593">
        <f t="shared" si="4"/>
        <v>0</v>
      </c>
      <c r="I19" s="1574"/>
      <c r="J19" s="1593">
        <f>SUM(J17:J18)</f>
        <v>191130</v>
      </c>
      <c r="K19" s="1593">
        <f>SUM(K17:K18)</f>
        <v>380352</v>
      </c>
      <c r="L19" s="325"/>
    </row>
    <row r="20" spans="1:12" ht="16.5" thickTop="1" thickBot="1" x14ac:dyDescent="0.25">
      <c r="A20" s="2233" t="s">
        <v>1636</v>
      </c>
      <c r="B20" s="2234"/>
      <c r="C20" s="1621">
        <f>C8-C17</f>
        <v>440948</v>
      </c>
      <c r="D20" s="1621">
        <f t="shared" ref="D20:K20" si="5">D8-D17</f>
        <v>359349</v>
      </c>
      <c r="E20" s="1621">
        <f t="shared" si="5"/>
        <v>8262</v>
      </c>
      <c r="F20" s="1621">
        <f t="shared" si="5"/>
        <v>98614</v>
      </c>
      <c r="G20" s="1621">
        <f t="shared" si="5"/>
        <v>7533</v>
      </c>
      <c r="H20" s="1621">
        <f t="shared" si="5"/>
        <v>5635</v>
      </c>
      <c r="I20" s="1621">
        <f t="shared" si="5"/>
        <v>29314</v>
      </c>
      <c r="J20" s="1621">
        <f t="shared" si="5"/>
        <v>48292</v>
      </c>
      <c r="K20" s="1621">
        <f t="shared" si="5"/>
        <v>-250191</v>
      </c>
      <c r="L20" s="325"/>
    </row>
    <row r="21" spans="1:12" ht="16.7" customHeight="1" thickTop="1" x14ac:dyDescent="0.2">
      <c r="A21" s="2245" t="s">
        <v>591</v>
      </c>
      <c r="B21" s="2246"/>
      <c r="C21" s="1601"/>
      <c r="D21" s="1602"/>
      <c r="E21" s="1602"/>
      <c r="F21" s="1602"/>
      <c r="G21" s="1602"/>
      <c r="H21" s="1602"/>
      <c r="I21" s="1602"/>
      <c r="J21" s="1602"/>
      <c r="K21" s="1614"/>
      <c r="L21" s="453"/>
    </row>
    <row r="22" spans="1:12" ht="15.75" customHeight="1" collapsed="1" x14ac:dyDescent="0.2">
      <c r="A22" s="2241" t="s">
        <v>592</v>
      </c>
      <c r="B22" s="2242"/>
      <c r="C22" s="1581"/>
      <c r="D22" s="1581"/>
      <c r="E22" s="1581"/>
      <c r="F22" s="1581"/>
      <c r="G22" s="1581"/>
      <c r="H22" s="1581"/>
      <c r="I22" s="1581"/>
      <c r="J22" s="1581"/>
      <c r="K22" s="1581"/>
      <c r="L22" s="325"/>
    </row>
    <row r="23" spans="1:12" s="433" customFormat="1" ht="15.75" customHeight="1" x14ac:dyDescent="0.2">
      <c r="A23" s="2237" t="s">
        <v>290</v>
      </c>
      <c r="B23" s="2238"/>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9" t="s">
        <v>974</v>
      </c>
      <c r="B32" s="2240"/>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v>29119</v>
      </c>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7" t="s">
        <v>371</v>
      </c>
      <c r="B44" s="2248"/>
      <c r="C44" s="1623">
        <f>SUM(C24:C43)</f>
        <v>0</v>
      </c>
      <c r="D44" s="1623">
        <f t="shared" ref="D44:K44" si="6">SUM(D24:D43)</f>
        <v>0</v>
      </c>
      <c r="E44" s="1623">
        <f t="shared" si="6"/>
        <v>0</v>
      </c>
      <c r="F44" s="1623">
        <f t="shared" si="6"/>
        <v>29119</v>
      </c>
      <c r="G44" s="1623">
        <f t="shared" si="6"/>
        <v>0</v>
      </c>
      <c r="H44" s="1623">
        <f t="shared" si="6"/>
        <v>0</v>
      </c>
      <c r="I44" s="1623">
        <f t="shared" si="6"/>
        <v>0</v>
      </c>
      <c r="J44" s="1623">
        <f t="shared" si="6"/>
        <v>0</v>
      </c>
      <c r="K44" s="1623">
        <f t="shared" si="6"/>
        <v>0</v>
      </c>
      <c r="L44" s="453"/>
    </row>
    <row r="45" spans="1:12" ht="15.75" customHeight="1" thickTop="1" x14ac:dyDescent="0.2">
      <c r="A45" s="2241" t="s">
        <v>108</v>
      </c>
      <c r="B45" s="2242"/>
      <c r="C45" s="1624"/>
      <c r="D45" s="1624"/>
      <c r="E45" s="1624"/>
      <c r="F45" s="1624"/>
      <c r="G45" s="1624"/>
      <c r="H45" s="1624"/>
      <c r="I45" s="1624"/>
      <c r="J45" s="1624"/>
      <c r="K45" s="1624"/>
      <c r="L45" s="325"/>
    </row>
    <row r="46" spans="1:12" s="433" customFormat="1" ht="15.75" customHeight="1" x14ac:dyDescent="0.2">
      <c r="A46" s="2249" t="s">
        <v>109</v>
      </c>
      <c r="B46" s="2250"/>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3" t="s">
        <v>437</v>
      </c>
      <c r="B76" s="2224"/>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5" t="s">
        <v>1167</v>
      </c>
      <c r="B77" s="2226"/>
      <c r="C77" s="1623">
        <f t="shared" ref="C77:K77" si="8">C44-C76</f>
        <v>0</v>
      </c>
      <c r="D77" s="1623">
        <f t="shared" si="8"/>
        <v>0</v>
      </c>
      <c r="E77" s="1623">
        <f t="shared" si="8"/>
        <v>0</v>
      </c>
      <c r="F77" s="1623">
        <f t="shared" si="8"/>
        <v>29119</v>
      </c>
      <c r="G77" s="1623">
        <f t="shared" si="8"/>
        <v>0</v>
      </c>
      <c r="H77" s="1623">
        <f t="shared" si="8"/>
        <v>0</v>
      </c>
      <c r="I77" s="1623">
        <f t="shared" si="8"/>
        <v>0</v>
      </c>
      <c r="J77" s="1623">
        <f t="shared" si="8"/>
        <v>0</v>
      </c>
      <c r="K77" s="1623">
        <f t="shared" si="8"/>
        <v>0</v>
      </c>
      <c r="L77" s="325"/>
    </row>
    <row r="78" spans="1:12" ht="21.75" customHeight="1" thickTop="1" thickBot="1" x14ac:dyDescent="0.25">
      <c r="A78" s="2229" t="s">
        <v>593</v>
      </c>
      <c r="B78" s="2230"/>
      <c r="C78" s="1628">
        <f t="shared" ref="C78:K78" si="9">C20+C77</f>
        <v>440948</v>
      </c>
      <c r="D78" s="1628">
        <f t="shared" si="9"/>
        <v>359349</v>
      </c>
      <c r="E78" s="1628">
        <f t="shared" si="9"/>
        <v>8262</v>
      </c>
      <c r="F78" s="1628">
        <f t="shared" si="9"/>
        <v>127733</v>
      </c>
      <c r="G78" s="1628">
        <f t="shared" si="9"/>
        <v>7533</v>
      </c>
      <c r="H78" s="1628">
        <f t="shared" si="9"/>
        <v>5635</v>
      </c>
      <c r="I78" s="1628">
        <f t="shared" si="9"/>
        <v>29314</v>
      </c>
      <c r="J78" s="1628">
        <f t="shared" si="9"/>
        <v>48292</v>
      </c>
      <c r="K78" s="1628">
        <f t="shared" si="9"/>
        <v>-250191</v>
      </c>
      <c r="L78" s="457"/>
    </row>
    <row r="79" spans="1:12" ht="13.5" thickTop="1" x14ac:dyDescent="0.2">
      <c r="A79" s="1843" t="str">
        <f>"Fund Balances - July 1, "&amp;'AFR20'!E2-1</f>
        <v>Fund Balances - July 1, 2019</v>
      </c>
      <c r="B79" s="458"/>
      <c r="C79" s="1582">
        <v>5459969</v>
      </c>
      <c r="D79" s="1629">
        <v>1817559</v>
      </c>
      <c r="E79" s="1629">
        <v>258686</v>
      </c>
      <c r="F79" s="1629">
        <v>845573</v>
      </c>
      <c r="G79" s="1629">
        <v>453271</v>
      </c>
      <c r="H79" s="1629">
        <v>7595</v>
      </c>
      <c r="I79" s="1629">
        <v>918896</v>
      </c>
      <c r="J79" s="1629">
        <v>429863</v>
      </c>
      <c r="K79" s="1629">
        <v>1096659</v>
      </c>
      <c r="L79" s="325"/>
    </row>
    <row r="80" spans="1:12" x14ac:dyDescent="0.2">
      <c r="A80" s="2235" t="s">
        <v>1772</v>
      </c>
      <c r="B80" s="2236"/>
      <c r="C80" s="1573"/>
      <c r="D80" s="1573"/>
      <c r="E80" s="1573"/>
      <c r="F80" s="1573"/>
      <c r="G80" s="1573"/>
      <c r="H80" s="1573"/>
      <c r="I80" s="1573"/>
      <c r="J80" s="1573"/>
      <c r="K80" s="1573"/>
      <c r="L80" s="325"/>
    </row>
    <row r="81" spans="1:12" ht="13.5" thickBot="1" x14ac:dyDescent="0.25">
      <c r="A81" s="2227" t="str">
        <f>"Fund Balances - June 30, "&amp;'AFR20'!E2</f>
        <v>Fund Balances - June 30, 2020</v>
      </c>
      <c r="B81" s="2228"/>
      <c r="C81" s="1593">
        <f>(SUM(C78:C80))</f>
        <v>5900917</v>
      </c>
      <c r="D81" s="1593">
        <f>SUM(D78:D80)</f>
        <v>2176908</v>
      </c>
      <c r="E81" s="1593">
        <f t="shared" ref="E81:K81" si="10">SUM(E78:E80)</f>
        <v>266948</v>
      </c>
      <c r="F81" s="1593">
        <f t="shared" si="10"/>
        <v>973306</v>
      </c>
      <c r="G81" s="1593">
        <f t="shared" si="10"/>
        <v>460804</v>
      </c>
      <c r="H81" s="1593">
        <f t="shared" si="10"/>
        <v>13230</v>
      </c>
      <c r="I81" s="1593">
        <f t="shared" si="10"/>
        <v>948210</v>
      </c>
      <c r="J81" s="1593">
        <f t="shared" si="10"/>
        <v>478155</v>
      </c>
      <c r="K81" s="1593">
        <f t="shared" si="10"/>
        <v>846468</v>
      </c>
      <c r="L81" s="325"/>
    </row>
    <row r="82" spans="1:12" ht="0.75" customHeight="1" thickTop="1" thickBot="1" x14ac:dyDescent="0.25">
      <c r="A82" s="459" t="s">
        <v>340</v>
      </c>
      <c r="B82" s="460"/>
      <c r="C82" s="461">
        <f>(C81-C79)</f>
        <v>440948</v>
      </c>
      <c r="D82" s="461">
        <f t="shared" ref="D82:K82" si="11">(D81-D79)</f>
        <v>359349</v>
      </c>
      <c r="E82" s="461">
        <f t="shared" si="11"/>
        <v>8262</v>
      </c>
      <c r="F82" s="461">
        <f t="shared" si="11"/>
        <v>127733</v>
      </c>
      <c r="G82" s="461">
        <f t="shared" si="11"/>
        <v>7533</v>
      </c>
      <c r="H82" s="461">
        <f t="shared" si="11"/>
        <v>5635</v>
      </c>
      <c r="I82" s="461">
        <f t="shared" si="11"/>
        <v>29314</v>
      </c>
      <c r="J82" s="461">
        <f t="shared" si="11"/>
        <v>48292</v>
      </c>
      <c r="K82" s="461">
        <f t="shared" si="11"/>
        <v>-250191</v>
      </c>
    </row>
    <row r="83" spans="1:12" ht="14.25" hidden="1" thickTop="1" thickBot="1" x14ac:dyDescent="0.25">
      <c r="A83" s="462" t="s">
        <v>341</v>
      </c>
      <c r="B83" s="428"/>
      <c r="C83" s="463">
        <f>C82/C81</f>
        <v>7.4725335062330145E-2</v>
      </c>
      <c r="D83" s="463">
        <f t="shared" ref="D83:K83" si="12">D82/D81</f>
        <v>0.16507312206119873</v>
      </c>
      <c r="E83" s="463">
        <f t="shared" si="12"/>
        <v>3.0949847910454471E-2</v>
      </c>
      <c r="F83" s="463">
        <f t="shared" si="12"/>
        <v>0.13123621964726406</v>
      </c>
      <c r="G83" s="463">
        <f t="shared" si="12"/>
        <v>1.6347514344493538E-2</v>
      </c>
      <c r="H83" s="463">
        <f t="shared" si="12"/>
        <v>0.42592592592592593</v>
      </c>
      <c r="I83" s="463">
        <f t="shared" si="12"/>
        <v>3.0915092648253026E-2</v>
      </c>
      <c r="J83" s="463">
        <f t="shared" si="12"/>
        <v>0.10099653877926613</v>
      </c>
      <c r="K83" s="463">
        <f t="shared" si="12"/>
        <v>-0.29557053544847534</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0" activePane="bottomLeft" state="frozen"/>
      <selection activeCell="B33" sqref="B33"/>
      <selection pane="bottomLeft" activeCell="C194" sqref="C19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3743023</v>
      </c>
      <c r="D5" s="1585">
        <v>935576</v>
      </c>
      <c r="E5" s="1572">
        <v>466489</v>
      </c>
      <c r="F5" s="1630">
        <v>287869</v>
      </c>
      <c r="G5" s="1572">
        <v>111921</v>
      </c>
      <c r="H5" s="1572"/>
      <c r="I5" s="1572">
        <v>19932</v>
      </c>
      <c r="J5" s="1573">
        <v>218156</v>
      </c>
      <c r="K5" s="1572">
        <v>71970</v>
      </c>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v>57572</v>
      </c>
      <c r="D7" s="1572"/>
      <c r="E7" s="1574"/>
      <c r="F7" s="1573"/>
      <c r="G7" s="1573"/>
      <c r="H7" s="1573"/>
      <c r="I7" s="1574"/>
      <c r="J7" s="1574"/>
      <c r="K7" s="1574"/>
    </row>
    <row r="8" spans="1:12" x14ac:dyDescent="0.2">
      <c r="A8" s="427" t="s">
        <v>410</v>
      </c>
      <c r="B8" s="429">
        <v>1150</v>
      </c>
      <c r="C8" s="1579"/>
      <c r="D8" s="1579"/>
      <c r="E8" s="1581"/>
      <c r="F8" s="1581"/>
      <c r="G8" s="1585">
        <v>189338</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3800595</v>
      </c>
      <c r="D12" s="1632">
        <f t="shared" si="0"/>
        <v>935576</v>
      </c>
      <c r="E12" s="1632">
        <f t="shared" si="0"/>
        <v>466489</v>
      </c>
      <c r="F12" s="1632">
        <f t="shared" si="0"/>
        <v>287869</v>
      </c>
      <c r="G12" s="1632">
        <f t="shared" si="0"/>
        <v>301259</v>
      </c>
      <c r="H12" s="1632">
        <f t="shared" si="0"/>
        <v>0</v>
      </c>
      <c r="I12" s="1632">
        <f t="shared" si="0"/>
        <v>19932</v>
      </c>
      <c r="J12" s="1632">
        <f t="shared" si="0"/>
        <v>218156</v>
      </c>
      <c r="K12" s="1593">
        <f t="shared" si="0"/>
        <v>71970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8076</v>
      </c>
      <c r="D14" s="1572">
        <v>1988</v>
      </c>
      <c r="E14" s="1572">
        <v>992</v>
      </c>
      <c r="F14" s="1572">
        <v>612</v>
      </c>
      <c r="G14" s="1572">
        <v>640</v>
      </c>
      <c r="H14" s="1572"/>
      <c r="I14" s="1572">
        <v>42</v>
      </c>
      <c r="J14" s="1573">
        <v>464</v>
      </c>
      <c r="K14" s="1572">
        <v>153</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224786</v>
      </c>
      <c r="D16" s="1572"/>
      <c r="E16" s="1572"/>
      <c r="F16" s="1572"/>
      <c r="G16" s="1572">
        <v>24000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232862</v>
      </c>
      <c r="D18" s="1634">
        <f t="shared" ref="D18:K18" si="1">SUM(D14:D17)</f>
        <v>1988</v>
      </c>
      <c r="E18" s="1634">
        <f t="shared" si="1"/>
        <v>992</v>
      </c>
      <c r="F18" s="1634">
        <f t="shared" si="1"/>
        <v>612</v>
      </c>
      <c r="G18" s="1634">
        <f t="shared" si="1"/>
        <v>24640</v>
      </c>
      <c r="H18" s="1634">
        <f t="shared" si="1"/>
        <v>0</v>
      </c>
      <c r="I18" s="1634">
        <f t="shared" si="1"/>
        <v>42</v>
      </c>
      <c r="J18" s="1634">
        <f t="shared" si="1"/>
        <v>464</v>
      </c>
      <c r="K18" s="1635">
        <f t="shared" si="1"/>
        <v>153</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45276</v>
      </c>
      <c r="D65" s="1572">
        <v>46316</v>
      </c>
      <c r="E65" s="1572">
        <v>4710</v>
      </c>
      <c r="F65" s="1573">
        <v>9449</v>
      </c>
      <c r="G65" s="1572">
        <v>5881</v>
      </c>
      <c r="H65" s="1572">
        <v>113</v>
      </c>
      <c r="I65" s="1572">
        <v>9340</v>
      </c>
      <c r="J65" s="1573">
        <v>5704</v>
      </c>
      <c r="K65" s="1572">
        <v>8038</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45276</v>
      </c>
      <c r="D67" s="1593">
        <f t="shared" ref="D67:K67" si="2">SUM(D65:D66)</f>
        <v>46316</v>
      </c>
      <c r="E67" s="1593">
        <f t="shared" si="2"/>
        <v>4710</v>
      </c>
      <c r="F67" s="1593">
        <f t="shared" si="2"/>
        <v>9449</v>
      </c>
      <c r="G67" s="1593">
        <f t="shared" si="2"/>
        <v>5881</v>
      </c>
      <c r="H67" s="1593">
        <f t="shared" si="2"/>
        <v>113</v>
      </c>
      <c r="I67" s="1593">
        <f t="shared" si="2"/>
        <v>9340</v>
      </c>
      <c r="J67" s="1593">
        <f t="shared" si="2"/>
        <v>5704</v>
      </c>
      <c r="K67" s="1593">
        <f t="shared" si="2"/>
        <v>8038</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65507</v>
      </c>
      <c r="D69" s="1574"/>
      <c r="E69" s="1574"/>
      <c r="F69" s="1574"/>
      <c r="G69" s="1574"/>
      <c r="H69" s="1574"/>
      <c r="I69" s="1574"/>
      <c r="J69" s="1574"/>
      <c r="K69" s="1574"/>
    </row>
    <row r="70" spans="1:11" ht="12.75" customHeight="1" x14ac:dyDescent="0.2">
      <c r="A70" s="427" t="s">
        <v>990</v>
      </c>
      <c r="B70" s="429">
        <v>1612</v>
      </c>
      <c r="C70" s="1631">
        <v>10942</v>
      </c>
      <c r="D70" s="1574"/>
      <c r="E70" s="1574"/>
      <c r="F70" s="1574"/>
      <c r="G70" s="1574"/>
      <c r="H70" s="1574"/>
      <c r="I70" s="1574"/>
      <c r="J70" s="1574"/>
      <c r="K70" s="1574"/>
    </row>
    <row r="71" spans="1:11" ht="12.75" customHeight="1" x14ac:dyDescent="0.2">
      <c r="A71" s="427" t="s">
        <v>271</v>
      </c>
      <c r="B71" s="429">
        <v>1613</v>
      </c>
      <c r="C71" s="1631">
        <v>8755</v>
      </c>
      <c r="D71" s="1574"/>
      <c r="E71" s="1574"/>
      <c r="F71" s="1574"/>
      <c r="G71" s="1574"/>
      <c r="H71" s="1574"/>
      <c r="I71" s="1574"/>
      <c r="J71" s="1574"/>
      <c r="K71" s="1574"/>
    </row>
    <row r="72" spans="1:11" ht="12.75" customHeight="1" x14ac:dyDescent="0.2">
      <c r="A72" s="427" t="s">
        <v>24</v>
      </c>
      <c r="B72" s="429">
        <v>1614</v>
      </c>
      <c r="C72" s="1631">
        <v>3022</v>
      </c>
      <c r="D72" s="1574"/>
      <c r="E72" s="1574"/>
      <c r="F72" s="1574"/>
      <c r="G72" s="1574"/>
      <c r="H72" s="1574"/>
      <c r="I72" s="1574"/>
      <c r="J72" s="1574"/>
      <c r="K72" s="1574"/>
    </row>
    <row r="73" spans="1:11" ht="12.75" customHeight="1" x14ac:dyDescent="0.2">
      <c r="A73" s="427" t="s">
        <v>991</v>
      </c>
      <c r="B73" s="429">
        <v>1620</v>
      </c>
      <c r="C73" s="1631">
        <v>6906</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95132</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16540</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3430</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v>475</v>
      </c>
      <c r="D81" s="1572"/>
      <c r="E81" s="1574"/>
      <c r="F81" s="1574"/>
      <c r="G81" s="1574"/>
      <c r="H81" s="1574"/>
      <c r="I81" s="1574"/>
      <c r="J81" s="1574"/>
      <c r="K81" s="1574"/>
    </row>
    <row r="82" spans="1:11" ht="12.75" customHeight="1" thickBot="1" x14ac:dyDescent="0.25">
      <c r="A82" s="1405" t="s">
        <v>239</v>
      </c>
      <c r="B82" s="1406"/>
      <c r="C82" s="1632">
        <f>SUM(C77:C81)</f>
        <v>20445</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31804</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v>675</v>
      </c>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32479</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v>5700</v>
      </c>
      <c r="E95" s="1616"/>
      <c r="F95" s="1616"/>
      <c r="G95" s="1616"/>
      <c r="H95" s="1616"/>
      <c r="I95" s="1616"/>
      <c r="J95" s="1616"/>
      <c r="K95" s="1616"/>
    </row>
    <row r="96" spans="1:11" ht="12.75" customHeight="1" x14ac:dyDescent="0.2">
      <c r="A96" s="427" t="s">
        <v>388</v>
      </c>
      <c r="B96" s="429">
        <v>1920</v>
      </c>
      <c r="C96" s="1631">
        <v>22785</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9789</v>
      </c>
      <c r="D99" s="1572"/>
      <c r="E99" s="1572"/>
      <c r="F99" s="1572"/>
      <c r="G99" s="1572"/>
      <c r="H99" s="1572"/>
      <c r="I99" s="1574"/>
      <c r="J99" s="1573">
        <v>14370</v>
      </c>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8052</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v>5522</v>
      </c>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14081</v>
      </c>
      <c r="D107" s="1572">
        <v>132</v>
      </c>
      <c r="E107" s="1572"/>
      <c r="F107" s="1572">
        <v>3176</v>
      </c>
      <c r="G107" s="1572"/>
      <c r="H107" s="1572"/>
      <c r="I107" s="1572"/>
      <c r="J107" s="1573">
        <v>728</v>
      </c>
      <c r="K107" s="1572"/>
    </row>
    <row r="108" spans="1:12" ht="12.75" customHeight="1" thickBot="1" x14ac:dyDescent="0.25">
      <c r="A108" s="1405" t="s">
        <v>484</v>
      </c>
      <c r="B108" s="1407"/>
      <c r="C108" s="1632">
        <f>SUM(C95:C107)</f>
        <v>54707</v>
      </c>
      <c r="D108" s="1632">
        <f t="shared" ref="D108:K108" si="3">SUM(D95:D107)</f>
        <v>5832</v>
      </c>
      <c r="E108" s="1632">
        <f t="shared" si="3"/>
        <v>0</v>
      </c>
      <c r="F108" s="1632">
        <f t="shared" si="3"/>
        <v>3176</v>
      </c>
      <c r="G108" s="1632">
        <f t="shared" si="3"/>
        <v>0</v>
      </c>
      <c r="H108" s="1632">
        <f t="shared" si="3"/>
        <v>5522</v>
      </c>
      <c r="I108" s="1632">
        <f t="shared" si="3"/>
        <v>0</v>
      </c>
      <c r="J108" s="1632">
        <f t="shared" si="3"/>
        <v>15098</v>
      </c>
      <c r="K108" s="1593">
        <f t="shared" si="3"/>
        <v>0</v>
      </c>
    </row>
    <row r="109" spans="1:12" ht="14.25" thickTop="1" thickBot="1" x14ac:dyDescent="0.25">
      <c r="A109" s="1408" t="s">
        <v>246</v>
      </c>
      <c r="B109" s="1409" t="s">
        <v>566</v>
      </c>
      <c r="C109" s="1640">
        <f t="shared" ref="C109:K109" si="4">SUM(C12,C18,C40,C63,C67,C75,C82,C93,C108,)</f>
        <v>4281496</v>
      </c>
      <c r="D109" s="1640">
        <f t="shared" si="4"/>
        <v>989712</v>
      </c>
      <c r="E109" s="1640">
        <f t="shared" si="4"/>
        <v>472191</v>
      </c>
      <c r="F109" s="1640">
        <f t="shared" si="4"/>
        <v>301106</v>
      </c>
      <c r="G109" s="1640">
        <f t="shared" si="4"/>
        <v>331780</v>
      </c>
      <c r="H109" s="1640">
        <f t="shared" si="4"/>
        <v>5635</v>
      </c>
      <c r="I109" s="1640">
        <f t="shared" si="4"/>
        <v>29314</v>
      </c>
      <c r="J109" s="1640">
        <f t="shared" si="4"/>
        <v>239422</v>
      </c>
      <c r="K109" s="1628">
        <f t="shared" si="4"/>
        <v>80161</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1893779</v>
      </c>
      <c r="D117" s="1585">
        <v>40000</v>
      </c>
      <c r="E117" s="1572"/>
      <c r="F117" s="1585">
        <v>10000</v>
      </c>
      <c r="G117" s="1585"/>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1893779</v>
      </c>
      <c r="D122" s="1632">
        <f t="shared" si="5"/>
        <v>40000</v>
      </c>
      <c r="E122" s="1632">
        <f t="shared" si="5"/>
        <v>0</v>
      </c>
      <c r="F122" s="1632">
        <f t="shared" si="5"/>
        <v>10000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3808</v>
      </c>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8114</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11922</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7100</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v>12525</v>
      </c>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19625</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3040</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6828</v>
      </c>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321887</v>
      </c>
      <c r="G152" s="1573"/>
      <c r="H152" s="1574"/>
      <c r="I152" s="1574"/>
      <c r="J152" s="1574"/>
      <c r="K152" s="1574"/>
    </row>
    <row r="153" spans="1:11" ht="12.75" customHeight="1" x14ac:dyDescent="0.2">
      <c r="A153" s="427" t="s">
        <v>1048</v>
      </c>
      <c r="B153" s="478">
        <v>3510</v>
      </c>
      <c r="C153" s="1631"/>
      <c r="D153" s="1572"/>
      <c r="E153" s="1639"/>
      <c r="F153" s="1572">
        <v>138838</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460725</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v>257237</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v>50000</v>
      </c>
    </row>
    <row r="168" spans="1:11" ht="14.25" thickTop="1" thickBot="1" x14ac:dyDescent="0.25">
      <c r="A168" s="1269" t="s">
        <v>70</v>
      </c>
      <c r="B168" s="484">
        <v>3999</v>
      </c>
      <c r="C168" s="1653">
        <v>750</v>
      </c>
      <c r="D168" s="1654"/>
      <c r="E168" s="1654"/>
      <c r="F168" s="1654"/>
      <c r="G168" s="1655"/>
      <c r="H168" s="1656"/>
      <c r="I168" s="1655"/>
      <c r="J168" s="1655"/>
      <c r="K168" s="1656"/>
    </row>
    <row r="169" spans="1:11" ht="12.75" customHeight="1" thickTop="1" thickBot="1" x14ac:dyDescent="0.25">
      <c r="A169" s="2251" t="s">
        <v>395</v>
      </c>
      <c r="B169" s="2252"/>
      <c r="C169" s="1657">
        <f t="shared" ref="C169:K169" si="6">SUM(C132,C141,C145,C146:C150,C155,C156:C167,C168)</f>
        <v>299402</v>
      </c>
      <c r="D169" s="1657">
        <f t="shared" si="6"/>
        <v>0</v>
      </c>
      <c r="E169" s="1657">
        <f t="shared" si="6"/>
        <v>0</v>
      </c>
      <c r="F169" s="1657">
        <f t="shared" si="6"/>
        <v>460725</v>
      </c>
      <c r="G169" s="1657">
        <f t="shared" si="6"/>
        <v>0</v>
      </c>
      <c r="H169" s="1657">
        <f t="shared" si="6"/>
        <v>0</v>
      </c>
      <c r="I169" s="1657">
        <f t="shared" si="6"/>
        <v>0</v>
      </c>
      <c r="J169" s="1657">
        <f t="shared" si="6"/>
        <v>0</v>
      </c>
      <c r="K169" s="1623">
        <f t="shared" si="6"/>
        <v>50000</v>
      </c>
    </row>
    <row r="170" spans="1:11" ht="12.75" customHeight="1" thickTop="1" thickBot="1" x14ac:dyDescent="0.25">
      <c r="A170" s="1405" t="s">
        <v>396</v>
      </c>
      <c r="B170" s="1409" t="s">
        <v>571</v>
      </c>
      <c r="C170" s="1640">
        <f t="shared" ref="C170:K170" si="7">SUM(C122,C169)</f>
        <v>2193181</v>
      </c>
      <c r="D170" s="1640">
        <f t="shared" si="7"/>
        <v>40000</v>
      </c>
      <c r="E170" s="1640">
        <f t="shared" si="7"/>
        <v>0</v>
      </c>
      <c r="F170" s="1640">
        <f t="shared" si="7"/>
        <v>470725</v>
      </c>
      <c r="G170" s="1640">
        <f t="shared" si="7"/>
        <v>0</v>
      </c>
      <c r="H170" s="1640">
        <f t="shared" si="7"/>
        <v>0</v>
      </c>
      <c r="I170" s="1640">
        <f t="shared" si="7"/>
        <v>0</v>
      </c>
      <c r="J170" s="1640">
        <f t="shared" si="7"/>
        <v>0</v>
      </c>
      <c r="K170" s="1628">
        <f t="shared" si="7"/>
        <v>50000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3" t="s">
        <v>1475</v>
      </c>
      <c r="B172" s="2254"/>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7" t="s">
        <v>1646</v>
      </c>
      <c r="B175" s="2258"/>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1" t="s">
        <v>1645</v>
      </c>
      <c r="B176" s="2262"/>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59" t="s">
        <v>780</v>
      </c>
      <c r="B181" s="2260"/>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5" t="s">
        <v>1780</v>
      </c>
      <c r="B182" s="2256"/>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157839</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50760</v>
      </c>
      <c r="D193" s="1574"/>
      <c r="E193" s="1639"/>
      <c r="F193" s="1574"/>
      <c r="G193" s="1663"/>
      <c r="H193" s="1574"/>
      <c r="I193" s="1574"/>
      <c r="J193" s="1574"/>
      <c r="K193" s="1574"/>
    </row>
    <row r="194" spans="1:11" ht="12.75" customHeight="1" x14ac:dyDescent="0.2">
      <c r="A194" s="427" t="s">
        <v>1434</v>
      </c>
      <c r="B194" s="429">
        <v>4225</v>
      </c>
      <c r="C194" s="1631">
        <v>104159</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312758</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343143</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v>18708</v>
      </c>
      <c r="D203" s="1572"/>
      <c r="E203" s="1574"/>
      <c r="F203" s="1572"/>
      <c r="G203" s="1572"/>
      <c r="H203" s="1574"/>
      <c r="I203" s="1574"/>
      <c r="J203" s="1574"/>
      <c r="K203" s="1574"/>
    </row>
    <row r="204" spans="1:11" ht="12.75" customHeight="1" thickBot="1" x14ac:dyDescent="0.25">
      <c r="A204" s="1405" t="s">
        <v>397</v>
      </c>
      <c r="B204" s="1406"/>
      <c r="C204" s="1632">
        <f>SUM(C200:C203)</f>
        <v>361851</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8977</v>
      </c>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8977</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1206</v>
      </c>
      <c r="D213" s="1572"/>
      <c r="E213" s="1574"/>
      <c r="F213" s="1572"/>
      <c r="G213" s="1572"/>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1206</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57534</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14070</v>
      </c>
      <c r="D263" s="1650"/>
      <c r="E263" s="1574"/>
      <c r="F263" s="1650"/>
      <c r="G263" s="1650"/>
      <c r="H263" s="1574"/>
      <c r="I263" s="1574"/>
      <c r="J263" s="1574"/>
      <c r="K263" s="1574"/>
    </row>
    <row r="264" spans="1:11" ht="12.75" customHeight="1" thickTop="1" thickBot="1" x14ac:dyDescent="0.25">
      <c r="A264" s="427" t="s">
        <v>374</v>
      </c>
      <c r="B264" s="429">
        <v>4992</v>
      </c>
      <c r="C264" s="1649">
        <v>6444</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762840</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762840</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7237517</v>
      </c>
      <c r="D268" s="1640">
        <f t="shared" si="12"/>
        <v>1029712</v>
      </c>
      <c r="E268" s="1640">
        <f t="shared" si="12"/>
        <v>472191</v>
      </c>
      <c r="F268" s="1640">
        <f t="shared" si="12"/>
        <v>771831</v>
      </c>
      <c r="G268" s="1640">
        <f t="shared" si="12"/>
        <v>331780</v>
      </c>
      <c r="H268" s="1640">
        <f t="shared" si="12"/>
        <v>5635</v>
      </c>
      <c r="I268" s="1640">
        <f t="shared" si="12"/>
        <v>29314</v>
      </c>
      <c r="J268" s="1640">
        <f t="shared" si="12"/>
        <v>239422</v>
      </c>
      <c r="K268" s="1628">
        <f t="shared" si="12"/>
        <v>130161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110" zoomScaleNormal="110" workbookViewId="0">
      <pane ySplit="2" topLeftCell="A104" activePane="bottomLeft" state="frozen"/>
      <selection activeCell="B33" sqref="B33"/>
      <selection pane="bottomLeft" activeCell="B33" sqref="B3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2410591</v>
      </c>
      <c r="D5" s="1572">
        <v>351497</v>
      </c>
      <c r="E5" s="1572">
        <v>22716</v>
      </c>
      <c r="F5" s="1572">
        <v>44332</v>
      </c>
      <c r="G5" s="1572"/>
      <c r="H5" s="1572">
        <v>2492</v>
      </c>
      <c r="I5" s="1573"/>
      <c r="J5" s="1573"/>
      <c r="K5" s="1671">
        <f>SUM(C5:J5)</f>
        <v>2831628</v>
      </c>
      <c r="L5" s="1572">
        <v>3002857</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v>196141</v>
      </c>
      <c r="D7" s="1573">
        <v>38068</v>
      </c>
      <c r="E7" s="1573">
        <v>25800</v>
      </c>
      <c r="F7" s="1573">
        <v>19232</v>
      </c>
      <c r="G7" s="1573">
        <v>1363</v>
      </c>
      <c r="H7" s="1573"/>
      <c r="I7" s="1573"/>
      <c r="J7" s="1573"/>
      <c r="K7" s="1671">
        <f t="shared" ref="K7:K32" si="0">SUM(C7:J7)</f>
        <v>280604</v>
      </c>
      <c r="L7" s="1572">
        <v>313220</v>
      </c>
    </row>
    <row r="8" spans="1:14" x14ac:dyDescent="0.2">
      <c r="A8" s="1273" t="s">
        <v>163</v>
      </c>
      <c r="B8" s="503">
        <v>1200</v>
      </c>
      <c r="C8" s="1572">
        <v>593801</v>
      </c>
      <c r="D8" s="1572">
        <v>112421</v>
      </c>
      <c r="E8" s="1572">
        <v>3048</v>
      </c>
      <c r="F8" s="1572">
        <v>3664</v>
      </c>
      <c r="G8" s="1572"/>
      <c r="H8" s="1572"/>
      <c r="I8" s="1573"/>
      <c r="J8" s="1573"/>
      <c r="K8" s="1671">
        <f t="shared" si="0"/>
        <v>712934</v>
      </c>
      <c r="L8" s="1572">
        <v>729725</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91341</v>
      </c>
      <c r="D10" s="1572">
        <v>4916</v>
      </c>
      <c r="E10" s="1572">
        <v>19472</v>
      </c>
      <c r="F10" s="1572">
        <v>35910</v>
      </c>
      <c r="G10" s="1572">
        <v>5439</v>
      </c>
      <c r="H10" s="1572"/>
      <c r="I10" s="1573"/>
      <c r="J10" s="1573"/>
      <c r="K10" s="1671">
        <f t="shared" si="0"/>
        <v>157078</v>
      </c>
      <c r="L10" s="1572">
        <v>224048</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v>268110</v>
      </c>
      <c r="D13" s="1572">
        <v>35924</v>
      </c>
      <c r="E13" s="1572">
        <v>44303</v>
      </c>
      <c r="F13" s="1572">
        <v>15065</v>
      </c>
      <c r="G13" s="1572">
        <v>57783</v>
      </c>
      <c r="H13" s="1572"/>
      <c r="I13" s="1573"/>
      <c r="J13" s="1573"/>
      <c r="K13" s="1671">
        <f t="shared" si="0"/>
        <v>421185</v>
      </c>
      <c r="L13" s="1572">
        <v>533398</v>
      </c>
    </row>
    <row r="14" spans="1:14" x14ac:dyDescent="0.2">
      <c r="A14" s="1273" t="s">
        <v>957</v>
      </c>
      <c r="B14" s="503">
        <v>1500</v>
      </c>
      <c r="C14" s="1572">
        <v>129052</v>
      </c>
      <c r="D14" s="1572">
        <v>1330</v>
      </c>
      <c r="E14" s="1572">
        <v>22031</v>
      </c>
      <c r="F14" s="1572">
        <v>41053</v>
      </c>
      <c r="G14" s="1572"/>
      <c r="H14" s="1572">
        <v>5891</v>
      </c>
      <c r="I14" s="1573"/>
      <c r="J14" s="1573"/>
      <c r="K14" s="1671">
        <f t="shared" si="0"/>
        <v>199357</v>
      </c>
      <c r="L14" s="1572">
        <v>250896</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v>3376</v>
      </c>
      <c r="D16" s="1572">
        <v>25</v>
      </c>
      <c r="E16" s="1572"/>
      <c r="F16" s="1572">
        <v>1462</v>
      </c>
      <c r="G16" s="1572"/>
      <c r="H16" s="1572"/>
      <c r="I16" s="1573"/>
      <c r="J16" s="1573"/>
      <c r="K16" s="1671">
        <f t="shared" si="0"/>
        <v>4863</v>
      </c>
      <c r="L16" s="1572">
        <v>5600</v>
      </c>
    </row>
    <row r="17" spans="1:12" x14ac:dyDescent="0.2">
      <c r="A17" s="1273" t="s">
        <v>719</v>
      </c>
      <c r="B17" s="503" t="s">
        <v>161</v>
      </c>
      <c r="C17" s="1573">
        <v>24671</v>
      </c>
      <c r="D17" s="1573">
        <v>372</v>
      </c>
      <c r="E17" s="1573">
        <v>1960</v>
      </c>
      <c r="F17" s="1573">
        <v>248</v>
      </c>
      <c r="G17" s="1573"/>
      <c r="H17" s="1573"/>
      <c r="I17" s="1573"/>
      <c r="J17" s="1573"/>
      <c r="K17" s="1671">
        <f t="shared" si="0"/>
        <v>27251</v>
      </c>
      <c r="L17" s="1572">
        <v>34530</v>
      </c>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v>24249</v>
      </c>
      <c r="I22" s="1672"/>
      <c r="J22" s="1581"/>
      <c r="K22" s="1671">
        <f t="shared" si="0"/>
        <v>24249</v>
      </c>
      <c r="L22" s="1576">
        <v>20000</v>
      </c>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3717083</v>
      </c>
      <c r="D33" s="1673">
        <f t="shared" ref="D33:L33" si="1">SUM(D5:D32)</f>
        <v>544553</v>
      </c>
      <c r="E33" s="1673">
        <f t="shared" si="1"/>
        <v>139330</v>
      </c>
      <c r="F33" s="1673">
        <f t="shared" si="1"/>
        <v>160966</v>
      </c>
      <c r="G33" s="1673">
        <f t="shared" si="1"/>
        <v>64585</v>
      </c>
      <c r="H33" s="1673">
        <f t="shared" si="1"/>
        <v>32632</v>
      </c>
      <c r="I33" s="1673">
        <f t="shared" si="1"/>
        <v>0</v>
      </c>
      <c r="J33" s="1673">
        <f t="shared" si="1"/>
        <v>0</v>
      </c>
      <c r="K33" s="1673">
        <f t="shared" si="1"/>
        <v>4659149</v>
      </c>
      <c r="L33" s="1673">
        <f t="shared" si="1"/>
        <v>5114274</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v>63619</v>
      </c>
      <c r="D37" s="1572">
        <v>9326</v>
      </c>
      <c r="E37" s="1572">
        <v>720</v>
      </c>
      <c r="F37" s="1572">
        <v>19</v>
      </c>
      <c r="G37" s="1572"/>
      <c r="H37" s="1572"/>
      <c r="I37" s="1573"/>
      <c r="J37" s="1573"/>
      <c r="K37" s="1671">
        <f t="shared" si="2"/>
        <v>73684</v>
      </c>
      <c r="L37" s="1572">
        <v>76625</v>
      </c>
    </row>
    <row r="38" spans="1:14" x14ac:dyDescent="0.2">
      <c r="A38" s="1273" t="s">
        <v>196</v>
      </c>
      <c r="B38" s="503">
        <v>2130</v>
      </c>
      <c r="C38" s="1572">
        <v>31421</v>
      </c>
      <c r="D38" s="1572">
        <v>3786</v>
      </c>
      <c r="E38" s="1572">
        <v>1764</v>
      </c>
      <c r="F38" s="1572">
        <v>720</v>
      </c>
      <c r="G38" s="1572"/>
      <c r="H38" s="1572"/>
      <c r="I38" s="1573"/>
      <c r="J38" s="1573"/>
      <c r="K38" s="1671">
        <f t="shared" si="2"/>
        <v>37691</v>
      </c>
      <c r="L38" s="1572">
        <v>48525</v>
      </c>
    </row>
    <row r="39" spans="1:14" x14ac:dyDescent="0.2">
      <c r="A39" s="1273" t="s">
        <v>197</v>
      </c>
      <c r="B39" s="503">
        <v>2140</v>
      </c>
      <c r="C39" s="1572">
        <v>72514</v>
      </c>
      <c r="D39" s="1572">
        <v>12676</v>
      </c>
      <c r="E39" s="1572">
        <v>912</v>
      </c>
      <c r="F39" s="1572">
        <v>692</v>
      </c>
      <c r="G39" s="1572"/>
      <c r="H39" s="1572"/>
      <c r="I39" s="1573"/>
      <c r="J39" s="1573"/>
      <c r="K39" s="1671">
        <f t="shared" si="2"/>
        <v>86794</v>
      </c>
      <c r="L39" s="1572">
        <v>89025</v>
      </c>
    </row>
    <row r="40" spans="1:14" x14ac:dyDescent="0.2">
      <c r="A40" s="1273" t="s">
        <v>198</v>
      </c>
      <c r="B40" s="503">
        <v>2150</v>
      </c>
      <c r="C40" s="1572">
        <v>52188</v>
      </c>
      <c r="D40" s="1572">
        <v>8787</v>
      </c>
      <c r="E40" s="1572">
        <v>1272</v>
      </c>
      <c r="F40" s="1572">
        <v>723</v>
      </c>
      <c r="G40" s="1572"/>
      <c r="H40" s="1572"/>
      <c r="I40" s="1573"/>
      <c r="J40" s="1573"/>
      <c r="K40" s="1671">
        <f t="shared" si="2"/>
        <v>62970</v>
      </c>
      <c r="L40" s="1572">
        <v>64415</v>
      </c>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219742</v>
      </c>
      <c r="D42" s="1673">
        <f t="shared" ref="D42:L42" si="3">SUM(D36:D41)</f>
        <v>34575</v>
      </c>
      <c r="E42" s="1673">
        <f t="shared" si="3"/>
        <v>4668</v>
      </c>
      <c r="F42" s="1673">
        <f t="shared" si="3"/>
        <v>2154</v>
      </c>
      <c r="G42" s="1673">
        <f t="shared" si="3"/>
        <v>0</v>
      </c>
      <c r="H42" s="1673">
        <f t="shared" si="3"/>
        <v>0</v>
      </c>
      <c r="I42" s="1673">
        <f t="shared" si="3"/>
        <v>0</v>
      </c>
      <c r="J42" s="1673">
        <f t="shared" si="3"/>
        <v>0</v>
      </c>
      <c r="K42" s="1673">
        <f t="shared" si="3"/>
        <v>261139</v>
      </c>
      <c r="L42" s="1673">
        <f t="shared" si="3"/>
        <v>278590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1000</v>
      </c>
      <c r="D44" s="1585">
        <v>102</v>
      </c>
      <c r="E44" s="1585">
        <v>2171</v>
      </c>
      <c r="F44" s="1585"/>
      <c r="G44" s="1585"/>
      <c r="H44" s="1585"/>
      <c r="I44" s="1573"/>
      <c r="J44" s="1573"/>
      <c r="K44" s="1677">
        <f>SUM(C44:J44)</f>
        <v>3273</v>
      </c>
      <c r="L44" s="1585">
        <v>26596</v>
      </c>
    </row>
    <row r="45" spans="1:14" x14ac:dyDescent="0.2">
      <c r="A45" s="1273" t="s">
        <v>810</v>
      </c>
      <c r="B45" s="503">
        <v>2220</v>
      </c>
      <c r="C45" s="1572">
        <v>104632</v>
      </c>
      <c r="D45" s="1572">
        <v>16144</v>
      </c>
      <c r="E45" s="1572">
        <v>1650</v>
      </c>
      <c r="F45" s="1572">
        <v>2112</v>
      </c>
      <c r="G45" s="1572"/>
      <c r="H45" s="1572"/>
      <c r="I45" s="1573"/>
      <c r="J45" s="1573"/>
      <c r="K45" s="1677">
        <f>SUM(C45:J45)</f>
        <v>124538</v>
      </c>
      <c r="L45" s="1572">
        <v>127385</v>
      </c>
    </row>
    <row r="46" spans="1:14" x14ac:dyDescent="0.2">
      <c r="A46" s="1273" t="s">
        <v>811</v>
      </c>
      <c r="B46" s="503">
        <v>2230</v>
      </c>
      <c r="C46" s="1572"/>
      <c r="D46" s="1572"/>
      <c r="E46" s="1572">
        <v>6113</v>
      </c>
      <c r="F46" s="1572"/>
      <c r="G46" s="1572"/>
      <c r="H46" s="1572"/>
      <c r="I46" s="1573"/>
      <c r="J46" s="1573"/>
      <c r="K46" s="1677">
        <f>SUM(C46:J46)</f>
        <v>6113</v>
      </c>
      <c r="L46" s="1572">
        <v>9500</v>
      </c>
    </row>
    <row r="47" spans="1:14" ht="12.75" customHeight="1" thickBot="1" x14ac:dyDescent="0.25">
      <c r="A47" s="1379" t="s">
        <v>557</v>
      </c>
      <c r="B47" s="1380" t="s">
        <v>32</v>
      </c>
      <c r="C47" s="1673">
        <f>SUM(C44:C46)</f>
        <v>105632</v>
      </c>
      <c r="D47" s="1673">
        <f t="shared" ref="D47:K47" si="4">SUM(D44:D46)</f>
        <v>16246</v>
      </c>
      <c r="E47" s="1673">
        <f t="shared" si="4"/>
        <v>9934</v>
      </c>
      <c r="F47" s="1673">
        <f t="shared" si="4"/>
        <v>2112</v>
      </c>
      <c r="G47" s="1673">
        <f t="shared" si="4"/>
        <v>0</v>
      </c>
      <c r="H47" s="1673">
        <f t="shared" si="4"/>
        <v>0</v>
      </c>
      <c r="I47" s="1673">
        <f t="shared" si="4"/>
        <v>0</v>
      </c>
      <c r="J47" s="1673">
        <f t="shared" si="4"/>
        <v>0</v>
      </c>
      <c r="K47" s="1673">
        <f t="shared" si="4"/>
        <v>133924</v>
      </c>
      <c r="L47" s="1673">
        <f>SUM(L44:L46)</f>
        <v>163481</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v>42416</v>
      </c>
      <c r="F49" s="1585">
        <v>150</v>
      </c>
      <c r="G49" s="1585"/>
      <c r="H49" s="1585">
        <v>5020</v>
      </c>
      <c r="I49" s="1573"/>
      <c r="J49" s="1573"/>
      <c r="K49" s="1677">
        <f>SUM(C49:J49)</f>
        <v>47586</v>
      </c>
      <c r="L49" s="1585">
        <v>75100</v>
      </c>
    </row>
    <row r="50" spans="1:14" x14ac:dyDescent="0.2">
      <c r="A50" s="1273" t="s">
        <v>813</v>
      </c>
      <c r="B50" s="503">
        <v>2320</v>
      </c>
      <c r="C50" s="1572">
        <v>188951</v>
      </c>
      <c r="D50" s="1572">
        <v>6870</v>
      </c>
      <c r="E50" s="1572">
        <v>8235</v>
      </c>
      <c r="F50" s="1572">
        <v>2307</v>
      </c>
      <c r="G50" s="1572"/>
      <c r="H50" s="1572">
        <v>1108</v>
      </c>
      <c r="I50" s="1573"/>
      <c r="J50" s="1573"/>
      <c r="K50" s="1677">
        <f>SUM(C50:J50)</f>
        <v>207471</v>
      </c>
      <c r="L50" s="1572">
        <v>205550</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v>500</v>
      </c>
    </row>
    <row r="53" spans="1:14" ht="12.75" customHeight="1" thickBot="1" x14ac:dyDescent="0.25">
      <c r="A53" s="1379" t="s">
        <v>712</v>
      </c>
      <c r="B53" s="1380" t="s">
        <v>33</v>
      </c>
      <c r="C53" s="1673">
        <f>SUM(C49:C52)</f>
        <v>188951</v>
      </c>
      <c r="D53" s="1673">
        <f t="shared" ref="D53:L53" si="5">SUM(D49:D52)</f>
        <v>6870</v>
      </c>
      <c r="E53" s="1673">
        <f t="shared" si="5"/>
        <v>50651</v>
      </c>
      <c r="F53" s="1673">
        <f t="shared" si="5"/>
        <v>2457</v>
      </c>
      <c r="G53" s="1673">
        <f t="shared" si="5"/>
        <v>0</v>
      </c>
      <c r="H53" s="1673">
        <f t="shared" si="5"/>
        <v>6128</v>
      </c>
      <c r="I53" s="1673">
        <f t="shared" si="5"/>
        <v>0</v>
      </c>
      <c r="J53" s="1673">
        <f t="shared" si="5"/>
        <v>0</v>
      </c>
      <c r="K53" s="1673">
        <f t="shared" si="5"/>
        <v>255057</v>
      </c>
      <c r="L53" s="1673">
        <f t="shared" si="5"/>
        <v>281150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545042</v>
      </c>
      <c r="D55" s="1585">
        <v>79506</v>
      </c>
      <c r="E55" s="1585">
        <v>20136</v>
      </c>
      <c r="F55" s="1585">
        <v>1594</v>
      </c>
      <c r="G55" s="1585"/>
      <c r="H55" s="1585">
        <v>1630</v>
      </c>
      <c r="I55" s="1573"/>
      <c r="J55" s="1573"/>
      <c r="K55" s="1677">
        <f>SUM(C55:J55)</f>
        <v>647908</v>
      </c>
      <c r="L55" s="1585">
        <v>660765</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545042</v>
      </c>
      <c r="D57" s="1678">
        <f t="shared" ref="D57:K57" si="6">SUM(D55:D56)</f>
        <v>79506</v>
      </c>
      <c r="E57" s="1678">
        <f t="shared" si="6"/>
        <v>20136</v>
      </c>
      <c r="F57" s="1678">
        <f t="shared" si="6"/>
        <v>1594</v>
      </c>
      <c r="G57" s="1678">
        <f t="shared" si="6"/>
        <v>0</v>
      </c>
      <c r="H57" s="1678">
        <f t="shared" si="6"/>
        <v>1630</v>
      </c>
      <c r="I57" s="1678">
        <f t="shared" si="6"/>
        <v>0</v>
      </c>
      <c r="J57" s="1678">
        <f t="shared" si="6"/>
        <v>0</v>
      </c>
      <c r="K57" s="1678">
        <f t="shared" si="6"/>
        <v>647908</v>
      </c>
      <c r="L57" s="1673">
        <f>SUM(L55:L56)</f>
        <v>660765</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90900</v>
      </c>
      <c r="D60" s="1572">
        <v>16508</v>
      </c>
      <c r="E60" s="1572">
        <v>39967</v>
      </c>
      <c r="F60" s="1572">
        <v>1349</v>
      </c>
      <c r="G60" s="1572"/>
      <c r="H60" s="1572">
        <v>49</v>
      </c>
      <c r="I60" s="1573"/>
      <c r="J60" s="1573"/>
      <c r="K60" s="1677">
        <f t="shared" si="7"/>
        <v>148773</v>
      </c>
      <c r="L60" s="1572">
        <v>149650</v>
      </c>
      <c r="M60" s="501"/>
      <c r="N60" s="501"/>
    </row>
    <row r="61" spans="1:14" s="321" customFormat="1" x14ac:dyDescent="0.2">
      <c r="A61" s="1273" t="s">
        <v>195</v>
      </c>
      <c r="B61" s="503">
        <v>2540</v>
      </c>
      <c r="C61" s="1572"/>
      <c r="D61" s="1572">
        <v>149</v>
      </c>
      <c r="E61" s="1572"/>
      <c r="F61" s="1572"/>
      <c r="G61" s="1572"/>
      <c r="H61" s="1572"/>
      <c r="I61" s="1573"/>
      <c r="J61" s="1573"/>
      <c r="K61" s="1677">
        <f t="shared" si="7"/>
        <v>149</v>
      </c>
      <c r="L61" s="1572">
        <v>15700</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152877</v>
      </c>
      <c r="D63" s="1572">
        <v>44961</v>
      </c>
      <c r="E63" s="1572">
        <v>1934</v>
      </c>
      <c r="F63" s="1572">
        <v>199948</v>
      </c>
      <c r="G63" s="1572">
        <v>6686</v>
      </c>
      <c r="H63" s="1572">
        <v>1665</v>
      </c>
      <c r="I63" s="1573"/>
      <c r="J63" s="1573"/>
      <c r="K63" s="1677">
        <f t="shared" si="7"/>
        <v>408071</v>
      </c>
      <c r="L63" s="1572">
        <v>450757</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243777</v>
      </c>
      <c r="D65" s="1673">
        <f t="shared" ref="D65:L65" si="8">SUM(D59:D64)</f>
        <v>61618</v>
      </c>
      <c r="E65" s="1673">
        <f t="shared" si="8"/>
        <v>41901</v>
      </c>
      <c r="F65" s="1673">
        <f t="shared" si="8"/>
        <v>201297</v>
      </c>
      <c r="G65" s="1673">
        <f t="shared" si="8"/>
        <v>6686</v>
      </c>
      <c r="H65" s="1673">
        <f t="shared" si="8"/>
        <v>1714</v>
      </c>
      <c r="I65" s="1673">
        <f t="shared" si="8"/>
        <v>0</v>
      </c>
      <c r="J65" s="1673">
        <f t="shared" si="8"/>
        <v>0</v>
      </c>
      <c r="K65" s="1673">
        <f t="shared" si="8"/>
        <v>556993</v>
      </c>
      <c r="L65" s="1673">
        <f t="shared" si="8"/>
        <v>616107</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v>6000</v>
      </c>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v>26081</v>
      </c>
      <c r="D71" s="1572">
        <v>6386</v>
      </c>
      <c r="E71" s="1572"/>
      <c r="F71" s="1572"/>
      <c r="G71" s="1572"/>
      <c r="H71" s="1572"/>
      <c r="I71" s="1573"/>
      <c r="J71" s="1573"/>
      <c r="K71" s="1677">
        <f>SUM(C71:J71)</f>
        <v>32467</v>
      </c>
      <c r="L71" s="1572">
        <v>47425</v>
      </c>
      <c r="M71" s="501"/>
      <c r="N71" s="501"/>
    </row>
    <row r="72" spans="1:14" s="321" customFormat="1" ht="12.75" customHeight="1" thickBot="1" x14ac:dyDescent="0.25">
      <c r="A72" s="1379" t="s">
        <v>37</v>
      </c>
      <c r="B72" s="1382" t="s">
        <v>36</v>
      </c>
      <c r="C72" s="1673">
        <f>SUM(C67:C71)</f>
        <v>26081</v>
      </c>
      <c r="D72" s="1673">
        <f t="shared" ref="D72:K72" si="9">SUM(D67:D71)</f>
        <v>6386</v>
      </c>
      <c r="E72" s="1673">
        <f t="shared" si="9"/>
        <v>0</v>
      </c>
      <c r="F72" s="1673">
        <f t="shared" si="9"/>
        <v>0</v>
      </c>
      <c r="G72" s="1673">
        <f t="shared" si="9"/>
        <v>0</v>
      </c>
      <c r="H72" s="1673">
        <f t="shared" si="9"/>
        <v>0</v>
      </c>
      <c r="I72" s="1673">
        <f t="shared" si="9"/>
        <v>0</v>
      </c>
      <c r="J72" s="1673">
        <f t="shared" si="9"/>
        <v>0</v>
      </c>
      <c r="K72" s="1673">
        <f t="shared" si="9"/>
        <v>32467</v>
      </c>
      <c r="L72" s="1673">
        <f>SUM(L67:L71)</f>
        <v>53425</v>
      </c>
      <c r="M72" s="501"/>
      <c r="N72" s="501"/>
    </row>
    <row r="73" spans="1:14" s="321" customFormat="1" ht="14.25" thickTop="1" thickBot="1" x14ac:dyDescent="0.25">
      <c r="A73" s="1279" t="s">
        <v>973</v>
      </c>
      <c r="B73" s="515" t="s">
        <v>570</v>
      </c>
      <c r="C73" s="1648"/>
      <c r="D73" s="1648"/>
      <c r="E73" s="1648"/>
      <c r="F73" s="1648">
        <v>2011</v>
      </c>
      <c r="G73" s="1648"/>
      <c r="H73" s="1648"/>
      <c r="I73" s="1626"/>
      <c r="J73" s="1626"/>
      <c r="K73" s="1673">
        <f>SUM(C73:J73)</f>
        <v>2011</v>
      </c>
      <c r="L73" s="1650">
        <v>300</v>
      </c>
      <c r="M73" s="501"/>
      <c r="N73" s="501"/>
    </row>
    <row r="74" spans="1:14" ht="12.75" customHeight="1" thickTop="1" thickBot="1" x14ac:dyDescent="0.25">
      <c r="A74" s="1379" t="s">
        <v>806</v>
      </c>
      <c r="B74" s="1383">
        <v>2000</v>
      </c>
      <c r="C74" s="1680">
        <f>SUM(C42,C47,C53,C57,C65,C72,C73)</f>
        <v>1329225</v>
      </c>
      <c r="D74" s="1680">
        <f t="shared" ref="D74:K74" si="10">SUM(D42,D47,D53,D57,D65,D72,D73)</f>
        <v>205201</v>
      </c>
      <c r="E74" s="1680">
        <f t="shared" si="10"/>
        <v>127290</v>
      </c>
      <c r="F74" s="1680">
        <f t="shared" si="10"/>
        <v>211625</v>
      </c>
      <c r="G74" s="1680">
        <f t="shared" si="10"/>
        <v>6686</v>
      </c>
      <c r="H74" s="1680">
        <f t="shared" si="10"/>
        <v>9472</v>
      </c>
      <c r="I74" s="1680">
        <f t="shared" si="10"/>
        <v>0</v>
      </c>
      <c r="J74" s="1680">
        <f t="shared" si="10"/>
        <v>0</v>
      </c>
      <c r="K74" s="1680">
        <f t="shared" si="10"/>
        <v>1889499</v>
      </c>
      <c r="L74" s="1680">
        <f>SUM(L42,L47,L53,L57,L65,L72,L73)</f>
        <v>2053818</v>
      </c>
    </row>
    <row r="75" spans="1:14" s="254" customFormat="1" ht="15.75" customHeight="1" thickTop="1" thickBot="1" x14ac:dyDescent="0.25">
      <c r="A75" s="1347" t="s">
        <v>47</v>
      </c>
      <c r="B75" s="1348" t="s">
        <v>571</v>
      </c>
      <c r="C75" s="1648"/>
      <c r="D75" s="1648"/>
      <c r="E75" s="1648">
        <v>245</v>
      </c>
      <c r="F75" s="1648">
        <v>1592</v>
      </c>
      <c r="G75" s="1648"/>
      <c r="H75" s="1648"/>
      <c r="I75" s="1626"/>
      <c r="J75" s="1626"/>
      <c r="K75" s="1673">
        <f>SUM(C75:J75)</f>
        <v>1837</v>
      </c>
      <c r="L75" s="1650">
        <v>3700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11441</v>
      </c>
      <c r="F78" s="1672"/>
      <c r="G78" s="1672"/>
      <c r="H78" s="1681"/>
      <c r="I78" s="1581"/>
      <c r="J78" s="1581"/>
      <c r="K78" s="1671">
        <f t="shared" ref="K78:K83" si="11">SUM(C78:J78)</f>
        <v>11441</v>
      </c>
      <c r="L78" s="1585">
        <v>12000</v>
      </c>
    </row>
    <row r="79" spans="1:14" x14ac:dyDescent="0.2">
      <c r="A79" s="1273" t="s">
        <v>301</v>
      </c>
      <c r="B79" s="503">
        <v>4120</v>
      </c>
      <c r="C79" s="1672"/>
      <c r="D79" s="1672"/>
      <c r="E79" s="1572">
        <v>67082</v>
      </c>
      <c r="F79" s="1672"/>
      <c r="G79" s="1672"/>
      <c r="H79" s="1572"/>
      <c r="I79" s="1581"/>
      <c r="J79" s="1581"/>
      <c r="K79" s="1671">
        <f t="shared" si="11"/>
        <v>67082</v>
      </c>
      <c r="L79" s="1572">
        <v>48000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v>500</v>
      </c>
      <c r="F81" s="1672"/>
      <c r="G81" s="1672"/>
      <c r="H81" s="1572"/>
      <c r="I81" s="1581"/>
      <c r="J81" s="1581"/>
      <c r="K81" s="1671">
        <f t="shared" si="11"/>
        <v>500</v>
      </c>
      <c r="L81" s="1572">
        <v>8000</v>
      </c>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79023</v>
      </c>
      <c r="F84" s="1672"/>
      <c r="G84" s="1672"/>
      <c r="H84" s="1673">
        <f>SUM(H78:H83)</f>
        <v>0</v>
      </c>
      <c r="I84" s="1581"/>
      <c r="J84" s="1581"/>
      <c r="K84" s="1673">
        <f>SUM(K78:K83)</f>
        <v>79023</v>
      </c>
      <c r="L84" s="1673">
        <f>SUM(L78:L83)</f>
        <v>68000</v>
      </c>
    </row>
    <row r="85" spans="1:12" ht="12.75" customHeight="1" thickTop="1" thickBot="1" x14ac:dyDescent="0.25">
      <c r="A85" s="1280" t="s">
        <v>253</v>
      </c>
      <c r="B85" s="517">
        <v>4210</v>
      </c>
      <c r="C85" s="1672"/>
      <c r="D85" s="1672"/>
      <c r="E85" s="1682"/>
      <c r="F85" s="1672"/>
      <c r="G85" s="1672"/>
      <c r="H85" s="1629"/>
      <c r="I85" s="1581"/>
      <c r="J85" s="1581"/>
      <c r="K85" s="1680">
        <f>H85</f>
        <v>0</v>
      </c>
      <c r="L85" s="1625">
        <v>7500</v>
      </c>
    </row>
    <row r="86" spans="1:12" ht="12.75" customHeight="1" thickTop="1" thickBot="1" x14ac:dyDescent="0.25">
      <c r="A86" s="1281" t="s">
        <v>694</v>
      </c>
      <c r="B86" s="518">
        <v>4220</v>
      </c>
      <c r="C86" s="1672"/>
      <c r="D86" s="1672"/>
      <c r="E86" s="1683"/>
      <c r="F86" s="1672"/>
      <c r="G86" s="1672"/>
      <c r="H86" s="1573">
        <v>167061</v>
      </c>
      <c r="I86" s="1581"/>
      <c r="J86" s="1581"/>
      <c r="K86" s="1680">
        <f t="shared" ref="K86:K98" si="12">H86</f>
        <v>167061</v>
      </c>
      <c r="L86" s="1625">
        <v>345000</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167061</v>
      </c>
      <c r="I92" s="1581"/>
      <c r="J92" s="1581"/>
      <c r="K92" s="1680">
        <f t="shared" si="12"/>
        <v>167061</v>
      </c>
      <c r="L92" s="1673">
        <f>SUM(L85:L91)</f>
        <v>352500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79023</v>
      </c>
      <c r="F102" s="1672"/>
      <c r="G102" s="1672"/>
      <c r="H102" s="1680">
        <f>SUM(H84,H92,H100,H101)</f>
        <v>167061</v>
      </c>
      <c r="I102" s="1581"/>
      <c r="J102" s="1581"/>
      <c r="K102" s="1680">
        <f>SUM(K84,K92,K100,K101)</f>
        <v>246084</v>
      </c>
      <c r="L102" s="1680">
        <f>SUM(L84,L92,L100,L101)</f>
        <v>420500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5046308</v>
      </c>
      <c r="D114" s="1673">
        <f t="shared" ref="D114:K114" si="13">SUM(D33,D74,D75,D102,D112,D113)</f>
        <v>749754</v>
      </c>
      <c r="E114" s="1673">
        <f t="shared" si="13"/>
        <v>345888</v>
      </c>
      <c r="F114" s="1673">
        <f t="shared" si="13"/>
        <v>374183</v>
      </c>
      <c r="G114" s="1673">
        <f t="shared" si="13"/>
        <v>71271</v>
      </c>
      <c r="H114" s="1673">
        <f>SUM(H33,H74,H75,H102,H112,H113)</f>
        <v>209165</v>
      </c>
      <c r="I114" s="1673">
        <f t="shared" si="13"/>
        <v>0</v>
      </c>
      <c r="J114" s="1673">
        <f t="shared" si="13"/>
        <v>0</v>
      </c>
      <c r="K114" s="1673">
        <f t="shared" si="13"/>
        <v>6796569</v>
      </c>
      <c r="L114" s="1673">
        <f>SUM(L33,L74,L75,L102,L112,L113)</f>
        <v>7592292</v>
      </c>
    </row>
    <row r="115" spans="1:14" ht="13.5" thickTop="1" x14ac:dyDescent="0.2">
      <c r="A115" s="2288" t="s">
        <v>989</v>
      </c>
      <c r="B115" s="2289"/>
      <c r="C115" s="1674"/>
      <c r="D115" s="1674"/>
      <c r="E115" s="1674"/>
      <c r="F115" s="1674"/>
      <c r="G115" s="1674"/>
      <c r="H115" s="1674"/>
      <c r="I115" s="1674"/>
      <c r="J115" s="1674"/>
      <c r="K115" s="1688">
        <f>'Revenues 9-14'!C268-'Expenditures 15-22'!K114</f>
        <v>440948</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6" t="s">
        <v>293</v>
      </c>
      <c r="B117" s="2267"/>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252929</v>
      </c>
      <c r="D124" s="1572">
        <v>44199</v>
      </c>
      <c r="E124" s="1572">
        <v>94305</v>
      </c>
      <c r="F124" s="1572">
        <v>203915</v>
      </c>
      <c r="G124" s="1572">
        <v>75015</v>
      </c>
      <c r="H124" s="1572"/>
      <c r="I124" s="1573"/>
      <c r="J124" s="1573"/>
      <c r="K124" s="1673">
        <f>SUM(C124:J124)</f>
        <v>670363</v>
      </c>
      <c r="L124" s="1572">
        <v>1036970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252929</v>
      </c>
      <c r="D127" s="1673">
        <f t="shared" ref="D127:L127" si="14">SUM(D122:D126)</f>
        <v>44199</v>
      </c>
      <c r="E127" s="1673">
        <f t="shared" si="14"/>
        <v>94305</v>
      </c>
      <c r="F127" s="1673">
        <f t="shared" si="14"/>
        <v>203915</v>
      </c>
      <c r="G127" s="1673">
        <f t="shared" si="14"/>
        <v>75015</v>
      </c>
      <c r="H127" s="1673">
        <f t="shared" si="14"/>
        <v>0</v>
      </c>
      <c r="I127" s="1673">
        <f t="shared" si="14"/>
        <v>0</v>
      </c>
      <c r="J127" s="1673">
        <f t="shared" si="14"/>
        <v>0</v>
      </c>
      <c r="K127" s="1673">
        <f t="shared" si="14"/>
        <v>670363</v>
      </c>
      <c r="L127" s="1673">
        <f t="shared" si="14"/>
        <v>1036970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252929</v>
      </c>
      <c r="D129" s="1680">
        <f t="shared" ref="D129:L129" si="15">SUM(D120,D127,D128)</f>
        <v>44199</v>
      </c>
      <c r="E129" s="1680">
        <f t="shared" si="15"/>
        <v>94305</v>
      </c>
      <c r="F129" s="1680">
        <f t="shared" si="15"/>
        <v>203915</v>
      </c>
      <c r="G129" s="1680">
        <f t="shared" si="15"/>
        <v>75015</v>
      </c>
      <c r="H129" s="1680">
        <f t="shared" si="15"/>
        <v>0</v>
      </c>
      <c r="I129" s="1680">
        <f t="shared" si="15"/>
        <v>0</v>
      </c>
      <c r="J129" s="1680">
        <f t="shared" si="15"/>
        <v>0</v>
      </c>
      <c r="K129" s="1680">
        <f t="shared" si="15"/>
        <v>670363</v>
      </c>
      <c r="L129" s="1680">
        <f t="shared" si="15"/>
        <v>1036970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8" t="s">
        <v>616</v>
      </c>
      <c r="B151" s="2260"/>
      <c r="C151" s="1673">
        <f>SUM(C129,C130,C139,C149,C150)</f>
        <v>252929</v>
      </c>
      <c r="D151" s="1673">
        <f t="shared" ref="D151:K151" si="16">SUM(D129,D130,D139,D149,D150)</f>
        <v>44199</v>
      </c>
      <c r="E151" s="1673">
        <f t="shared" si="16"/>
        <v>94305</v>
      </c>
      <c r="F151" s="1673">
        <f t="shared" si="16"/>
        <v>203915</v>
      </c>
      <c r="G151" s="1673">
        <f t="shared" si="16"/>
        <v>75015</v>
      </c>
      <c r="H151" s="1673">
        <f t="shared" si="16"/>
        <v>0</v>
      </c>
      <c r="I151" s="1673">
        <f t="shared" si="16"/>
        <v>0</v>
      </c>
      <c r="J151" s="1673">
        <f t="shared" si="16"/>
        <v>0</v>
      </c>
      <c r="K151" s="1673">
        <f t="shared" si="16"/>
        <v>670363</v>
      </c>
      <c r="L151" s="1673">
        <f>SUM(L129,L130,L139,L149,L150)</f>
        <v>1036970</v>
      </c>
    </row>
    <row r="152" spans="1:14" ht="12.75" customHeight="1" thickTop="1" x14ac:dyDescent="0.2">
      <c r="A152" s="2281" t="s">
        <v>1168</v>
      </c>
      <c r="B152" s="2282"/>
      <c r="C152" s="1674"/>
      <c r="D152" s="1674"/>
      <c r="E152" s="1674"/>
      <c r="F152" s="1674"/>
      <c r="G152" s="1674"/>
      <c r="H152" s="1674"/>
      <c r="I152" s="1674"/>
      <c r="J152" s="1672"/>
      <c r="K152" s="1688">
        <f>'Revenues 9-14'!D268-'Expenditures 15-22'!K151</f>
        <v>359349</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6" t="s">
        <v>617</v>
      </c>
      <c r="B154" s="2268"/>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99391</v>
      </c>
      <c r="I169" s="1672"/>
      <c r="J169" s="1672"/>
      <c r="K169" s="1671">
        <f>SUM(C169:H169)</f>
        <v>99391</v>
      </c>
      <c r="L169" s="1694">
        <v>102000</v>
      </c>
    </row>
    <row r="170" spans="1:14" ht="33.75" customHeight="1" x14ac:dyDescent="0.2">
      <c r="A170" s="543" t="s">
        <v>1651</v>
      </c>
      <c r="B170" s="545" t="s">
        <v>31</v>
      </c>
      <c r="C170" s="1672"/>
      <c r="D170" s="1672"/>
      <c r="E170" s="1672"/>
      <c r="F170" s="1672"/>
      <c r="G170" s="1672"/>
      <c r="H170" s="1645">
        <v>364220</v>
      </c>
      <c r="I170" s="1672"/>
      <c r="J170" s="1672"/>
      <c r="K170" s="1671">
        <f>SUM(C170:J170)</f>
        <v>364220</v>
      </c>
      <c r="L170" s="1645">
        <v>368000</v>
      </c>
    </row>
    <row r="171" spans="1:14" ht="15.75" customHeight="1" x14ac:dyDescent="0.2">
      <c r="A171" s="507" t="s">
        <v>761</v>
      </c>
      <c r="B171" s="546" t="s">
        <v>84</v>
      </c>
      <c r="C171" s="1672"/>
      <c r="D171" s="1672"/>
      <c r="E171" s="1572"/>
      <c r="F171" s="1672"/>
      <c r="G171" s="1672"/>
      <c r="H171" s="1645">
        <v>318</v>
      </c>
      <c r="I171" s="1581"/>
      <c r="J171" s="1672"/>
      <c r="K171" s="1671">
        <f>SUM(C171:J171)</f>
        <v>318</v>
      </c>
      <c r="L171" s="1645">
        <v>1400</v>
      </c>
    </row>
    <row r="172" spans="1:14" ht="12.75" customHeight="1" thickBot="1" x14ac:dyDescent="0.25">
      <c r="A172" s="1379" t="s">
        <v>633</v>
      </c>
      <c r="B172" s="1380" t="s">
        <v>489</v>
      </c>
      <c r="C172" s="1672"/>
      <c r="D172" s="1672"/>
      <c r="E172" s="1680">
        <f>SUM(E168,E169,E170,E171)</f>
        <v>0</v>
      </c>
      <c r="F172" s="1672"/>
      <c r="G172" s="1672"/>
      <c r="H172" s="1680">
        <f>SUM(H168,H169,H170,H171)</f>
        <v>463929</v>
      </c>
      <c r="I172" s="1683"/>
      <c r="J172" s="1672"/>
      <c r="K172" s="1680">
        <f>SUM(K168,K169,K170,K171)</f>
        <v>463929</v>
      </c>
      <c r="L172" s="1680">
        <f>SUM(L168,L169,L170,L171)</f>
        <v>471400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463929</v>
      </c>
      <c r="I174" s="1683"/>
      <c r="J174" s="1672"/>
      <c r="K174" s="1680">
        <f>SUM(K160,K172,K173)</f>
        <v>463929</v>
      </c>
      <c r="L174" s="1680">
        <f>SUM(L160,L172,L173)</f>
        <v>471400</v>
      </c>
    </row>
    <row r="175" spans="1:14" ht="13.5" thickTop="1" x14ac:dyDescent="0.2">
      <c r="A175" s="2288" t="s">
        <v>989</v>
      </c>
      <c r="B175" s="2289"/>
      <c r="C175" s="1672"/>
      <c r="D175" s="1672"/>
      <c r="E175" s="1672"/>
      <c r="F175" s="1672"/>
      <c r="G175" s="1672"/>
      <c r="H175" s="1674"/>
      <c r="I175" s="1672"/>
      <c r="J175" s="1672"/>
      <c r="K175" s="1688">
        <f>'Revenues 9-14'!E268-'Expenditures 15-22'!K174</f>
        <v>8262</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281289</v>
      </c>
      <c r="D182" s="1572">
        <v>6464</v>
      </c>
      <c r="E182" s="1572">
        <v>295425</v>
      </c>
      <c r="F182" s="1572">
        <v>64054</v>
      </c>
      <c r="G182" s="1572">
        <v>25985</v>
      </c>
      <c r="H182" s="1572"/>
      <c r="I182" s="1573"/>
      <c r="J182" s="1573"/>
      <c r="K182" s="1671">
        <f>SUM(C182:J182)</f>
        <v>673217</v>
      </c>
      <c r="L182" s="1572">
        <v>778126</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281289</v>
      </c>
      <c r="D184" s="1680">
        <f t="shared" ref="D184:J184" si="17">SUM(D180,D182,D183)</f>
        <v>6464</v>
      </c>
      <c r="E184" s="1680">
        <f t="shared" si="17"/>
        <v>295425</v>
      </c>
      <c r="F184" s="1680">
        <f t="shared" si="17"/>
        <v>64054</v>
      </c>
      <c r="G184" s="1680">
        <f t="shared" si="17"/>
        <v>25985</v>
      </c>
      <c r="H184" s="1680">
        <f t="shared" si="17"/>
        <v>0</v>
      </c>
      <c r="I184" s="1680">
        <f t="shared" si="17"/>
        <v>0</v>
      </c>
      <c r="J184" s="1680">
        <f t="shared" si="17"/>
        <v>0</v>
      </c>
      <c r="K184" s="1680">
        <f>SUM(K180,K182,K183)</f>
        <v>673217</v>
      </c>
      <c r="L184" s="1680">
        <f>SUM(L180, L182:L183)</f>
        <v>778126</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281289</v>
      </c>
      <c r="D210" s="1673">
        <f>SUM(D184,D185)</f>
        <v>6464</v>
      </c>
      <c r="E210" s="1673">
        <f>SUM(E184,E185,E196)</f>
        <v>295425</v>
      </c>
      <c r="F210" s="1673">
        <f>SUM(F184,F185)</f>
        <v>64054</v>
      </c>
      <c r="G210" s="1673">
        <f>SUM(G184,G185)</f>
        <v>25985</v>
      </c>
      <c r="H210" s="1673">
        <f>SUM(H184,H185,H196,H208,H209)</f>
        <v>0</v>
      </c>
      <c r="I210" s="1673">
        <f>SUM(I184,I185)</f>
        <v>0</v>
      </c>
      <c r="J210" s="1673">
        <f>SUM(J184,J185)</f>
        <v>0</v>
      </c>
      <c r="K210" s="1671">
        <f>SUM(K184,K185,K196,K208,K209)</f>
        <v>673217</v>
      </c>
      <c r="L210" s="1673">
        <f>SUM(L184,L185,L196,L208,L209)</f>
        <v>778126</v>
      </c>
    </row>
    <row r="211" spans="1:14" ht="13.5" thickTop="1" x14ac:dyDescent="0.2">
      <c r="A211" s="2288" t="s">
        <v>989</v>
      </c>
      <c r="B211" s="2289"/>
      <c r="C211" s="1674"/>
      <c r="D211" s="1674"/>
      <c r="E211" s="1674"/>
      <c r="F211" s="1674"/>
      <c r="G211" s="1674"/>
      <c r="H211" s="1674"/>
      <c r="I211" s="1672"/>
      <c r="J211" s="1672"/>
      <c r="K211" s="1688">
        <f>'Revenues 9-14'!F268-'Expenditures 15-22'!K210</f>
        <v>98614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3" t="s">
        <v>959</v>
      </c>
      <c r="B213" s="2284"/>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43387</v>
      </c>
      <c r="E215" s="1672"/>
      <c r="F215" s="1672"/>
      <c r="G215" s="1672"/>
      <c r="H215" s="1672"/>
      <c r="I215" s="1672"/>
      <c r="J215" s="1672"/>
      <c r="K215" s="1671">
        <f>D215</f>
        <v>43387</v>
      </c>
      <c r="L215" s="1572">
        <v>49940</v>
      </c>
    </row>
    <row r="216" spans="1:14" x14ac:dyDescent="0.2">
      <c r="A216" s="1273" t="s">
        <v>162</v>
      </c>
      <c r="B216" s="503" t="s">
        <v>961</v>
      </c>
      <c r="C216" s="1672"/>
      <c r="D216" s="1573">
        <v>12327</v>
      </c>
      <c r="E216" s="1672"/>
      <c r="F216" s="1672"/>
      <c r="G216" s="1672"/>
      <c r="H216" s="1672"/>
      <c r="I216" s="1672"/>
      <c r="J216" s="1672"/>
      <c r="K216" s="1671">
        <f t="shared" ref="K216:K228" si="19">D216</f>
        <v>12327</v>
      </c>
      <c r="L216" s="1572">
        <v>12910</v>
      </c>
    </row>
    <row r="217" spans="1:14" x14ac:dyDescent="0.2">
      <c r="A217" s="1273" t="s">
        <v>163</v>
      </c>
      <c r="B217" s="503">
        <v>1200</v>
      </c>
      <c r="C217" s="1672"/>
      <c r="D217" s="1572">
        <v>54174</v>
      </c>
      <c r="E217" s="1672"/>
      <c r="F217" s="1672"/>
      <c r="G217" s="1672"/>
      <c r="H217" s="1672"/>
      <c r="I217" s="1672"/>
      <c r="J217" s="1672"/>
      <c r="K217" s="1671">
        <f t="shared" si="19"/>
        <v>54174</v>
      </c>
      <c r="L217" s="1572">
        <v>64000</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14506</v>
      </c>
      <c r="E219" s="1672"/>
      <c r="F219" s="1672"/>
      <c r="G219" s="1672"/>
      <c r="H219" s="1672"/>
      <c r="I219" s="1672"/>
      <c r="J219" s="1672"/>
      <c r="K219" s="1671">
        <f t="shared" si="19"/>
        <v>14506</v>
      </c>
      <c r="L219" s="1572">
        <v>15514</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v>12110</v>
      </c>
      <c r="E222" s="1672"/>
      <c r="F222" s="1672"/>
      <c r="G222" s="1672"/>
      <c r="H222" s="1672"/>
      <c r="I222" s="1672"/>
      <c r="J222" s="1672"/>
      <c r="K222" s="1671">
        <f t="shared" si="19"/>
        <v>12110</v>
      </c>
      <c r="L222" s="1572">
        <v>12790</v>
      </c>
    </row>
    <row r="223" spans="1:14" x14ac:dyDescent="0.2">
      <c r="A223" s="1273" t="s">
        <v>957</v>
      </c>
      <c r="B223" s="503">
        <v>1500</v>
      </c>
      <c r="C223" s="1672"/>
      <c r="D223" s="1572">
        <v>5271</v>
      </c>
      <c r="E223" s="1672"/>
      <c r="F223" s="1672"/>
      <c r="G223" s="1672"/>
      <c r="H223" s="1672"/>
      <c r="I223" s="1672"/>
      <c r="J223" s="1672"/>
      <c r="K223" s="1671">
        <f t="shared" si="19"/>
        <v>5271</v>
      </c>
      <c r="L223" s="1572">
        <v>7050</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v>305</v>
      </c>
      <c r="E225" s="1672"/>
      <c r="F225" s="1672"/>
      <c r="G225" s="1672"/>
      <c r="H225" s="1672"/>
      <c r="I225" s="1672"/>
      <c r="J225" s="1672"/>
      <c r="K225" s="1671">
        <f t="shared" si="19"/>
        <v>305</v>
      </c>
      <c r="L225" s="1572">
        <v>490</v>
      </c>
    </row>
    <row r="226" spans="1:12" x14ac:dyDescent="0.2">
      <c r="A226" s="1273" t="s">
        <v>719</v>
      </c>
      <c r="B226" s="503" t="s">
        <v>161</v>
      </c>
      <c r="C226" s="1672"/>
      <c r="D226" s="1573">
        <v>358</v>
      </c>
      <c r="E226" s="1672"/>
      <c r="F226" s="1672"/>
      <c r="G226" s="1672"/>
      <c r="H226" s="1672"/>
      <c r="I226" s="1672"/>
      <c r="J226" s="1672"/>
      <c r="K226" s="1671">
        <f t="shared" si="19"/>
        <v>358</v>
      </c>
      <c r="L226" s="1572">
        <v>400</v>
      </c>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142438</v>
      </c>
      <c r="E229" s="1672"/>
      <c r="F229" s="1672"/>
      <c r="G229" s="1672"/>
      <c r="H229" s="1672"/>
      <c r="I229" s="1672"/>
      <c r="J229" s="1672"/>
      <c r="K229" s="1673">
        <f>SUM(K215:K228)</f>
        <v>142438</v>
      </c>
      <c r="L229" s="1673">
        <f>SUM(L215:L228)</f>
        <v>163094</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v>922</v>
      </c>
      <c r="E233" s="1672"/>
      <c r="F233" s="1672"/>
      <c r="G233" s="1672"/>
      <c r="H233" s="1672"/>
      <c r="I233" s="1672"/>
      <c r="J233" s="1672"/>
      <c r="K233" s="1671">
        <f t="shared" si="20"/>
        <v>922</v>
      </c>
      <c r="L233" s="1572">
        <v>800</v>
      </c>
    </row>
    <row r="234" spans="1:12" x14ac:dyDescent="0.2">
      <c r="A234" s="1273" t="s">
        <v>196</v>
      </c>
      <c r="B234" s="503">
        <v>2130</v>
      </c>
      <c r="C234" s="1672"/>
      <c r="D234" s="1572">
        <v>5640</v>
      </c>
      <c r="E234" s="1672"/>
      <c r="F234" s="1672"/>
      <c r="G234" s="1672"/>
      <c r="H234" s="1672"/>
      <c r="I234" s="1672"/>
      <c r="J234" s="1672"/>
      <c r="K234" s="1671">
        <f t="shared" si="20"/>
        <v>5640</v>
      </c>
      <c r="L234" s="1572">
        <v>5200</v>
      </c>
    </row>
    <row r="235" spans="1:12" x14ac:dyDescent="0.2">
      <c r="A235" s="1273" t="s">
        <v>197</v>
      </c>
      <c r="B235" s="503">
        <v>2140</v>
      </c>
      <c r="C235" s="1672"/>
      <c r="D235" s="1572">
        <v>1051</v>
      </c>
      <c r="E235" s="1672"/>
      <c r="F235" s="1672"/>
      <c r="G235" s="1672"/>
      <c r="H235" s="1672"/>
      <c r="I235" s="1672"/>
      <c r="J235" s="1672"/>
      <c r="K235" s="1671">
        <f t="shared" si="20"/>
        <v>1051</v>
      </c>
      <c r="L235" s="1572">
        <v>1200</v>
      </c>
    </row>
    <row r="236" spans="1:12" x14ac:dyDescent="0.2">
      <c r="A236" s="1273" t="s">
        <v>198</v>
      </c>
      <c r="B236" s="503">
        <v>2150</v>
      </c>
      <c r="C236" s="1672"/>
      <c r="D236" s="1572">
        <v>757</v>
      </c>
      <c r="E236" s="1672"/>
      <c r="F236" s="1672"/>
      <c r="G236" s="1672"/>
      <c r="H236" s="1672"/>
      <c r="I236" s="1672"/>
      <c r="J236" s="1672"/>
      <c r="K236" s="1671">
        <f t="shared" si="20"/>
        <v>757</v>
      </c>
      <c r="L236" s="1572">
        <v>750</v>
      </c>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8370</v>
      </c>
      <c r="E238" s="1672"/>
      <c r="F238" s="1672"/>
      <c r="G238" s="1672"/>
      <c r="H238" s="1672"/>
      <c r="I238" s="1672"/>
      <c r="J238" s="1672"/>
      <c r="K238" s="1673">
        <f>SUM(K232:K237)</f>
        <v>8370</v>
      </c>
      <c r="L238" s="1673">
        <f>SUM(L232:L237)</f>
        <v>7950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25</v>
      </c>
      <c r="E240" s="1672"/>
      <c r="F240" s="1672"/>
      <c r="G240" s="1672"/>
      <c r="H240" s="1672"/>
      <c r="I240" s="1672"/>
      <c r="J240" s="1672"/>
      <c r="K240" s="1677">
        <f>D240</f>
        <v>25</v>
      </c>
      <c r="L240" s="1585">
        <v>46</v>
      </c>
    </row>
    <row r="241" spans="1:12" x14ac:dyDescent="0.2">
      <c r="A241" s="1273" t="s">
        <v>810</v>
      </c>
      <c r="B241" s="503">
        <v>2220</v>
      </c>
      <c r="C241" s="1672"/>
      <c r="D241" s="1572">
        <v>8453</v>
      </c>
      <c r="E241" s="1672"/>
      <c r="F241" s="1672"/>
      <c r="G241" s="1672"/>
      <c r="H241" s="1672"/>
      <c r="I241" s="1672"/>
      <c r="J241" s="1672"/>
      <c r="K241" s="1677">
        <f>D241</f>
        <v>8453</v>
      </c>
      <c r="L241" s="1572">
        <v>9500</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8478</v>
      </c>
      <c r="E243" s="1672"/>
      <c r="F243" s="1672"/>
      <c r="G243" s="1672"/>
      <c r="H243" s="1672"/>
      <c r="I243" s="1672"/>
      <c r="J243" s="1672"/>
      <c r="K243" s="1673">
        <f>SUM(K240:K242)</f>
        <v>8478</v>
      </c>
      <c r="L243" s="1673">
        <f>SUM(L240:L242)</f>
        <v>9546</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v>1300</v>
      </c>
    </row>
    <row r="246" spans="1:12" x14ac:dyDescent="0.2">
      <c r="A246" s="1273" t="s">
        <v>813</v>
      </c>
      <c r="B246" s="503">
        <v>2320</v>
      </c>
      <c r="C246" s="1672"/>
      <c r="D246" s="1572">
        <v>8562</v>
      </c>
      <c r="E246" s="1672"/>
      <c r="F246" s="1672"/>
      <c r="G246" s="1672"/>
      <c r="H246" s="1672"/>
      <c r="I246" s="1672"/>
      <c r="J246" s="1672"/>
      <c r="K246" s="1677">
        <f t="shared" ref="K246:K256" si="21">D246</f>
        <v>8562</v>
      </c>
      <c r="L246" s="1572">
        <v>9300</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8562</v>
      </c>
      <c r="E257" s="1672"/>
      <c r="F257" s="1672"/>
      <c r="G257" s="1672"/>
      <c r="H257" s="1672"/>
      <c r="I257" s="1672"/>
      <c r="J257" s="1672"/>
      <c r="K257" s="1673">
        <f>SUM(K245:K256)</f>
        <v>8562</v>
      </c>
      <c r="L257" s="1673">
        <f>SUM(L245:L256)</f>
        <v>10600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28872</v>
      </c>
      <c r="E259" s="1672"/>
      <c r="F259" s="1672"/>
      <c r="G259" s="1672"/>
      <c r="H259" s="1672"/>
      <c r="I259" s="1672"/>
      <c r="J259" s="1672"/>
      <c r="K259" s="1677">
        <f>D259</f>
        <v>28872</v>
      </c>
      <c r="L259" s="1585">
        <v>33900</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28872</v>
      </c>
      <c r="E261" s="1672"/>
      <c r="F261" s="1672"/>
      <c r="G261" s="1672"/>
      <c r="H261" s="1672"/>
      <c r="I261" s="1672"/>
      <c r="J261" s="1672"/>
      <c r="K261" s="1673">
        <f>SUM(K259:K260)</f>
        <v>28872</v>
      </c>
      <c r="L261" s="1673">
        <f>SUM(L259:L260)</f>
        <v>33900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15524</v>
      </c>
      <c r="E264" s="1672"/>
      <c r="F264" s="1672"/>
      <c r="G264" s="1672"/>
      <c r="H264" s="1672"/>
      <c r="I264" s="1672"/>
      <c r="J264" s="1672"/>
      <c r="K264" s="1677">
        <f t="shared" ref="K264:K269" si="22">D264</f>
        <v>15524</v>
      </c>
      <c r="L264" s="1572">
        <v>16900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43838</v>
      </c>
      <c r="E266" s="1672"/>
      <c r="F266" s="1672"/>
      <c r="G266" s="1672"/>
      <c r="H266" s="1672"/>
      <c r="I266" s="1672"/>
      <c r="J266" s="1672"/>
      <c r="K266" s="1677">
        <f t="shared" si="22"/>
        <v>43838</v>
      </c>
      <c r="L266" s="1572">
        <v>55100</v>
      </c>
    </row>
    <row r="267" spans="1:14" x14ac:dyDescent="0.2">
      <c r="A267" s="1273" t="s">
        <v>947</v>
      </c>
      <c r="B267" s="503">
        <v>2550</v>
      </c>
      <c r="C267" s="1672"/>
      <c r="D267" s="1572">
        <v>38515</v>
      </c>
      <c r="E267" s="1672"/>
      <c r="F267" s="1672"/>
      <c r="G267" s="1672"/>
      <c r="H267" s="1672"/>
      <c r="I267" s="1672"/>
      <c r="J267" s="1672"/>
      <c r="K267" s="1677">
        <f t="shared" si="22"/>
        <v>38515</v>
      </c>
      <c r="L267" s="1572">
        <v>48100</v>
      </c>
    </row>
    <row r="268" spans="1:14" x14ac:dyDescent="0.2">
      <c r="A268" s="1273" t="s">
        <v>100</v>
      </c>
      <c r="B268" s="503">
        <v>2560</v>
      </c>
      <c r="C268" s="1672"/>
      <c r="D268" s="1572">
        <v>25296</v>
      </c>
      <c r="E268" s="1672"/>
      <c r="F268" s="1672"/>
      <c r="G268" s="1672"/>
      <c r="H268" s="1672"/>
      <c r="I268" s="1672"/>
      <c r="J268" s="1672"/>
      <c r="K268" s="1677">
        <f t="shared" si="22"/>
        <v>25296</v>
      </c>
      <c r="L268" s="1572">
        <v>38000</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123173</v>
      </c>
      <c r="E270" s="1672"/>
      <c r="F270" s="1672"/>
      <c r="G270" s="1672"/>
      <c r="H270" s="1672"/>
      <c r="I270" s="1672"/>
      <c r="J270" s="1672"/>
      <c r="K270" s="1673">
        <f>SUM(K263:K269)</f>
        <v>123173</v>
      </c>
      <c r="L270" s="1673">
        <f>SUM(L263:L269)</f>
        <v>158100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v>4354</v>
      </c>
      <c r="E276" s="1672"/>
      <c r="F276" s="1672"/>
      <c r="G276" s="1672"/>
      <c r="H276" s="1672"/>
      <c r="I276" s="1672"/>
      <c r="J276" s="1672"/>
      <c r="K276" s="1677">
        <f>D276</f>
        <v>4354</v>
      </c>
      <c r="L276" s="1572">
        <v>4950</v>
      </c>
    </row>
    <row r="277" spans="1:12" ht="12.75" customHeight="1" thickBot="1" x14ac:dyDescent="0.25">
      <c r="A277" s="1392" t="s">
        <v>37</v>
      </c>
      <c r="B277" s="1380" t="s">
        <v>36</v>
      </c>
      <c r="C277" s="1672"/>
      <c r="D277" s="1673">
        <f>SUM(D272:D276)</f>
        <v>4354</v>
      </c>
      <c r="E277" s="1672"/>
      <c r="F277" s="1672"/>
      <c r="G277" s="1672"/>
      <c r="H277" s="1672"/>
      <c r="I277" s="1672"/>
      <c r="J277" s="1672"/>
      <c r="K277" s="1673">
        <f>SUM(K272:K276)</f>
        <v>4354</v>
      </c>
      <c r="L277" s="1673">
        <f>SUM(L272:L276)</f>
        <v>4950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181809</v>
      </c>
      <c r="E279" s="1672"/>
      <c r="F279" s="1672"/>
      <c r="G279" s="1672"/>
      <c r="H279" s="1672"/>
      <c r="I279" s="1672"/>
      <c r="J279" s="1672"/>
      <c r="K279" s="1680">
        <f>SUM(K238,K243,K257,K261,K270,K277,K278)</f>
        <v>181809</v>
      </c>
      <c r="L279" s="1680">
        <f>SUM(L238,L243,L257,L261,L270,L277,L278)</f>
        <v>225046</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9" t="s">
        <v>502</v>
      </c>
      <c r="B295" s="2280"/>
      <c r="C295" s="1672"/>
      <c r="D295" s="1673">
        <f>SUM(D229,D279,D280,D285)</f>
        <v>324247</v>
      </c>
      <c r="E295" s="1672"/>
      <c r="F295" s="1672"/>
      <c r="G295" s="1672"/>
      <c r="H295" s="1673">
        <f>H293</f>
        <v>0</v>
      </c>
      <c r="I295" s="1672"/>
      <c r="J295" s="1672"/>
      <c r="K295" s="1673">
        <f>SUM(K229,K279,K280,K285,K293,K294)</f>
        <v>324247</v>
      </c>
      <c r="L295" s="1673">
        <f>SUM(L229,L279,L280,L285,L293,L294)</f>
        <v>388140</v>
      </c>
    </row>
    <row r="296" spans="1:14" ht="13.5" thickTop="1" x14ac:dyDescent="0.2">
      <c r="A296" s="2288" t="s">
        <v>989</v>
      </c>
      <c r="B296" s="2289"/>
      <c r="C296" s="1672"/>
      <c r="D296" s="1674"/>
      <c r="E296" s="1672"/>
      <c r="F296" s="1672"/>
      <c r="G296" s="1672"/>
      <c r="H296" s="1706"/>
      <c r="I296" s="1672"/>
      <c r="J296" s="1672"/>
      <c r="K296" s="1688">
        <f>'Revenues 9-14'!G268-'Expenditures 15-22'!K295</f>
        <v>7533</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1" t="s">
        <v>142</v>
      </c>
      <c r="B298" s="2265"/>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6" t="s">
        <v>275</v>
      </c>
      <c r="B312" s="2277"/>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2" t="s">
        <v>989</v>
      </c>
      <c r="B313" s="2273"/>
      <c r="C313" s="1676"/>
      <c r="D313" s="1676"/>
      <c r="E313" s="1676"/>
      <c r="F313" s="1676"/>
      <c r="G313" s="1676"/>
      <c r="H313" s="1676"/>
      <c r="I313" s="1676"/>
      <c r="J313" s="1676"/>
      <c r="K313" s="1695">
        <f>'Revenues 9-14'!H268-'Expenditures 15-22'!K312</f>
        <v>5635</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5" t="s">
        <v>148</v>
      </c>
      <c r="B315" s="2286"/>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7" t="s">
        <v>892</v>
      </c>
      <c r="B317" s="2286"/>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c r="F320" s="1573"/>
      <c r="G320" s="1573"/>
      <c r="H320" s="1573"/>
      <c r="I320" s="1573"/>
      <c r="J320" s="1573"/>
      <c r="K320" s="1671">
        <f t="shared" ref="K320:K327" si="24">SUM(C320:J320)</f>
        <v>0</v>
      </c>
      <c r="L320" s="1573">
        <v>40000</v>
      </c>
      <c r="M320" s="539"/>
      <c r="N320" s="539"/>
    </row>
    <row r="321" spans="1:14" s="548" customFormat="1" x14ac:dyDescent="0.2">
      <c r="A321" s="1288" t="s">
        <v>297</v>
      </c>
      <c r="B321" s="567" t="s">
        <v>281</v>
      </c>
      <c r="C321" s="1573"/>
      <c r="D321" s="1573"/>
      <c r="E321" s="1573">
        <v>12354</v>
      </c>
      <c r="F321" s="1573"/>
      <c r="G321" s="1573"/>
      <c r="H321" s="1573"/>
      <c r="I321" s="1573"/>
      <c r="J321" s="1573"/>
      <c r="K321" s="1671">
        <f t="shared" si="24"/>
        <v>12354</v>
      </c>
      <c r="L321" s="1573">
        <v>30000</v>
      </c>
      <c r="M321" s="539"/>
      <c r="N321" s="539"/>
    </row>
    <row r="322" spans="1:14" s="548" customFormat="1" x14ac:dyDescent="0.2">
      <c r="A322" s="1288" t="s">
        <v>236</v>
      </c>
      <c r="B322" s="567" t="s">
        <v>282</v>
      </c>
      <c r="C322" s="1573"/>
      <c r="D322" s="1573"/>
      <c r="E322" s="1573">
        <v>170851</v>
      </c>
      <c r="F322" s="1573"/>
      <c r="G322" s="1573"/>
      <c r="H322" s="1573"/>
      <c r="I322" s="1573"/>
      <c r="J322" s="1573"/>
      <c r="K322" s="1671">
        <f t="shared" si="24"/>
        <v>170851</v>
      </c>
      <c r="L322" s="1573">
        <v>160000</v>
      </c>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v>4475</v>
      </c>
      <c r="F325" s="1573"/>
      <c r="G325" s="1573"/>
      <c r="H325" s="1573"/>
      <c r="I325" s="1573"/>
      <c r="J325" s="1573"/>
      <c r="K325" s="1671">
        <f t="shared" si="24"/>
        <v>4475</v>
      </c>
      <c r="L325" s="1573">
        <v>9500</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v>3450</v>
      </c>
      <c r="F327" s="1573"/>
      <c r="G327" s="1573"/>
      <c r="H327" s="1573"/>
      <c r="I327" s="1573"/>
      <c r="J327" s="1573"/>
      <c r="K327" s="1671">
        <f t="shared" si="24"/>
        <v>3450</v>
      </c>
      <c r="L327" s="1573">
        <v>40000</v>
      </c>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191130</v>
      </c>
      <c r="F330" s="1673">
        <f t="shared" si="25"/>
        <v>0</v>
      </c>
      <c r="G330" s="1673">
        <f t="shared" si="25"/>
        <v>0</v>
      </c>
      <c r="H330" s="1673">
        <f t="shared" si="25"/>
        <v>0</v>
      </c>
      <c r="I330" s="1673">
        <f t="shared" si="25"/>
        <v>0</v>
      </c>
      <c r="J330" s="1673">
        <f t="shared" si="25"/>
        <v>0</v>
      </c>
      <c r="K330" s="1673">
        <f>SUM(K319:K329)</f>
        <v>191130</v>
      </c>
      <c r="L330" s="1673">
        <f>SUM(L319:L329)</f>
        <v>279500</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191130</v>
      </c>
      <c r="F342" s="1673">
        <f>SUM(F330)</f>
        <v>0</v>
      </c>
      <c r="G342" s="1673">
        <f>SUM(G330)</f>
        <v>0</v>
      </c>
      <c r="H342" s="1673">
        <f>SUM(H330,H334,H340)</f>
        <v>0</v>
      </c>
      <c r="I342" s="1673">
        <f>SUM(I330)</f>
        <v>0</v>
      </c>
      <c r="J342" s="1673">
        <f>SUM(J330)</f>
        <v>0</v>
      </c>
      <c r="K342" s="1673">
        <f>SUM(K330,K334,K340)</f>
        <v>191130</v>
      </c>
      <c r="L342" s="1680">
        <f>SUM(L330,L334,L340,L341)</f>
        <v>279500</v>
      </c>
    </row>
    <row r="343" spans="1:14" ht="12.75" customHeight="1" thickTop="1" x14ac:dyDescent="0.2">
      <c r="A343" s="2274" t="s">
        <v>989</v>
      </c>
      <c r="B343" s="2275"/>
      <c r="C343" s="1672"/>
      <c r="D343" s="1672"/>
      <c r="E343" s="1672"/>
      <c r="F343" s="1672"/>
      <c r="G343" s="1672"/>
      <c r="H343" s="1672"/>
      <c r="I343" s="1672"/>
      <c r="J343" s="1672"/>
      <c r="K343" s="1688">
        <f>'Revenues 9-14'!J268-'Expenditures 15-22'!K342</f>
        <v>48292</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4" t="s">
        <v>960</v>
      </c>
      <c r="B345" s="2265"/>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209</v>
      </c>
      <c r="F348" s="1572"/>
      <c r="G348" s="1572">
        <v>380143</v>
      </c>
      <c r="H348" s="1572"/>
      <c r="I348" s="1573"/>
      <c r="J348" s="1573"/>
      <c r="K348" s="1671">
        <f>SUM(C348:J348)</f>
        <v>380352</v>
      </c>
      <c r="L348" s="1572">
        <v>501000</v>
      </c>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209</v>
      </c>
      <c r="F350" s="1673">
        <f t="shared" si="26"/>
        <v>0</v>
      </c>
      <c r="G350" s="1673">
        <f t="shared" si="26"/>
        <v>380143</v>
      </c>
      <c r="H350" s="1673">
        <f t="shared" si="26"/>
        <v>0</v>
      </c>
      <c r="I350" s="1673">
        <f t="shared" si="26"/>
        <v>0</v>
      </c>
      <c r="J350" s="1673">
        <f t="shared" si="26"/>
        <v>0</v>
      </c>
      <c r="K350" s="1673">
        <f t="shared" si="26"/>
        <v>380352</v>
      </c>
      <c r="L350" s="1673">
        <f t="shared" si="26"/>
        <v>501000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209</v>
      </c>
      <c r="F352" s="1673">
        <f t="shared" si="27"/>
        <v>0</v>
      </c>
      <c r="G352" s="1673">
        <f t="shared" si="27"/>
        <v>380143</v>
      </c>
      <c r="H352" s="1673">
        <f t="shared" si="27"/>
        <v>0</v>
      </c>
      <c r="I352" s="1673">
        <f t="shared" si="27"/>
        <v>0</v>
      </c>
      <c r="J352" s="1673">
        <f t="shared" si="27"/>
        <v>0</v>
      </c>
      <c r="K352" s="1673">
        <f t="shared" si="27"/>
        <v>380352</v>
      </c>
      <c r="L352" s="1673">
        <f t="shared" si="27"/>
        <v>501000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209</v>
      </c>
      <c r="F367" s="1673">
        <f t="shared" si="28"/>
        <v>0</v>
      </c>
      <c r="G367" s="1673">
        <f t="shared" si="28"/>
        <v>380143</v>
      </c>
      <c r="H367" s="1673">
        <f t="shared" si="28"/>
        <v>0</v>
      </c>
      <c r="I367" s="1673">
        <f t="shared" si="28"/>
        <v>0</v>
      </c>
      <c r="J367" s="1673">
        <f t="shared" si="28"/>
        <v>0</v>
      </c>
      <c r="K367" s="1673">
        <f t="shared" si="28"/>
        <v>380352</v>
      </c>
      <c r="L367" s="1673">
        <f t="shared" si="28"/>
        <v>501000</v>
      </c>
    </row>
    <row r="368" spans="1:14" ht="13.5" thickTop="1" x14ac:dyDescent="0.2">
      <c r="A368" s="2288" t="s">
        <v>989</v>
      </c>
      <c r="B368" s="2289"/>
      <c r="C368" s="1693"/>
      <c r="D368" s="1693"/>
      <c r="E368" s="1676"/>
      <c r="F368" s="1676"/>
      <c r="G368" s="1676"/>
      <c r="H368" s="1676"/>
      <c r="I368" s="1676"/>
      <c r="J368" s="1675"/>
      <c r="K368" s="1671">
        <f>'Revenues 9-14'!K268-'Expenditures 15-22'!K367</f>
        <v>-250191</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25"/>
  <pageSetup scale="53" firstPageNumber="15" fitToHeight="8" orientation="landscape" useFirstPageNumber="1" horizontalDpi="4294967295" verticalDpi="4294967295" r:id="rId1"/>
  <headerFooter>
    <oddHeader>&amp;L&amp;8Page &amp;P&amp;C&amp;"Arial,Bold"&amp;9STATEMENT OF EXPENDITURES DISBURSED/EXPENDITURES, BUDGET TO ACTUAL
FOR THE YEAR ENDING JUNE 30, 2020&amp;R&amp;8Page &amp;P</oddHeader>
    <oddFooter>&amp;CThe Notes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schemas.microsoft.com/office/2006/metadata/properties"/>
    <ds:schemaRef ds:uri="4d435f69-8686-490b-bd6d-b153bf22ab50"/>
    <ds:schemaRef ds:uri="http://purl.org/dc/terms/"/>
    <ds:schemaRef ds:uri="http://schemas.openxmlformats.org/package/2006/metadata/core-properties"/>
    <ds:schemaRef ds:uri="d21dc803-237d-4c68-8692-8d731fd29118"/>
    <ds:schemaRef ds:uri="http://schemas.microsoft.com/office/infopath/2007/PartnerControls"/>
    <ds:schemaRef ds:uri="6ce3111e-7420-4802-b50a-75d4e9a0b980"/>
    <ds:schemaRef ds:uri="http://www.w3.org/XML/1998/namespace"/>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2020-09-29T18:13:46Z</cp:lastPrinted>
  <dcterms:created xsi:type="dcterms:W3CDTF">2003-10-29T19:06:34Z</dcterms:created>
  <dcterms:modified xsi:type="dcterms:W3CDTF">2020-10-18T17:12:14Z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