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A1CAFCB-BB2F-4789-A0F6-B8C41A9CE041}" xr6:coauthVersionLast="36" xr6:coauthVersionMax="36" xr10:uidLastSave="{00000000-0000-0000-0000-000000000000}"/>
  <bookViews>
    <workbookView xWindow="0" yWindow="0" windowWidth="23040" windowHeight="9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 sheetId="185" r:id="rId28"/>
    <sheet name="SEFA (2)"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 '!$B$1:$M$46</definedName>
    <definedName name="_xlnm.Print_Area" localSheetId="28">'SEFA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40" i="183" l="1"/>
  <c r="F39" i="183"/>
  <c r="F38" i="183"/>
  <c r="F37" i="183"/>
  <c r="F36" i="183"/>
  <c r="F35" i="183"/>
  <c r="F34" i="183"/>
  <c r="F33" i="183"/>
  <c r="F32" i="183"/>
  <c r="F31" i="183"/>
  <c r="F30" i="183"/>
  <c r="F29" i="183"/>
  <c r="F28" i="183"/>
  <c r="F27" i="183"/>
  <c r="F26" i="183"/>
  <c r="F25" i="183"/>
  <c r="F24" i="183"/>
  <c r="F23" i="183"/>
  <c r="F22" i="183"/>
  <c r="F21" i="183"/>
  <c r="F20" i="183"/>
  <c r="F19"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41" i="183" l="1"/>
  <c r="A15" i="183"/>
  <c r="D82" i="36" l="1"/>
  <c r="F41" i="183"/>
  <c r="E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4" i="179" l="1"/>
  <c r="L18" i="179"/>
  <c r="L17" i="179"/>
  <c r="L16" i="179"/>
  <c r="L13"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71" i="106"/>
  <c r="D7171" i="106" s="1"/>
  <c r="E62" i="184"/>
  <c r="N62" i="184" s="1"/>
  <c r="B7135" i="106"/>
  <c r="D7135" i="106" s="1"/>
  <c r="E58" i="184"/>
  <c r="N58" i="184" s="1"/>
  <c r="F50" i="34"/>
  <c r="B7705" i="106"/>
  <c r="D7705" i="106" s="1"/>
  <c r="E67" i="184"/>
  <c r="N67" i="184" s="1"/>
  <c r="B7126" i="106"/>
  <c r="D7126" i="106" s="1"/>
  <c r="E57" i="184"/>
  <c r="N57" i="184" s="1"/>
  <c r="B7189" i="106"/>
  <c r="D7189" i="106" s="1"/>
  <c r="E64" i="184"/>
  <c r="N64" i="184" s="1"/>
  <c r="G33" i="108"/>
  <c r="E17" i="184"/>
  <c r="H17" i="184" s="1"/>
  <c r="F52" i="34"/>
  <c r="B7831" i="106" s="1"/>
  <c r="D7831" i="106" s="1"/>
  <c r="D36" i="108"/>
  <c r="G14" i="4"/>
  <c r="B2609" i="106" s="1"/>
  <c r="D2609" i="106" s="1"/>
  <c r="F72" i="34"/>
  <c r="D31" i="108"/>
  <c r="E16" i="184"/>
  <c r="H16" i="184" s="1"/>
  <c r="D68" i="36"/>
  <c r="G30" i="108"/>
  <c r="H12" i="184"/>
  <c r="H19" i="184" s="1"/>
  <c r="L20" i="184" s="1"/>
  <c r="E19" i="184"/>
  <c r="B7198" i="106"/>
  <c r="D7198" i="106" s="1"/>
  <c r="E65" i="184"/>
  <c r="N65" i="184" s="1"/>
  <c r="C342" i="29"/>
  <c r="B7216" i="106" s="1"/>
  <c r="D7216" i="106" s="1"/>
  <c r="B7180" i="106"/>
  <c r="D7180" i="106" s="1"/>
  <c r="E63" i="184"/>
  <c r="N63" i="184" s="1"/>
  <c r="B7162" i="106"/>
  <c r="D7162" i="106" s="1"/>
  <c r="E61" i="184"/>
  <c r="N61" i="184" s="1"/>
  <c r="B7153" i="106"/>
  <c r="D7153" i="106" s="1"/>
  <c r="E60" i="184"/>
  <c r="N60" i="184" s="1"/>
  <c r="N5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N23" i="3"/>
  <c r="B284" i="106" s="1"/>
  <c r="D284" i="106" s="1"/>
  <c r="B6216" i="106"/>
  <c r="D6216" i="106" s="1"/>
  <c r="L16" i="11"/>
  <c r="B2061" i="106" s="1"/>
  <c r="D2061" i="106" s="1"/>
  <c r="L114" i="29"/>
  <c r="F41" i="108"/>
  <c r="G43" i="108" s="1"/>
  <c r="N68" i="184"/>
  <c r="K342" i="29"/>
  <c r="F13" i="34" s="1"/>
  <c r="E68" i="184"/>
  <c r="B1381" i="106"/>
  <c r="D1381" i="106"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J78" i="4" s="1"/>
  <c r="F77" i="34"/>
  <c r="B7834" i="106" s="1"/>
  <c r="D7834" i="106"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<sst xmlns="http://schemas.openxmlformats.org/spreadsheetml/2006/main" count="5352" uniqueCount="2120">
  <si>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</si>
  <si>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</si>
  <si>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</si>
  <si>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</si>
  <si>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</si>
  <si>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</si>
  <si>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</si>
  <si>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</si>
  <si>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</si>
  <si>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</si>
  <si>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</si>
  <si>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</si>
  <si>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</si>
  <si>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</si>
  <si>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</si>
  <si>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</si>
  <si>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</si>
  <si>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</si>
  <si>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</si>
  <si>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</si>
  <si>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</si>
  <si>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</si>
  <si>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</si>
  <si>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</si>
  <si>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</si>
  <si>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</si>
  <si>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</si>
  <si>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</si>
  <si>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</si>
  <si>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</si>
  <si>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</si>
  <si>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</si>
  <si>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</si>
  <si>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</si>
  <si>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</si>
  <si>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</si>
  <si>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</si>
  <si>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</si>
  <si>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</si>
  <si>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</si>
  <si>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</si>
  <si>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</si>
  <si>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</si>
  <si>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</si>
  <si>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</si>
  <si>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</si>
  <si>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</si>
  <si>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</si>
  <si>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</si>
  <si>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</si>
  <si>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</si>
  <si>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</si>
  <si>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</si>
  <si>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</si>
  <si>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</si>
  <si>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</si>
  <si>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</si>
  <si>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</si>
  <si>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</si>
  <si>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</si>
  <si>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</si>
  <si>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</si>
  <si>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</si>
  <si>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</si>
  <si>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</si>
  <si>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</si>
  <si>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</si>
  <si>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</si>
  <si>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</si>
  <si>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</si>
  <si>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</si>
  <si>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</si>
  <si>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</si>
  <si>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</si>
  <si>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</si>
  <si>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</si>
  <si>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</si>
  <si>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</si>
  <si>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</si>
  <si>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</si>
  <si>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</si>
  <si>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</si>
  <si>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</si>
  <si>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</si>
  <si>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</si>
  <si>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</si>
  <si>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</si>
  <si>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</si>
  <si>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</si>
  <si>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</si>
  <si>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</si>
  <si>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</si>
  <si>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</si>
  <si>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</si>
  <si>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</si>
  <si>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</si>
  <si>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</si>
  <si>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</si>
  <si>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</si>
  <si>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</si>
  <si>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</si>
  <si>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</si>
  <si>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</si>
  <si>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</si>
  <si>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</si>
  <si>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</si>
  <si>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</si>
  <si>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</si>
  <si>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</si>
  <si>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</si>
  <si>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</si>
  <si>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</si>
  <si>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</si>
  <si>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</si>
  <si>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</si>
  <si>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</si>
  <si>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</si>
  <si>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</si>
  <si>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</si>
  <si>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</si>
  <si>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</si>
  <si>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</si>
  <si>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</si>
  <si>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</si>
  <si>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</si>
  <si>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</si>
  <si>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</si>
  <si>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</si>
  <si>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</si>
  <si>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</si>
  <si>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</si>
  <si>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</si>
  <si>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</si>
  <si>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</si>
  <si>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</si>
  <si>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</si>
  <si>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</si>
  <si>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</si>
  <si>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</si>
  <si>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</si>
  <si>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</si>
  <si>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</si>
  <si>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</si>
  <si>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</si>
  <si>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</si>
  <si>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</si>
  <si>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</si>
  <si>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</si>
  <si>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</si>
  <si>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</si>
  <si>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</si>
  <si>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</si>
  <si>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</si>
  <si>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</si>
  <si>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</si>
  <si>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</si>
  <si>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</si>
  <si>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</si>
  <si>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</si>
  <si>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</si>
  <si>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</si>
  <si>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</si>
  <si>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</si>
  <si>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</si>
  <si>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</si>
  <si>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</si>
  <si>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</si>
  <si>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</si>
  <si>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</si>
  <si>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</si>
  <si>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</si>
  <si>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</si>
  <si>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</si>
  <si>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</si>
  <si>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</si>
  <si>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</si>
  <si>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</si>
  <si>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</si>
  <si>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</si>
  <si>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</si>
  <si>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</si>
  <si>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</si>
  <si>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</si>
  <si>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</si>
  <si>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</si>
  <si>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</si>
  <si>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</si>
  <si>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</si>
  <si>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</si>
  <si>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</si>
  <si>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</si>
  <si>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</si>
  <si>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</si>
  <si>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</si>
  <si>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</si>
  <si>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</si>
  <si>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</si>
  <si>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</si>
  <si>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</si>
  <si>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</si>
  <si>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</si>
  <si>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</si>
  <si>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</si>
  <si>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</si>
  <si>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</si>
  <si>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</si>
  <si>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</si>
  <si>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</si>
  <si>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</si>
  <si>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</si>
  <si>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</si>
  <si>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</si>
  <si>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</si>
  <si>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</si>
  <si>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</si>
  <si>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</si>
  <si>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</si>
  <si>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</si>
  <si>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</si>
  <si>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</si>
  <si>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</si>
  <si>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</si>
  <si>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</si>
  <si>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</si>
  <si>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</si>
  <si>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</si>
  <si>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</si>
  <si>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</si>
  <si>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</si>
  <si>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</si>
  <si>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</si>
  <si>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</si>
  <si>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</si>
  <si>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</si>
  <si>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</si>
  <si>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</si>
  <si>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</si>
  <si>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</si>
  <si>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</si>
  <si>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</si>
  <si>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</si>
  <si>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</si>
  <si>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</si>
  <si>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</si>
  <si>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</si>
  <si>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</si>
  <si>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</si>
  <si>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</si>
  <si>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</si>
  <si>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</si>
  <si>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</si>
  <si>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</si>
  <si>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</si>
  <si>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</si>
  <si>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</si>
  <si>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</si>
  <si>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</si>
  <si>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</si>
  <si>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</si>
  <si>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</si>
  <si>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</si>
  <si>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</si>
  <si>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</si>
  <si>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</si>
  <si>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</si>
  <si>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</si>
  <si>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</si>
  <si>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</si>
  <si>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</si>
  <si>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</si>
  <si>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</si>
  <si>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</si>
  <si>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</si>
  <si>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</si>
  <si>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</si>
  <si>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</si>
  <si>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</si>
  <si>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</si>
  <si>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</si>
  <si>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</si>
  <si>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</si>
  <si>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</si>
  <si>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</si>
  <si>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</si>
  <si>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</si>
  <si>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</si>
  <si>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</si>
  <si>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</si>
  <si>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</si>
  <si>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</si>
  <si>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</si>
  <si>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</si>
  <si>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</si>
  <si>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</si>
  <si>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</si>
  <si>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</si>
  <si>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</si>
  <si>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</si>
  <si>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</si>
  <si>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</si>
  <si>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</si>
  <si>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</si>
  <si>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</si>
  <si>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</si>
  <si>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</si>
  <si>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</si>
  <si>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</si>
  <si>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</si>
  <si>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</si>
  <si>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</si>
  <si>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</si>
  <si>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</si>
  <si>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</si>
  <si>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</si>
  <si>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</si>
  <si>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</si>
  <si>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</si>
  <si>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</si>
  <si>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</si>
  <si>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</si>
  <si>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</si>
  <si>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</si>
  <si>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</si>
  <si>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</si>
  <si>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</si>
  <si>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</si>
  <si>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</si>
  <si>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</si>
  <si>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</si>
  <si>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</si>
  <si>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</si>
  <si>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</si>
  <si>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</si>
  <si>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</si>
  <si>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</si>
  <si>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</si>
  <si>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</si>
  <si>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</si>
  <si>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</si>
  <si>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</si>
  <si>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</si>
  <si>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</si>
  <si>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</si>
  <si>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</si>
  <si>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</si>
  <si>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</si>
  <si>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</si>
  <si>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</si>
  <si>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</si>
  <si>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</si>
  <si>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</si>
  <si>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</si>
  <si>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</si>
  <si>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</si>
  <si>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</si>
  <si>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</si>
  <si>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</si>
  <si>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</si>
  <si>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</si>
  <si>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</si>
  <si>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</si>
  <si>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</si>
  <si>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</si>
  <si>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</si>
  <si>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</si>
  <si>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</si>
  <si>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</si>
  <si>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</si>
  <si>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</si>
  <si>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</si>
  <si>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</si>
  <si>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</si>
  <si>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</si>
  <si>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</si>
  <si>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</si>
  <si>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</si>
  <si>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</si>
  <si>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</si>
  <si>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</si>
  <si>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</si>
  <si>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</si>
  <si>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</si>
  <si>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</si>
  <si>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</si>
  <si>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</si>
  <si>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</si>
  <si>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</si>
  <si>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</si>
  <si>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</si>
  <si>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</si>
  <si>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</si>
  <si>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</si>
  <si>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</si>
  <si>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</si>
  <si>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</si>
  <si>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</si>
  <si>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</si>
  <si>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</si>
  <si>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</si>
  <si>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</si>
  <si>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</si>
  <si>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</si>
  <si>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</si>
  <si>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</si>
  <si>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</si>
  <si>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</si>
  <si>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</si>
  <si>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</si>
  <si>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</si>
  <si>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</si>
  <si>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</si>
  <si>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</si>
  <si>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</si>
  <si>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</si>
  <si>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</si>
  <si>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</si>
  <si>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</si>
  <si>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</si>
  <si>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</si>
  <si>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</si>
  <si>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</si>
  <si>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</si>
  <si>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</si>
  <si>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</si>
  <si>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</si>
  <si>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</si>
  <si>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</si>
  <si>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</si>
  <si>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</si>
  <si>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</si>
  <si>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</si>
  <si>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</si>
  <si>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</si>
  <si>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</si>
  <si>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</si>
  <si>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</si>
  <si>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</si>
  <si>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</si>
  <si>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</si>
  <si>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</si>
  <si>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</si>
  <si>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</si>
  <si>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</si>
  <si>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</si>
  <si>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</si>
  <si>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</si>
  <si>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</si>
  <si>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</si>
  <si>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</si>
  <si>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</si>
  <si>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</si>
  <si>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</si>
  <si>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</si>
  <si>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</si>
  <si>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</si>
  <si>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</si>
  <si>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</si>
  <si>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</si>
  <si>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</si>
  <si>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</si>
  <si>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</si>
  <si>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</si>
  <si>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</si>
  <si>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</si>
  <si>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</si>
  <si>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</si>
  <si>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</si>
  <si>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</si>
  <si>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</si>
  <si>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</si>
  <si>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</si>
  <si>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</si>
  <si>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</si>
  <si>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</si>
  <si>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</si>
  <si>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</si>
  <si>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</si>
  <si>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</si>
  <si>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</si>
  <si>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</si>
  <si>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</si>
  <si>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</si>
  <si>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</si>
  <si>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</si>
  <si>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</si>
  <si>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</si>
  <si>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</si>
  <si>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</si>
  <si>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</si>
  <si>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</si>
  <si>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</si>
  <si>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</si>
  <si>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</si>
  <si>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</si>
  <si>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</si>
  <si>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</si>
  <si>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</si>
  <si>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</si>
  <si>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</si>
  <si>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</si>
  <si>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</si>
  <si>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</si>
  <si>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</si>
  <si>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</si>
  <si>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</si>
  <si>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</si>
  <si>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</si>
  <si>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</si>
  <si>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</si>
  <si>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</si>
  <si>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</si>
  <si>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</si>
  <si>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</si>
  <si>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</si>
  <si>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</si>
  <si>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</si>
  <si>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</si>
  <si>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</si>
  <si>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</si>
  <si>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</si>
  <si>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</si>
  <si>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</si>
  <si>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</si>
  <si>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</si>
  <si>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</si>
  <si>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</si>
  <si>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</si>
  <si>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</si>
  <si>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</si>
  <si>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</si>
  <si>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</si>
  <si>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</si>
  <si>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</si>
  <si>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</si>
  <si>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</si>
  <si>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</si>
  <si>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</si>
  <si>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</si>
  <si>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</si>
  <si>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</si>
  <si>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</si>
  <si>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</si>
  <si>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</si>
  <si>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</si>
  <si>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</si>
  <si>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</si>
  <si>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</si>
  <si>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</si>
  <si>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</si>
  <si>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</si>
  <si>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</si>
  <si>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</si>
  <si>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</si>
  <si>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</si>
  <si>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</si>
  <si>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</si>
  <si>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</si>
  <si>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</si>
  <si>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</si>
  <si>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</si>
  <si>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</si>
  <si>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</si>
  <si>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</si>
  <si>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</si>
  <si>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</si>
  <si>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</si>
  <si>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</si>
  <si>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</si>
  <si>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</si>
  <si>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</si>
  <si>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</si>
  <si>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</si>
  <si>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</si>
  <si>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</si>
  <si>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</si>
  <si>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</si>
  <si>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</si>
  <si>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</si>
  <si>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</si>
  <si>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</si>
  <si>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</si>
  <si>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</si>
  <si>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</si>
  <si>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</si>
  <si>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</si>
  <si>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</si>
  <si>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</si>
  <si>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</si>
  <si>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</si>
  <si>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</si>
  <si>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</si>
  <si>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</si>
  <si>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</si>
  <si>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</si>
  <si>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</si>
  <si>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</si>
  <si>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</si>
  <si>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</si>
  <si>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</si>
  <si>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</si>
  <si>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</si>
  <si>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</si>
  <si>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</si>
  <si>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</si>
  <si>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</si>
  <si>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</si>
  <si>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</si>
  <si>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</si>
  <si>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</si>
  <si>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</si>
  <si>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</si>
  <si>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</si>
  <si>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</si>
  <si>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</si>
  <si>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</si>
  <si>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</si>
  <si>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</si>
  <si>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</si>
  <si>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</si>
  <si>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</si>
  <si>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</si>
  <si>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</si>
  <si>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</si>
  <si>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</si>
  <si>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</si>
  <si>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</si>
  <si>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</si>
  <si>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</si>
  <si>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</si>
  <si>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</si>
  <si>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</si>
  <si>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</si>
  <si>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</si>
  <si>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</si>
  <si>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</si>
  <si>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</si>
  <si>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</si>
  <si>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</si>
  <si>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</si>
  <si>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</si>
  <si>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</si>
  <si>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</si>
  <si>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</si>
  <si>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</si>
  <si>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</si>
  <si>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</si>
  <si>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</si>
  <si>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</si>
  <si>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</si>
  <si>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</si>
  <si>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</si>
  <si>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</si>
  <si>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</si>
  <si>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</si>
  <si>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</si>
  <si>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</si>
  <si>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</si>
  <si>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</si>
  <si>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</si>
  <si>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</si>
  <si>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</si>
  <si>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</si>
  <si>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</si>
  <si>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</si>
  <si>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</si>
  <si>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</si>
  <si>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</si>
  <si>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</si>
  <si>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</si>
  <si>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</si>
  <si>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</si>
  <si>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</si>
  <si>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</si>
  <si>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</si>
  <si>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</si>
  <si>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</si>
  <si>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</si>
  <si>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</si>
  <si>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</si>
  <si>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</si>
  <si>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</si>
  <si>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</si>
  <si>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</si>
  <si>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</si>
  <si>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</si>
  <si>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</si>
  <si>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</si>
  <si>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</si>
  <si>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</si>
  <si>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</si>
  <si>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</si>
  <si>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</si>
  <si>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</si>
  <si>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</si>
  <si>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</si>
  <si>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</si>
  <si>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</si>
  <si>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</si>
  <si>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</si>
  <si>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</si>
  <si>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</si>
  <si>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</si>
  <si>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</si>
  <si>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</si>
  <si>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</si>
  <si>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</si>
  <si>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</si>
  <si>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</si>
  <si>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</si>
  <si>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</si>
  <si>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</si>
  <si>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</si>
  <si>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</si>
  <si>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</si>
  <si>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</si>
  <si>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</si>
  <si>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</si>
  <si>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</si>
  <si>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</si>
  <si>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</si>
  <si>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</si>
  <si>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</si>
  <si>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</si>
  <si>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</si>
  <si>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</si>
  <si>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</si>
  <si>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</si>
  <si>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</si>
  <si>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</si>
  <si>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</si>
  <si>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</si>
  <si>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</si>
  <si>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</si>
  <si>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</si>
  <si>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</si>
  <si>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</si>
  <si>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</si>
  <si>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</si>
  <si>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</si>
  <si>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</si>
  <si>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</si>
  <si>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</si>
  <si>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</si>
  <si>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</si>
  <si>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</si>
  <si>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</si>
  <si>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</si>
  <si>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</si>
  <si>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</si>
  <si>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</si>
  <si>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</si>
  <si>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</si>
  <si>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</si>
  <si>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</si>
  <si>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</si>
  <si>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</si>
  <si>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</si>
  <si>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</si>
  <si>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</si>
  <si>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</si>
  <si>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</si>
  <si>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</si>
  <si>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</si>
  <si>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</si>
  <si>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</si>
  <si>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</si>
  <si>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</si>
  <si>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</si>
  <si>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</si>
  <si>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</si>
  <si>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</si>
  <si>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</si>
  <si>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</si>
  <si>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</si>
  <si>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</si>
  <si>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</si>
  <si>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</si>
  <si>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</si>
  <si>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</si>
  <si>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</si>
  <si>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</si>
  <si>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</si>
  <si>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</si>
  <si>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</si>
  <si>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</si>
  <si>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</si>
  <si>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</si>
  <si>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</si>
  <si>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</si>
  <si>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</si>
  <si>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</si>
  <si>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</si>
  <si>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</si>
  <si>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</si>
  <si>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</si>
  <si>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</si>
  <si>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</si>
  <si>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</si>
  <si>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</si>
  <si>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</si>
  <si>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</si>
  <si>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</si>
  <si>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</si>
  <si>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</si>
  <si>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</si>
  <si>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</si>
  <si>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</si>
  <si>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</si>
  <si>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</si>
  <si>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</si>
  <si>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</si>
  <si>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</si>
  <si>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</si>
  <si>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</si>
  <si>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</si>
  <si>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</si>
  <si>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</si>
  <si>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</si>
  <si>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</si>
  <si>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</si>
  <si>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</si>
  <si>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</si>
  <si>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</si>
  <si>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</si>
  <si>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</si>
  <si>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</si>
  <si>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</si>
  <si>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</si>
  <si>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</si>
  <si>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</si>
  <si>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</si>
  <si>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</si>
  <si>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</si>
  <si>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</si>
  <si>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</si>
  <si>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</si>
  <si>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</si>
  <si>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</si>
  <si>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</si>
  <si>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</si>
  <si>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</si>
  <si>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</si>
  <si>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</si>
  <si>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</si>
  <si>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</si>
  <si>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</si>
  <si>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</si>
  <si>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</si>
  <si>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</si>
  <si>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</si>
  <si>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</si>
  <si>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</si>
  <si>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</si>
  <si>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</si>
  <si>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</si>
  <si>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</si>
  <si>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</si>
  <si>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</si>
  <si>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</si>
  <si>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</si>
  <si>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</si>
  <si>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</si>
  <si>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</si>
  <si>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</si>
  <si>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</si>
  <si>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</si>
  <si>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</si>
  <si>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</si>
  <si>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</si>
  <si>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</si>
  <si>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</si>
  <si>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</si>
  <si>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</si>
  <si>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</si>
  <si>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</si>
  <si>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</si>
  <si>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</si>
  <si>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</si>
  <si>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</si>
  <si>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</si>
  <si>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</si>
  <si>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</si>
  <si>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</si>
  <si>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</si>
  <si>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</si>
  <si>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</si>
  <si>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</si>
  <si>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</si>
  <si>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</si>
  <si>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</si>
  <si>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</si>
  <si>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</si>
  <si>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</si>
  <si>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</si>
  <si>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</si>
  <si>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</si>
  <si>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</si>
  <si>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</si>
  <si>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</si>
  <si>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</si>
  <si>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</si>
  <si>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</si>
  <si>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</si>
  <si>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</si>
  <si>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</si>
  <si>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</si>
  <si>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</si>
  <si>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</si>
  <si>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</si>
  <si>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</si>
  <si>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</si>
  <si>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</si>
  <si>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</si>
  <si>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</si>
  <si>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</si>
  <si>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</si>
  <si>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</si>
  <si>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</si>
  <si>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</si>
  <si>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</si>
  <si>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</si>
  <si>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</si>
  <si>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</si>
  <si>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</si>
  <si>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</si>
  <si>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</si>
  <si>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</si>
  <si>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</si>
  <si>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</si>
  <si>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</si>
  <si>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</si>
  <si>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</si>
  <si>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</si>
  <si>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</si>
  <si>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</si>
  <si>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</si>
  <si>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</si>
  <si>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</si>
  <si>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</si>
  <si>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</si>
  <si>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</si>
  <si>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</si>
  <si>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</si>
  <si>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</si>
  <si>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</si>
  <si>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</si>
  <si>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</si>
  <si>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</si>
  <si>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</si>
  <si>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</si>
  <si>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</si>
  <si>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</si>
  <si>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</si>
  <si>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</si>
  <si>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</si>
  <si>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</si>
  <si>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</si>
  <si>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</si>
  <si>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</si>
  <si>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</si>
  <si>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</si>
  <si>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</si>
  <si>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</si>
  <si>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</si>
  <si>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</si>
  <si>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</si>
  <si>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</si>
  <si>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</si>
  <si>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</si>
  <si>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</si>
  <si>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</si>
  <si>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</si>
  <si>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</si>
  <si>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</si>
  <si>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</si>
  <si>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</si>
  <si>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</si>
  <si>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</si>
  <si>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</si>
  <si>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</si>
  <si>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</si>
  <si>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</si>
  <si>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</si>
  <si>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</si>
  <si>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</si>
  <si>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</si>
  <si>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</si>
  <si>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</si>
  <si>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</si>
  <si>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</si>
  <si>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</si>
  <si>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</si>
  <si>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</si>
  <si>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</si>
  <si>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</si>
  <si>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</si>
  <si>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</si>
  <si>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</si>
  <si>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</si>
  <si>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</si>
  <si>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</si>
  <si>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</si>
  <si>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</si>
  <si>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</si>
  <si>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</si>
  <si>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</si>
  <si>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</si>
  <si>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</si>
  <si>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</si>
  <si>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</si>
  <si>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</si>
  <si>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</si>
  <si>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</si>
  <si>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</si>
  <si>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</si>
  <si>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</si>
  <si>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</si>
  <si>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</si>
  <si>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</si>
  <si>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</si>
  <si>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</si>
  <si>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</si>
  <si>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</si>
  <si>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</si>
  <si>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</si>
  <si>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</si>
  <si>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</si>
  <si>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</si>
  <si>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</si>
  <si>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</si>
  <si>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</si>
  <si>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</si>
  <si>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</si>
  <si>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</si>
  <si>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</si>
  <si>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</si>
  <si>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</si>
  <si>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</si>
  <si>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</si>
  <si>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</si>
  <si>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</si>
  <si>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</si>
  <si>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</si>
  <si>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</si>
  <si>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</si>
  <si>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</si>
  <si>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</si>
  <si>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</si>
  <si>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</si>
  <si>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</si>
  <si>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</si>
  <si>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</si>
  <si>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</si>
  <si>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</si>
  <si>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</si>
  <si>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</si>
  <si>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</si>
  <si>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</si>
  <si>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</si>
  <si>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</si>
  <si>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</si>
  <si>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</si>
  <si>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</si>
  <si>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</si>
  <si>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</si>
  <si>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</si>
  <si>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</si>
  <si>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</si>
  <si>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</si>
  <si>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</si>
  <si>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</si>
  <si>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</si>
  <si>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</si>
  <si>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</si>
  <si>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</si>
  <si>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</si>
  <si>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</si>
  <si>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</si>
  <si>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</si>
  <si>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</si>
  <si>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</si>
  <si>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</si>
  <si>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</si>
  <si>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</si>
  <si>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</si>
  <si>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</si>
  <si>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</si>
  <si>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</si>
  <si>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</si>
  <si>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</si>
  <si>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</si>
  <si>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</si>
  <si>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</si>
  <si>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</si>
  <si>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</si>
  <si>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</si>
  <si>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</si>
  <si>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</si>
  <si>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</si>
  <si>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</si>
  <si>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</si>
  <si>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</si>
  <si>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</si>
  <si>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</si>
  <si>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</si>
  <si>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</si>
  <si>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</si>
  <si>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</si>
  <si>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</si>
  <si>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</si>
  <si>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</si>
  <si>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</si>
  <si>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</si>
  <si>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</si>
  <si>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</si>
  <si>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</si>
  <si>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</si>
  <si>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</si>
  <si>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</si>
  <si>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</si>
  <si>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</si>
  <si>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</si>
  <si>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</si>
  <si>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</si>
  <si>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</si>
  <si>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</si>
  <si>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</si>
  <si>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</si>
  <si>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</si>
  <si>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</si>
  <si>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</si>
  <si>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</si>
  <si>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</si>
  <si>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</si>
  <si>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</si>
  <si>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</si>
  <si>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</si>
  <si>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</si>
  <si>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</si>
  <si>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</si>
  <si>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</si>
  <si>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</si>
  <si>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</si>
  <si>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</si>
  <si>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</si>
  <si>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</si>
  <si>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</si>
  <si>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</si>
  <si>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</si>
  <si>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</si>
  <si>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</si>
  <si>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</si>
  <si>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</si>
  <si>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</si>
  <si>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</si>
  <si>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</si>
  <si>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</si>
  <si>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</si>
  <si>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</si>
  <si>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</si>
  <si>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</si>
  <si>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</si>
  <si>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</si>
  <si>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</si>
  <si>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</si>
  <si>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</si>
  <si>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</si>
  <si>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</si>
  <si>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</si>
  <si>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</si>
  <si>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</si>
  <si>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</si>
  <si>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</si>
  <si>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</si>
  <si>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</si>
  <si>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</si>
  <si>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</si>
  <si>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</si>
  <si>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</si>
  <si>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</si>
  <si>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</si>
  <si>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</si>
  <si>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</si>
  <si>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</si>
  <si>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</si>
  <si>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</si>
  <si>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</si>
  <si>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</si>
  <si>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</si>
  <si>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</si>
  <si>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</si>
  <si>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</si>
  <si>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</si>
  <si>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</si>
  <si>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</si>
  <si>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</si>
  <si>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</si>
  <si>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</si>
  <si>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</si>
  <si>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</si>
  <si>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</si>
  <si>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</si>
  <si>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</si>
  <si>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</si>
  <si>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</si>
  <si>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</si>
  <si>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</si>
  <si>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</si>
  <si>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</si>
  <si>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</si>
  <si>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</si>
  <si>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</si>
  <si>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</si>
  <si>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</si>
  <si>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</si>
  <si>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</si>
  <si>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</si>
  <si>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</si>
  <si>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</si>
  <si>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</si>
  <si>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</si>
  <si>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</si>
  <si>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</si>
  <si>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</si>
  <si>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</si>
  <si>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</si>
  <si>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</si>
  <si>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</si>
  <si>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</si>
  <si>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</si>
  <si>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</si>
  <si>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</si>
  <si>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</si>
  <si>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</si>
  <si>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</si>
  <si>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</si>
  <si>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</si>
  <si>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</si>
  <si>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</si>
  <si>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</si>
  <si>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</si>
  <si>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</si>
  <si>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</si>
  <si>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</si>
  <si>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</si>
  <si>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</si>
  <si>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</si>
  <si>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</si>
  <si>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</si>
  <si>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</si>
  <si>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</si>
  <si>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</si>
  <si>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</si>
  <si>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</si>
  <si>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</si>
  <si>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</si>
  <si>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</si>
  <si>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</si>
  <si>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</si>
  <si>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</si>
  <si>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</si>
  <si>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</si>
  <si>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</si>
  <si>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</si>
  <si>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</si>
  <si>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</si>
  <si>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</si>
  <si>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</si>
  <si>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</si>
  <si>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</si>
  <si>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</si>
  <si>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</si>
  <si>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</si>
  <si>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</si>
  <si>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</si>
  <si>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</si>
  <si>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</si>
  <si>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</si>
  <si>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</si>
  <si>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</si>
  <si>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</si>
  <si>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</si>
  <si>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</si>
  <si>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</si>
  <si>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</si>
  <si>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</si>
  <si>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</si>
  <si>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</si>
  <si>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</si>
  <si>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</si>
  <si>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</si>
  <si>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</si>
  <si>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</si>
  <si>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</si>
  <si>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</si>
  <si>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</si>
  <si>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</si>
  <si>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</si>
  <si>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</si>
  <si>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</si>
  <si>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</si>
  <si>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</si>
  <si>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</si>
  <si>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</si>
  <si>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</si>
  <si>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</si>
  <si>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</si>
  <si>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</si>
  <si>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</si>
  <si>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</si>
  <si>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</si>
  <si>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</si>
  <si>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</si>
  <si>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</si>
  <si>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</si>
  <si>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</si>
  <si>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</si>
  <si>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</si>
  <si>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</si>
  <si>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</si>
  <si>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</si>
  <si>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</si>
  <si>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</si>
  <si>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</si>
  <si>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</si>
  <si>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</si>
  <si>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</si>
  <si>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</si>
  <si>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</si>
  <si>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</si>
  <si>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</si>
  <si>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</si>
  <si>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</si>
  <si>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</si>
  <si>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</si>
  <si>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</si>
  <si>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</si>
  <si>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</si>
  <si>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</si>
  <si>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</si>
  <si>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</si>
  <si>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</si>
  <si>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</si>
  <si>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</si>
  <si>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</si>
  <si>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</si>
  <si>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</si>
  <si>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</si>
  <si>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</si>
  <si>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</si>
  <si>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</si>
  <si>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</si>
  <si>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</si>
  <si>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</si>
  <si>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</si>
  <si>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</si>
  <si>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</si>
  <si>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</si>
  <si>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</si>
  <si>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</si>
  <si>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</si>
  <si>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</si>
  <si>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</si>
  <si>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</si>
  <si>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</si>
  <si>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</si>
  <si>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</si>
  <si>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</si>
  <si>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</si>
  <si>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</si>
  <si>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</si>
  <si>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</si>
  <si>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</si>
  <si>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</si>
  <si>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</si>
  <si>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</si>
  <si>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</si>
  <si>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</si>
  <si>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</si>
  <si>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</si>
  <si>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</si>
  <si>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</si>
  <si>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</si>
  <si>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</si>
  <si>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</si>
  <si>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</si>
  <si>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</si>
  <si>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</si>
  <si>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</si>
  <si>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</si>
  <si>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</si>
  <si>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</si>
  <si>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</si>
  <si>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</si>
  <si>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</si>
  <si>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</si>
  <si>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</si>
  <si>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</si>
  <si>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</si>
  <si>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</si>
  <si>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</si>
  <si>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</si>
  <si>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</si>
  <si>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</si>
  <si>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</si>
  <si>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</si>
  <si>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</si>
  <si>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</si>
  <si>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</si>
  <si>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</si>
  <si>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</si>
  <si>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</si>
  <si>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</si>
  <si>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</si>
  <si>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</si>
  <si>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</si>
  <si>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</si>
  <si>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</si>
  <si>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</si>
  <si>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</si>
  <si>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</si>
  <si>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</si>
  <si>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</si>
  <si>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</si>
  <si>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</si>
  <si>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</si>
  <si>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</si>
  <si>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</si>
  <si>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</si>
  <si>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</si>
  <si>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</si>
  <si>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</si>
  <si>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</si>
  <si>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</si>
  <si>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</si>
  <si>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</si>
  <si>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</si>
  <si>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</si>
  <si>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</si>
  <si>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</si>
  <si>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</si>
  <si>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</si>
  <si>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</si>
  <si>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</si>
  <si>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</si>
  <si>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</si>
  <si>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</si>
  <si>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</si>
  <si>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</si>
  <si>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</si>
  <si>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</si>
  <si>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</si>
  <si>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</si>
  <si>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</si>
  <si>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</si>
  <si>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</si>
  <si>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</si>
  <si>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</si>
  <si>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</si>
  <si>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</si>
  <si>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</si>
  <si>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</si>
  <si>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</si>
  <si>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</si>
  <si>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</si>
  <si>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</si>
  <si>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</si>
  <si>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</si>
  <si>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</si>
  <si>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</si>
  <si>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</si>
  <si>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</si>
  <si>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</si>
  <si>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</si>
  <si>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</si>
  <si>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</si>
  <si>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</si>
  <si>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</si>
  <si>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</si>
  <si>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</si>
  <si>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</si>
  <si>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</si>
  <si>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</si>
  <si>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</si>
  <si>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</si>
  <si>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</si>
  <si>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</si>
  <si>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</si>
  <si>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</si>
  <si>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</si>
  <si>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</si>
  <si>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</si>
  <si>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</si>
  <si>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</si>
  <si>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</si>
  <si>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</si>
  <si>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</si>
  <si>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</si>
  <si>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</si>
  <si>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</si>
  <si>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</si>
  <si>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</si>
  <si>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</si>
  <si>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</si>
  <si>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</si>
  <si>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</si>
  <si>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</si>
  <si>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</si>
  <si>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</si>
  <si>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</si>
  <si>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</si>
  <si>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</si>
  <si>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</si>
  <si>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</si>
  <si>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</si>
  <si>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</si>
  <si>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</si>
  <si>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</si>
  <si>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</si>
  <si>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</si>
  <si>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</si>
  <si>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</si>
  <si>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</si>
  <si>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</si>
  <si>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</si>
  <si>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</si>
  <si>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</si>
  <si>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</si>
  <si>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</si>
  <si>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</si>
  <si>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</si>
  <si>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</si>
  <si>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</si>
  <si>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</si>
  <si>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</si>
  <si>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</si>
  <si>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</si>
  <si>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</si>
  <si>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</si>
  <si>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</si>
  <si>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</si>
  <si>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</si>
  <si>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</si>
  <si>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</si>
  <si>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</si>
  <si>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</si>
  <si>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</si>
  <si>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</si>
  <si>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</si>
  <si>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</si>
  <si>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</si>
  <si>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</si>
  <si>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</si>
  <si>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</si>
  <si>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</si>
  <si>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</si>
  <si>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</si>
  <si>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</si>
  <si>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</si>
  <si>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</si>
  <si>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</si>
  <si>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</si>
  <si>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</si>
  <si>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</si>
  <si>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</si>
  <si>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</si>
  <si>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</si>
  <si>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</si>
  <si>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</si>
  <si>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</si>
  <si>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</si>
  <si>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</si>
  <si>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</si>
  <si>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</si>
  <si>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</si>
  <si>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</si>
  <si>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</si>
  <si>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</si>
  <si>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</si>
  <si>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</si>
  <si>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</si>
  <si>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</si>
  <si>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</si>
  <si>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</si>
  <si>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</si>
  <si>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</si>
  <si>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</si>
  <si>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</si>
  <si>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</si>
  <si>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</si>
  <si>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</si>
  <si>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</si>
  <si>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</si>
  <si>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</si>
  <si>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</si>
  <si>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</si>
  <si>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</si>
  <si>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</si>
  <si>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</si>
  <si>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</si>
  <si>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</si>
  <si>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</si>
  <si>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</si>
  <si>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</si>
  <si>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</si>
  <si>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</si>
  <si>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</si>
  <si>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</si>
  <si>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</si>
  <si>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</si>
  <si>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</si>
  <si>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</si>
  <si>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</si>
  <si>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</si>
  <si>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</si>
  <si>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</si>
  <si>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</si>
  <si>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</si>
  <si>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</si>
  <si>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</si>
  <si>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</si>
  <si>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</si>
  <si>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</si>
  <si>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</si>
  <si>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</si>
  <si>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</si>
  <si>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</si>
  <si>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</si>
  <si>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</si>
  <si>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</si>
  <si>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</si>
  <si>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</si>
  <si>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</si>
  <si>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</si>
  <si>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</si>
  <si>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</si>
  <si>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</si>
  <si>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</si>
  <si>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</si>
  <si>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</si>
  <si>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</si>
  <si>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</si>
  <si>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</si>
  <si>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</si>
  <si>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</si>
  <si>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</si>
  <si>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</si>
  <si>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</si>
  <si>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</si>
  <si>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</si>
  <si>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</si>
  <si>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</si>
  <si>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</si>
  <si>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</si>
  <si>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</si>
  <si>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</si>
  <si>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</si>
  <si>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</si>
  <si>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</si>
  <si>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</si>
  <si>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</si>
  <si>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</si>
  <si>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</si>
  <si>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</si>
  <si>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</si>
  <si>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</si>
  <si>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</si>
  <si>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</si>
  <si>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</si>
  <si>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</si>
  <si>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</si>
  <si>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</si>
  <si>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</si>
  <si>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</si>
  <si>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</si>
  <si>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</si>
  <si>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</si>
  <si>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</si>
  <si>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</si>
  <si>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</si>
  <si>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</si>
  <si>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</si>
  <si>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</si>
  <si>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</si>
  <si>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</si>
  <si>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</si>
  <si>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</si>
  <si>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</si>
  <si>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</si>
  <si>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</si>
  <si>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</si>
  <si>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</si>
  <si>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</si>
  <si>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</si>
  <si>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</si>
  <si>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</si>
  <si>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</si>
  <si>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</si>
  <si>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</si>
  <si>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</si>
  <si>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</si>
  <si>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</si>
  <si>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</si>
  <si>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</si>
  <si>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</si>
  <si>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</si>
  <si>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</si>
  <si>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</si>
  <si>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</si>
  <si>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</si>
  <si>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</si>
  <si>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</si>
  <si>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</si>
  <si>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</si>
  <si>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</si>
  <si>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</si>
  <si>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</si>
  <si>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</si>
  <si>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</si>
  <si>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</si>
  <si>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</si>
  <si>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</si>
  <si>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</si>
  <si>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</si>
  <si>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</si>
  <si>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</si>
  <si>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</si>
  <si>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</si>
  <si>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</si>
  <si>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</si>
  <si>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</si>
  <si>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</si>
  <si>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</si>
  <si>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</si>
  <si>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</si>
  <si>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</si>
  <si>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</si>
  <si>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</si>
  <si>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</si>
  <si>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</si>
  <si>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</si>
  <si>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</si>
  <si>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</si>
  <si>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</si>
  <si>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</si>
  <si>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</si>
  <si>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</si>
  <si>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</si>
  <si>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</si>
  <si>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</si>
  <si>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</si>
  <si>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</si>
  <si>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</si>
  <si>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</si>
  <si>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</si>
  <si>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</si>
  <si>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</si>
  <si>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</si>
  <si>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</si>
  <si>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</si>
  <si>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</si>
  <si>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</si>
  <si>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</si>
  <si>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</si>
  <si>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</si>
  <si>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</si>
  <si>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</si>
  <si>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</si>
  <si>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</si>
  <si>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</si>
  <si>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</si>
  <si>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</si>
  <si>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</si>
  <si>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</si>
  <si>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</si>
  <si>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</si>
  <si>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</si>
  <si>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</si>
  <si>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</si>
  <si>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</si>
  <si>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</si>
  <si>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</si>
  <si>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</si>
  <si>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</si>
  <si>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</si>
  <si>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</si>
  <si>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</si>
  <si>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</si>
  <si>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</si>
  <si>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</si>
  <si>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</si>
  <si>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</si>
  <si>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</si>
  <si>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</si>
  <si>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</si>
  <si>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</si>
  <si>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</si>
  <si>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</si>
  <si>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</si>
  <si>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</si>
  <si>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</si>
  <si>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</si>
  <si>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</si>
  <si>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</si>
  <si>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</si>
  <si>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</si>
  <si>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</si>
  <si>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</si>
  <si>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</si>
  <si>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</si>
  <si>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</si>
  <si>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</si>
  <si>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</si>
  <si>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</si>
  <si>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</si>
  <si>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</si>
  <si>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</si>
  <si>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</si>
  <si>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</si>
  <si>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</si>
  <si>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</si>
  <si>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</si>
  <si>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</si>
  <si>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</si>
  <si>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</si>
  <si>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</si>
  <si>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</si>
  <si>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</si>
  <si>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</si>
  <si>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</si>
  <si>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</si>
  <si>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</si>
  <si>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</si>
  <si>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</si>
  <si>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</si>
  <si>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</si>
  <si>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</si>
  <si>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</si>
  <si>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</si>
  <si>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</si>
  <si>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</si>
  <si>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</si>
  <si>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</si>
  <si>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</si>
  <si>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</si>
  <si>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</si>
  <si>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</si>
  <si>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</si>
  <si>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</si>
  <si>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</si>
  <si>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</si>
  <si>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</si>
  <si>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</si>
  <si>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</si>
  <si>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</si>
  <si>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</si>
  <si>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</si>
  <si>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</si>
  <si>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</si>
  <si>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</si>
  <si>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</si>
  <si>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</si>
  <si>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</si>
  <si>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</si>
  <si>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</si>
  <si>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</si>
  <si>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</si>
  <si>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</si>
  <si>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</si>
  <si>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</si>
  <si>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</si>
  <si>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</si>
  <si>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</si>
  <si>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</si>
  <si>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</si>
  <si>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</si>
  <si>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</si>
  <si>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</si>
  <si>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</si>
  <si>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</si>
  <si>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</si>
  <si>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</si>
  <si>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</si>
  <si>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</si>
  <si>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</si>
  <si>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</si>
  <si>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</si>
  <si>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</si>
  <si>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</si>
  <si>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</si>
  <si>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</si>
  <si>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</si>
  <si>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</si>
  <si>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</si>
  <si>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</si>
  <si>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</si>
  <si>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</si>
  <si>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</si>
  <si>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</si>
  <si>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</si>
  <si>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</si>
  <si>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</si>
  <si>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</si>
  <si>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</si>
  <si>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</si>
  <si>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</si>
  <si>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</si>
  <si>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</si>
  <si>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</si>
  <si>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</si>
  <si>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</si>
  <si>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</si>
  <si>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</si>
  <si>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</si>
  <si>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</si>
  <si>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</si>
  <si>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</si>
  <si>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</si>
  <si>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</si>
  <si>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</si>
  <si>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</si>
  <si>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</si>
  <si>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</si>
  <si>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</si>
  <si>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</si>
  <si>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</si>
  <si>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</si>
  <si>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</si>
  <si>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</si>
  <si>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</si>
  <si>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</si>
  <si>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</si>
  <si>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</si>
  <si>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</si>
  <si>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</si>
  <si>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</si>
  <si>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</si>
  <si>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</si>
  <si>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</si>
  <si>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</si>
  <si>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</si>
  <si>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</si>
  <si>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</si>
  <si>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</si>
  <si>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</si>
  <si>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</si>
  <si>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</si>
  <si>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</si>
  <si>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</si>
  <si>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</si>
  <si>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</si>
  <si>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</si>
  <si>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</si>
  <si>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</si>
  <si>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</si>
  <si>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</si>
  <si>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</si>
  <si>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</si>
  <si>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</si>
  <si>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</si>
  <si>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</si>
  <si>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</si>
  <si>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</si>
  <si>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</si>
  <si>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</si>
  <si>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</si>
  <si>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</si>
  <si>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</si>
  <si>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</si>
  <si>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</si>
  <si>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</si>
  <si>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</si>
  <si>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</si>
  <si>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</si>
  <si>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</si>
  <si>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</si>
  <si>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</si>
  <si>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</si>
  <si>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</si>
  <si>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</si>
  <si>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</si>
  <si>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</si>
  <si>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</si>
  <si>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</si>
  <si>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</si>
  <si>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</si>
  <si>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</si>
  <si>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</si>
  <si>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</si>
  <si>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</si>
  <si>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</si>
  <si>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</si>
  <si>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</si>
  <si>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</si>
  <si>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</si>
  <si>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</si>
  <si>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</si>
  <si>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</si>
  <si>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</si>
  <si>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</si>
  <si>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</si>
  <si>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</si>
  <si>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</si>
  <si>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</si>
  <si>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</si>
  <si>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</si>
  <si>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</si>
  <si>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</si>
  <si>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</si>
  <si>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</si>
  <si>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</si>
  <si>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</si>
  <si>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</si>
  <si>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</si>
  <si>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</si>
  <si>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</si>
  <si>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</si>
  <si>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</si>
  <si>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</si>
  <si>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</si>
  <si>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</si>
  <si>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</si>
  <si>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</si>
  <si>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</si>
  <si>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</si>
  <si>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</si>
  <si>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</si>
  <si>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</si>
  <si>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</si>
  <si>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</si>
  <si>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</si>
  <si>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</si>
  <si>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</si>
  <si>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</si>
  <si>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</si>
  <si>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</si>
  <si>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</si>
  <si>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</si>
  <si>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</si>
  <si>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</si>
  <si>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</si>
  <si>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</si>
  <si>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</si>
  <si>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</si>
  <si>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</si>
  <si>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</si>
  <si>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</si>
  <si>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</si>
  <si>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 xml:space="preserve">Kankakee </t>
  </si>
  <si>
    <t>X</t>
  </si>
  <si>
    <t>Hoopeston</t>
  </si>
  <si>
    <t>IL</t>
  </si>
  <si>
    <t>217-283-9336</t>
  </si>
  <si>
    <t>217-283-9736</t>
  </si>
  <si>
    <t>065-018319</t>
  </si>
  <si>
    <t>Russ Leigh</t>
  </si>
  <si>
    <t xml:space="preserve">228 East Main </t>
  </si>
  <si>
    <t>admin@russleigh.com</t>
  </si>
  <si>
    <t>Russell Leigh &amp; Associates LLC</t>
  </si>
  <si>
    <t>Russell Leigh &amp; Assiciates LLC</t>
  </si>
  <si>
    <t xml:space="preserve">  </t>
  </si>
  <si>
    <t>700 North Street</t>
  </si>
  <si>
    <t xml:space="preserve">Bradley  </t>
  </si>
  <si>
    <t>Dr Scott Wakeley</t>
  </si>
  <si>
    <t>815-937-3707</t>
  </si>
  <si>
    <t>815-937-0156</t>
  </si>
  <si>
    <t>Alternative Revenue Bonds</t>
  </si>
  <si>
    <t>Working Cash Bonds</t>
  </si>
  <si>
    <t>Refunding Bonds</t>
  </si>
  <si>
    <t>Refunding Bonds-Alternative Revenue Sources</t>
  </si>
  <si>
    <t>x</t>
  </si>
  <si>
    <t>Regional Office of Education</t>
  </si>
  <si>
    <t>Kankakee Area Career Center</t>
  </si>
  <si>
    <t>GCA Services Group</t>
  </si>
  <si>
    <t>FRED'S ENTERPRISES INC</t>
  </si>
  <si>
    <t>CUSTODIAL CONTRACT SERVICES</t>
  </si>
  <si>
    <t>SNOW REMOVAL SERVICES</t>
  </si>
  <si>
    <t>US Department of Agriculture-Passes Through The Illinois State Board of Education</t>
  </si>
  <si>
    <t>National School Lunch-19</t>
  </si>
  <si>
    <t>N/A</t>
  </si>
  <si>
    <t>National School Lunch-20</t>
  </si>
  <si>
    <t>School Breakfast-19</t>
  </si>
  <si>
    <t>School Breakfast-20</t>
  </si>
  <si>
    <t>Summer Food Services</t>
  </si>
  <si>
    <t>School Commodities</t>
  </si>
  <si>
    <t>DOD Fresh Fruits &amp; Vegetables</t>
  </si>
  <si>
    <t xml:space="preserve">     Total US Department of Agriculture</t>
  </si>
  <si>
    <t>US Department of Education-Passed Through the Illinois State Board of Education</t>
  </si>
  <si>
    <t>84.010A</t>
  </si>
  <si>
    <t>84.424A</t>
  </si>
  <si>
    <t>84.027A</t>
  </si>
  <si>
    <t>Title IVA Student Support &amp; Economic Enrich-19</t>
  </si>
  <si>
    <t>Title IVA Student Support &amp; Economic Enrich-20</t>
  </si>
  <si>
    <t>None</t>
  </si>
  <si>
    <t>Adverse-GAAP/Quailfied Regulatory</t>
  </si>
  <si>
    <t>Unmodified</t>
  </si>
  <si>
    <t>NONE</t>
  </si>
  <si>
    <r>
      <t>Of the federal expenditures presented in the schedule, Bradley Bourbonnais Community High SchoolDist #307</t>
    </r>
    <r>
      <rPr>
        <sz val="9"/>
        <rFont val="Calibri"/>
        <family val="2"/>
        <scheme val="minor"/>
      </rPr>
      <t xml:space="preserve"> provided federal awards to subrecipients as follows:</t>
    </r>
  </si>
  <si>
    <t>The Accompanying Schedule of Expenditures of Federal Awards includes the federal grant activity of Bradley Bourbonnais Community High School Dist #307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the amounts presented in,or used in the preparation of the Basic financial statements.</t>
  </si>
  <si>
    <r>
      <t xml:space="preserve">The following amounts were expended in the form of non-cash assistance by </t>
    </r>
    <r>
      <rPr>
        <b/>
        <sz val="9"/>
        <rFont val="Calibri"/>
        <family val="2"/>
        <scheme val="minor"/>
      </rPr>
      <t>BradleyBourbonnais Community High School Dist#307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</si>
  <si>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84.367A</t>
  </si>
  <si>
    <t xml:space="preserve">     Title II-Teacher Quality-19</t>
  </si>
  <si>
    <t xml:space="preserve">     Title II-Teacher Quality-20</t>
  </si>
  <si>
    <t xml:space="preserve">        Total US Department of Education</t>
  </si>
  <si>
    <t xml:space="preserve">     Rehab Services-Step 19</t>
  </si>
  <si>
    <t xml:space="preserve">     Rehab Services-Step 20</t>
  </si>
  <si>
    <t>46CXF00036</t>
  </si>
  <si>
    <t>46CYF00036</t>
  </si>
  <si>
    <t xml:space="preserve">        Total US Department of Human Services</t>
  </si>
  <si>
    <t>US Department of Human Services Passed Through the Illinois Dept of Healthcare &amp; Family Services</t>
  </si>
  <si>
    <t xml:space="preserve">US Department of Healthcare &amp; Family Service Pass Through the IL Dept of Healtcare &amp; Family Services  </t>
  </si>
  <si>
    <t>Medicade-Administrayive Outreach</t>
  </si>
  <si>
    <t>Total Federal Financial Assistance</t>
  </si>
  <si>
    <t>Title I-Low Income</t>
  </si>
  <si>
    <t>IDEA Special Education F/T</t>
  </si>
  <si>
    <t>(M) Title I-Low Income-19</t>
  </si>
  <si>
    <t>(M) Title I Low Income-20</t>
  </si>
  <si>
    <t>(M) Special Education-IDEA Flow Throuugh-19</t>
  </si>
  <si>
    <t>(M) Special Education-IDEA Flow Throuugh-20</t>
  </si>
  <si>
    <t xml:space="preserve">   Bradley-Bourbannais CHSD 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</si>
</sst>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57" fillId="0" borderId="0" xfId="0" applyNumberFormat="1" applyFont="1" applyAlignment="1" applyProtection="1">
      <alignment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173182</xdr:colOff>
          <xdr:row>2</xdr:row>
          <xdr:rowOff>51955</xdr:rowOff>
        </xdr:from>
        <xdr:to>
          <xdr:col>1</xdr:col>
          <xdr:colOff>1084118</xdr:colOff>
          <xdr:row>7</xdr:row>
          <xdr:rowOff>11256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F65C9AA1-BF91-4A92-95F0-FFEC88E7EF1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1" t="str">
        <f>"Due to ISBE on "</f>
        <v xml:space="preserve">Due to ISBE on </v>
      </c>
      <c r="B2" s="2121">
        <f>+'AFR20'!F4</f>
        <v>44151</v>
      </c>
      <c r="C2" s="2121"/>
      <c r="D2" s="2122"/>
      <c r="I2" s="2080" t="s">
        <v>2000</v>
      </c>
      <c r="J2" s="2079"/>
      <c r="K2" s="2079"/>
      <c r="L2" s="2079"/>
      <c r="M2" s="2079"/>
      <c r="N2" s="2079"/>
      <c r="O2" s="2079"/>
      <c r="P2" s="2079"/>
      <c r="Q2" s="2079"/>
      <c r="R2" s="2079"/>
      <c r="S2" s="2079"/>
    </row>
    <row r="3" spans="1:32" ht="12" customHeight="1" x14ac:dyDescent="0.2">
      <c r="A3" s="1834"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2049</v>
      </c>
      <c r="C5" s="26" t="s">
        <v>904</v>
      </c>
      <c r="D5" s="81"/>
      <c r="E5" s="81"/>
      <c r="H5" s="38"/>
      <c r="I5" s="2088" t="s">
        <v>675</v>
      </c>
      <c r="J5" s="2087"/>
      <c r="K5" s="2087"/>
      <c r="L5" s="2087"/>
      <c r="M5" s="2087"/>
      <c r="N5" s="2087"/>
      <c r="O5" s="2087"/>
      <c r="P5" s="2087"/>
      <c r="Q5" s="2087"/>
      <c r="R5" s="2087"/>
      <c r="S5" s="2087"/>
      <c r="AF5" s="1827"/>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2049</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32046307016</v>
      </c>
      <c r="B13" s="2100"/>
      <c r="C13" s="2100"/>
      <c r="D13" s="2100"/>
      <c r="E13" s="2100"/>
      <c r="F13" s="2100"/>
      <c r="G13" s="2100"/>
      <c r="H13" s="2101"/>
      <c r="I13" s="31"/>
      <c r="J13" s="30"/>
      <c r="K13" s="28"/>
      <c r="L13" s="30"/>
      <c r="M13" s="30"/>
      <c r="N13" s="30"/>
      <c r="O13" s="30"/>
      <c r="P13" s="30"/>
      <c r="Q13" s="30"/>
      <c r="R13" s="30"/>
      <c r="S13" s="30"/>
      <c r="T13" s="2105" t="s">
        <v>2059</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2048</v>
      </c>
      <c r="B15" s="2103"/>
      <c r="C15" s="2103"/>
      <c r="D15" s="2103"/>
      <c r="E15" s="2103"/>
      <c r="F15" s="2103"/>
      <c r="G15" s="2103"/>
      <c r="H15" s="2104"/>
      <c r="T15" s="2109" t="s">
        <v>2055</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2119</v>
      </c>
      <c r="B17" s="2073"/>
      <c r="C17" s="2073"/>
      <c r="D17" s="2073"/>
      <c r="E17" s="2073"/>
      <c r="F17" s="2073"/>
      <c r="G17" s="2073"/>
      <c r="H17" s="2098"/>
      <c r="T17" s="2116" t="s">
        <v>2056</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2061</v>
      </c>
      <c r="B19" s="2058"/>
      <c r="C19" s="2058"/>
      <c r="D19" s="2058"/>
      <c r="E19" s="2058"/>
      <c r="F19" s="2058"/>
      <c r="G19" s="2058"/>
      <c r="H19" s="2038"/>
      <c r="I19" s="30"/>
      <c r="J19" s="96"/>
      <c r="K19" s="40"/>
      <c r="L19" s="38"/>
      <c r="M19" s="109" t="s">
        <v>312</v>
      </c>
      <c r="P19" s="27"/>
      <c r="Q19" s="27"/>
      <c r="R19" s="27"/>
      <c r="S19" s="31"/>
      <c r="T19" s="2102" t="s">
        <v>2050</v>
      </c>
      <c r="U19" s="2037"/>
      <c r="V19" s="2037"/>
      <c r="W19" s="2038"/>
      <c r="X19" s="2114" t="s">
        <v>2051</v>
      </c>
      <c r="Y19" s="2115"/>
      <c r="Z19" s="2112">
        <v>60942</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2062</v>
      </c>
      <c r="B21" s="2037"/>
      <c r="C21" s="2037"/>
      <c r="D21" s="2037"/>
      <c r="E21" s="2037"/>
      <c r="F21" s="2037"/>
      <c r="G21" s="2037"/>
      <c r="H21" s="2038"/>
      <c r="I21" s="2092" t="s">
        <v>673</v>
      </c>
      <c r="J21" s="2087"/>
      <c r="K21" s="2087"/>
      <c r="L21" s="2087"/>
      <c r="M21" s="2087"/>
      <c r="N21" s="2087"/>
      <c r="O21" s="2087"/>
      <c r="P21" s="2087"/>
      <c r="Q21" s="2087"/>
      <c r="R21" s="2087"/>
      <c r="S21" s="2093"/>
      <c r="T21" s="2127" t="s">
        <v>2052</v>
      </c>
      <c r="U21" s="2128"/>
      <c r="V21" s="2128"/>
      <c r="W21" s="2128"/>
      <c r="X21" s="2133" t="s">
        <v>2053</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c r="B23" s="2090"/>
      <c r="C23" s="2090"/>
      <c r="D23" s="2090"/>
      <c r="E23" s="2090"/>
      <c r="F23" s="2090"/>
      <c r="G23" s="2090"/>
      <c r="H23" s="2091"/>
      <c r="T23" s="2072" t="s">
        <v>2054</v>
      </c>
      <c r="U23" s="2126"/>
      <c r="V23" s="2126"/>
      <c r="W23" s="2126"/>
      <c r="X23" s="2130">
        <v>44469</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60915</v>
      </c>
      <c r="B25" s="2037"/>
      <c r="C25" s="2037"/>
      <c r="D25" s="2037"/>
      <c r="E25" s="2037"/>
      <c r="F25" s="2037"/>
      <c r="G25" s="2037"/>
      <c r="H25" s="2038"/>
      <c r="I25" s="110"/>
      <c r="J25" s="2061"/>
      <c r="K25" s="2061"/>
      <c r="L25" s="2061"/>
      <c r="M25" s="2061"/>
      <c r="N25" s="2061"/>
      <c r="O25" s="2061"/>
      <c r="P25" s="2061"/>
      <c r="Q25" s="2061"/>
      <c r="R25" s="2061"/>
      <c r="S25" s="2062"/>
      <c r="T25" s="2123" t="s">
        <v>2057</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2049</v>
      </c>
      <c r="K29" s="28" t="s">
        <v>572</v>
      </c>
      <c r="L29" s="144"/>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2049</v>
      </c>
      <c r="K30" s="28" t="s">
        <v>572</v>
      </c>
      <c r="L30" s="144"/>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2063</v>
      </c>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2064</v>
      </c>
      <c r="B42" s="2056"/>
      <c r="C42" s="2057"/>
      <c r="D42" s="2055" t="s">
        <v>2065</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28" sqref="E2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10783173</v>
      </c>
      <c r="C4" s="1722"/>
      <c r="D4" s="1723">
        <f>B4-C4</f>
        <v>10783173</v>
      </c>
      <c r="E4" s="1722">
        <v>10961927</v>
      </c>
      <c r="F4" s="1723">
        <f>E4-C4</f>
        <v>10961927</v>
      </c>
    </row>
    <row r="5" spans="1:8" ht="13.7" customHeight="1" x14ac:dyDescent="0.2">
      <c r="A5" s="579" t="s">
        <v>865</v>
      </c>
      <c r="B5" s="1724">
        <f>'Revenues 9-14'!D5</f>
        <v>3009341</v>
      </c>
      <c r="C5" s="1664"/>
      <c r="D5" s="1725">
        <f t="shared" ref="D5:D18" si="0">B5-C5</f>
        <v>3009341</v>
      </c>
      <c r="E5" s="1664">
        <v>3021694</v>
      </c>
      <c r="F5" s="1725">
        <f>E5-C5</f>
        <v>3021694</v>
      </c>
    </row>
    <row r="6" spans="1:8" ht="13.7" customHeight="1" x14ac:dyDescent="0.2">
      <c r="A6" s="579" t="s">
        <v>408</v>
      </c>
      <c r="B6" s="1724">
        <f>'Revenues 9-14'!E5</f>
        <v>545462</v>
      </c>
      <c r="C6" s="1664"/>
      <c r="D6" s="1725">
        <f t="shared" si="0"/>
        <v>545462</v>
      </c>
      <c r="E6" s="1664">
        <v>554803</v>
      </c>
      <c r="F6" s="1725">
        <f t="shared" ref="F6:F18" si="1">E6-C6</f>
        <v>554803</v>
      </c>
    </row>
    <row r="7" spans="1:8" ht="13.7" customHeight="1" x14ac:dyDescent="0.2">
      <c r="A7" s="579" t="s">
        <v>154</v>
      </c>
      <c r="B7" s="1724">
        <f>'Revenues 9-14'!F5</f>
        <v>981093</v>
      </c>
      <c r="C7" s="1664"/>
      <c r="D7" s="1725">
        <f t="shared" si="0"/>
        <v>981093</v>
      </c>
      <c r="E7" s="1664">
        <v>1169811</v>
      </c>
      <c r="F7" s="1725">
        <f t="shared" si="1"/>
        <v>1169811</v>
      </c>
    </row>
    <row r="8" spans="1:8" ht="13.7" customHeight="1" x14ac:dyDescent="0.2">
      <c r="A8" s="579" t="s">
        <v>1169</v>
      </c>
      <c r="B8" s="1724">
        <f>'Revenues 9-14'!G5</f>
        <v>227098</v>
      </c>
      <c r="C8" s="1664"/>
      <c r="D8" s="1725">
        <f t="shared" si="0"/>
        <v>227098</v>
      </c>
      <c r="E8" s="1664">
        <v>227865</v>
      </c>
      <c r="F8" s="1725">
        <f t="shared" si="1"/>
        <v>227865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10397</v>
      </c>
      <c r="C10" s="1664"/>
      <c r="D10" s="1725">
        <f t="shared" si="0"/>
        <v>10397</v>
      </c>
      <c r="E10" s="1664">
        <v>10669</v>
      </c>
      <c r="F10" s="1725">
        <f t="shared" si="1"/>
        <v>10669</v>
      </c>
    </row>
    <row r="11" spans="1:8" x14ac:dyDescent="0.2">
      <c r="A11" s="579" t="s">
        <v>406</v>
      </c>
      <c r="B11" s="1724">
        <f>'Revenues 9-14'!J5</f>
        <v>10397</v>
      </c>
      <c r="C11" s="1664"/>
      <c r="D11" s="1725">
        <f t="shared" si="0"/>
        <v>10397</v>
      </c>
      <c r="E11" s="1664">
        <v>10669</v>
      </c>
      <c r="F11" s="1725">
        <f t="shared" si="1"/>
        <v>10669</v>
      </c>
    </row>
    <row r="12" spans="1:8" ht="13.7" customHeight="1" x14ac:dyDescent="0.2">
      <c r="A12" s="579" t="s">
        <v>156</v>
      </c>
      <c r="B12" s="1724">
        <f>'Revenues 9-14'!K5</f>
        <v>10397</v>
      </c>
      <c r="C12" s="1664"/>
      <c r="D12" s="1725">
        <f t="shared" si="0"/>
        <v>10397</v>
      </c>
      <c r="E12" s="1664">
        <v>10669</v>
      </c>
      <c r="F12" s="1725">
        <f t="shared" si="1"/>
        <v>10669</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10397</v>
      </c>
      <c r="C14" s="1664"/>
      <c r="D14" s="1725">
        <f t="shared" si="0"/>
        <v>10397</v>
      </c>
      <c r="E14" s="1664">
        <v>10669</v>
      </c>
      <c r="F14" s="1725">
        <f t="shared" si="1"/>
        <v>10669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15587755</v>
      </c>
      <c r="C19" s="1726">
        <f>SUM(C4:C18)</f>
        <v>0</v>
      </c>
      <c r="D19" s="1726">
        <f>SUM(D4:D18)</f>
        <v>15587755</v>
      </c>
      <c r="E19" s="1726">
        <f>SUM(E4:E18)</f>
        <v>15978776</v>
      </c>
      <c r="F19" s="1726">
        <f>SUM(F4:F18)</f>
        <v>15978776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E28" sqref="E2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1776</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6"/>
      <c r="D4" s="1656"/>
      <c r="E4" s="1656"/>
      <c r="F4" s="1732">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3"/>
      <c r="D17" s="1664"/>
      <c r="E17" s="1733"/>
      <c r="F17" s="1732">
        <f>SUM(C17+D17)-E17</f>
        <v>0</v>
      </c>
    </row>
    <row r="18" spans="1:11" ht="12.75" customHeight="1" thickTop="1" thickBot="1" x14ac:dyDescent="0.25">
      <c r="A18" s="2295" t="s">
        <v>6</v>
      </c>
      <c r="B18" s="2296"/>
      <c r="C18" s="1733"/>
      <c r="D18" s="1664"/>
      <c r="E18" s="1733"/>
      <c r="F18" s="1732">
        <f>SUM(C18+D18)-E18</f>
        <v>0</v>
      </c>
    </row>
    <row r="19" spans="1:11" ht="12.75" customHeight="1" thickTop="1" thickBot="1" x14ac:dyDescent="0.25">
      <c r="A19" s="2295" t="s">
        <v>385</v>
      </c>
      <c r="B19" s="2296"/>
      <c r="C19" s="1733"/>
      <c r="D19" s="1664"/>
      <c r="E19" s="1733"/>
      <c r="F19" s="1732">
        <f>SUM(C19+D19)-E19</f>
        <v>0</v>
      </c>
    </row>
    <row r="20" spans="1:11" ht="12.75" customHeight="1" thickTop="1" thickBot="1" x14ac:dyDescent="0.25">
      <c r="A20" s="2295" t="s">
        <v>445</v>
      </c>
      <c r="B20" s="2296"/>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6"/>
      <c r="D23" s="1656"/>
      <c r="E23" s="1656"/>
      <c r="F23" s="1732">
        <f>SUM(C23+D23)-E23</f>
        <v>0</v>
      </c>
      <c r="G23" s="473"/>
    </row>
    <row r="24" spans="1:11" ht="15.75" customHeight="1" thickTop="1" x14ac:dyDescent="0.2">
      <c r="A24" s="2302" t="s">
        <v>2003</v>
      </c>
      <c r="B24" s="2303"/>
      <c r="C24" s="2297"/>
      <c r="D24" s="2298"/>
      <c r="E24" s="2298"/>
      <c r="F24" s="2299"/>
    </row>
    <row r="25" spans="1:11" ht="13.5" thickBot="1" x14ac:dyDescent="0.25">
      <c r="A25" s="2304" t="s">
        <v>2004</v>
      </c>
      <c r="B25" s="2305"/>
      <c r="C25" s="1656"/>
      <c r="D25" s="1656"/>
      <c r="E25" s="1656"/>
      <c r="F25" s="1732">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39804</v>
      </c>
      <c r="C31" s="1734">
        <v>7285000</v>
      </c>
      <c r="D31" s="1735">
        <v>7</v>
      </c>
      <c r="E31" s="1734">
        <v>1120000</v>
      </c>
      <c r="F31" s="1734"/>
      <c r="G31" s="1734"/>
      <c r="H31" s="1734">
        <v>355000</v>
      </c>
      <c r="I31" s="1736">
        <f>((E31+F31)-H31)+G31</f>
        <v>765000</v>
      </c>
      <c r="J31" s="1734">
        <v>726055</v>
      </c>
      <c r="K31" s="596"/>
    </row>
    <row r="32" spans="1:11" ht="12" customHeight="1" x14ac:dyDescent="0.2">
      <c r="A32" s="594" t="s">
        <v>2067</v>
      </c>
      <c r="B32" s="595">
        <v>40100</v>
      </c>
      <c r="C32" s="1734">
        <v>400000</v>
      </c>
      <c r="D32" s="1735">
        <v>1</v>
      </c>
      <c r="E32" s="1734">
        <v>55000</v>
      </c>
      <c r="F32" s="1734"/>
      <c r="G32" s="1734"/>
      <c r="H32" s="1734">
        <v>55000</v>
      </c>
      <c r="I32" s="1736">
        <f>((E32+F32)-H32)+G32</f>
        <v>0</v>
      </c>
      <c r="J32" s="1734">
        <v>0</v>
      </c>
      <c r="K32" s="596"/>
    </row>
    <row r="33" spans="1:11" ht="12" customHeight="1" x14ac:dyDescent="0.2">
      <c r="A33" s="594" t="s">
        <v>2067</v>
      </c>
      <c r="B33" s="595">
        <v>40465</v>
      </c>
      <c r="C33" s="1734">
        <v>3600000</v>
      </c>
      <c r="D33" s="1735">
        <v>1</v>
      </c>
      <c r="E33" s="1734">
        <v>3600000</v>
      </c>
      <c r="F33" s="1734"/>
      <c r="G33" s="1734"/>
      <c r="H33" s="1734">
        <v>300000</v>
      </c>
      <c r="I33" s="1736">
        <f t="shared" ref="I33:I48" si="1">((E33+F33)-H33)+G33</f>
        <v>3300000</v>
      </c>
      <c r="J33" s="1734">
        <v>3279983</v>
      </c>
      <c r="K33" s="596"/>
    </row>
    <row r="34" spans="1:11" ht="12" customHeight="1" x14ac:dyDescent="0.2">
      <c r="A34" s="594" t="s">
        <v>2068</v>
      </c>
      <c r="B34" s="595">
        <v>41996</v>
      </c>
      <c r="C34" s="1734">
        <v>1305000</v>
      </c>
      <c r="D34" s="1735">
        <v>3</v>
      </c>
      <c r="E34" s="1734">
        <v>135000</v>
      </c>
      <c r="F34" s="1734"/>
      <c r="G34" s="1734"/>
      <c r="H34" s="1734">
        <v>50000</v>
      </c>
      <c r="I34" s="1736">
        <f t="shared" si="1"/>
        <v>85000</v>
      </c>
      <c r="J34" s="1734">
        <v>83228</v>
      </c>
      <c r="K34" s="597"/>
    </row>
    <row r="35" spans="1:11" ht="12" customHeight="1" x14ac:dyDescent="0.2">
      <c r="A35" s="594" t="s">
        <v>2069</v>
      </c>
      <c r="B35" s="595">
        <v>42552</v>
      </c>
      <c r="C35" s="1737">
        <v>5765000</v>
      </c>
      <c r="D35" s="1735">
        <v>8</v>
      </c>
      <c r="E35" s="1737">
        <v>5735000</v>
      </c>
      <c r="F35" s="1737"/>
      <c r="G35" s="1737"/>
      <c r="H35" s="1737">
        <v>15000</v>
      </c>
      <c r="I35" s="1736">
        <f t="shared" si="1"/>
        <v>5720000</v>
      </c>
      <c r="J35" s="1737">
        <v>5629515</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18355000</v>
      </c>
      <c r="D49" s="1742"/>
      <c r="E49" s="1736">
        <f t="shared" ref="E49:J49" si="2">SUM(E31:E48)</f>
        <v>10645000</v>
      </c>
      <c r="F49" s="1736">
        <f t="shared" si="2"/>
        <v>0</v>
      </c>
      <c r="G49" s="1736">
        <f t="shared" si="2"/>
        <v>0</v>
      </c>
      <c r="H49" s="1736">
        <f t="shared" si="2"/>
        <v>775000</v>
      </c>
      <c r="I49" s="1736">
        <f t="shared" si="2"/>
        <v>9870000</v>
      </c>
      <c r="J49" s="1736">
        <f t="shared" si="2"/>
        <v>9718781</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E28" sqref="E2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8"/>
      <c r="I1" s="614"/>
      <c r="J1" s="400"/>
    </row>
    <row r="2" spans="1:11" ht="26.25" x14ac:dyDescent="0.2">
      <c r="A2" s="2337" t="s">
        <v>1658</v>
      </c>
      <c r="B2" s="2338"/>
      <c r="C2" s="2338"/>
      <c r="D2" s="2338"/>
      <c r="E2" s="2339"/>
      <c r="F2" s="615" t="s">
        <v>898</v>
      </c>
      <c r="G2" s="616" t="s">
        <v>1655</v>
      </c>
      <c r="H2" s="616" t="s">
        <v>407</v>
      </c>
      <c r="I2" s="616" t="s">
        <v>1148</v>
      </c>
      <c r="J2" s="616" t="s">
        <v>1786</v>
      </c>
      <c r="K2" s="616" t="s">
        <v>137</v>
      </c>
    </row>
    <row r="3" spans="1:11" x14ac:dyDescent="0.2">
      <c r="A3" s="2340" t="str">
        <f>"Cash Basis Fund Balance as of July 1, "&amp;'AFR20'!E2-1</f>
        <v>Cash Basis Fund Balance as of July 1, 2019</v>
      </c>
      <c r="B3" s="2341"/>
      <c r="C3" s="2341"/>
      <c r="D3" s="2341"/>
      <c r="E3" s="2342"/>
      <c r="F3" s="617"/>
      <c r="G3" s="1744"/>
      <c r="H3" s="1744"/>
      <c r="I3" s="1744"/>
      <c r="J3" s="1745"/>
      <c r="K3" s="1745"/>
    </row>
    <row r="4" spans="1:11" x14ac:dyDescent="0.2">
      <c r="A4" s="2343" t="s">
        <v>366</v>
      </c>
      <c r="B4" s="2344"/>
      <c r="C4" s="2344"/>
      <c r="D4" s="2344"/>
      <c r="E4" s="2290"/>
      <c r="F4" s="620"/>
      <c r="G4" s="1746"/>
      <c r="H4" s="1747"/>
      <c r="I4" s="1746"/>
      <c r="J4" s="1748"/>
      <c r="K4" s="1748"/>
    </row>
    <row r="5" spans="1:11" x14ac:dyDescent="0.2">
      <c r="A5" s="2321" t="s">
        <v>1060</v>
      </c>
      <c r="B5" s="2322"/>
      <c r="C5" s="2322"/>
      <c r="D5" s="2322"/>
      <c r="E5" s="2323"/>
      <c r="F5" s="622" t="s">
        <v>843</v>
      </c>
      <c r="G5" s="1749"/>
      <c r="H5" s="1744">
        <v>10397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41215</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47080</v>
      </c>
    </row>
    <row r="10" spans="1:11" x14ac:dyDescent="0.2">
      <c r="A10" s="2321" t="s">
        <v>1787</v>
      </c>
      <c r="B10" s="2322"/>
      <c r="C10" s="2322"/>
      <c r="D10" s="2322"/>
      <c r="E10" s="2324"/>
      <c r="F10" s="633" t="s">
        <v>857</v>
      </c>
      <c r="G10" s="1753"/>
      <c r="H10" s="1754"/>
      <c r="I10" s="1744"/>
      <c r="J10" s="1745"/>
      <c r="K10" s="1745"/>
    </row>
    <row r="11" spans="1:11" x14ac:dyDescent="0.2">
      <c r="A11" s="2321" t="s">
        <v>159</v>
      </c>
      <c r="B11" s="2322"/>
      <c r="C11" s="2322"/>
      <c r="D11" s="2322"/>
      <c r="E11" s="2323"/>
      <c r="F11" s="622" t="s">
        <v>847</v>
      </c>
      <c r="G11" s="1749"/>
      <c r="H11" s="1744"/>
      <c r="I11" s="1744"/>
      <c r="J11" s="1745"/>
      <c r="K11" s="1751"/>
    </row>
    <row r="12" spans="1:11" ht="13.5" thickBot="1" x14ac:dyDescent="0.25">
      <c r="A12" s="2348" t="s">
        <v>899</v>
      </c>
      <c r="B12" s="2349"/>
      <c r="C12" s="2349"/>
      <c r="D12" s="2349"/>
      <c r="E12" s="2350"/>
      <c r="F12" s="1433"/>
      <c r="G12" s="1755">
        <f>SUM(G5:G11)</f>
        <v>0</v>
      </c>
      <c r="H12" s="1755">
        <f>SUM(H5:H11)</f>
        <v>10397</v>
      </c>
      <c r="I12" s="1755">
        <f>SUM(I5:I11)</f>
        <v>0</v>
      </c>
      <c r="J12" s="1755">
        <f>SUM(J5:J11)</f>
        <v>0</v>
      </c>
      <c r="K12" s="1755">
        <f>SUM(K5:K11)</f>
        <v>88295</v>
      </c>
    </row>
    <row r="13" spans="1:11" ht="13.5" thickTop="1" x14ac:dyDescent="0.2">
      <c r="A13" s="2345" t="s">
        <v>367</v>
      </c>
      <c r="B13" s="2346"/>
      <c r="C13" s="2346"/>
      <c r="D13" s="2346"/>
      <c r="E13" s="2347"/>
      <c r="F13" s="634"/>
      <c r="G13" s="1756"/>
      <c r="H13" s="1757"/>
      <c r="I13" s="1758"/>
      <c r="J13" s="1758"/>
      <c r="K13" s="1758"/>
    </row>
    <row r="14" spans="1:11" x14ac:dyDescent="0.2">
      <c r="A14" s="2328" t="s">
        <v>453</v>
      </c>
      <c r="B14" s="2328"/>
      <c r="C14" s="2328"/>
      <c r="D14" s="2328"/>
      <c r="E14" s="2329"/>
      <c r="F14" s="635" t="s">
        <v>849</v>
      </c>
      <c r="G14" s="1753"/>
      <c r="H14" s="1744">
        <v>10397</v>
      </c>
      <c r="I14" s="1749"/>
      <c r="J14" s="1751"/>
      <c r="K14" s="1745">
        <v>88295</v>
      </c>
    </row>
    <row r="15" spans="1:11" x14ac:dyDescent="0.2">
      <c r="A15" s="2322" t="s">
        <v>4</v>
      </c>
      <c r="B15" s="2322"/>
      <c r="C15" s="2322"/>
      <c r="D15" s="2322"/>
      <c r="E15" s="2323"/>
      <c r="F15" s="635" t="s">
        <v>850</v>
      </c>
      <c r="G15" s="1749"/>
      <c r="H15" s="1744"/>
      <c r="I15" s="1744"/>
      <c r="J15" s="1745"/>
      <c r="K15" s="1745"/>
    </row>
    <row r="16" spans="1:11" x14ac:dyDescent="0.2">
      <c r="A16" s="2322" t="s">
        <v>295</v>
      </c>
      <c r="B16" s="2322"/>
      <c r="C16" s="2322"/>
      <c r="D16" s="2322"/>
      <c r="E16" s="2323"/>
      <c r="F16" s="635" t="s">
        <v>917</v>
      </c>
      <c r="G16" s="1750"/>
      <c r="H16" s="1746"/>
      <c r="I16" s="1746"/>
      <c r="J16" s="1748"/>
      <c r="K16" s="1748"/>
    </row>
    <row r="17" spans="1:15" x14ac:dyDescent="0.2">
      <c r="A17" s="2355" t="s">
        <v>929</v>
      </c>
      <c r="B17" s="2355"/>
      <c r="C17" s="2355"/>
      <c r="D17" s="2355"/>
      <c r="E17" s="2356"/>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30" t="s">
        <v>1783</v>
      </c>
      <c r="B19" s="2330"/>
      <c r="C19" s="2330"/>
      <c r="D19" s="2330"/>
      <c r="E19" s="2331"/>
      <c r="F19" s="635" t="s">
        <v>927</v>
      </c>
      <c r="G19" s="1753"/>
      <c r="H19" s="1753"/>
      <c r="I19" s="1753"/>
      <c r="J19" s="1745"/>
      <c r="K19" s="1763"/>
    </row>
    <row r="20" spans="1:15" x14ac:dyDescent="0.2">
      <c r="A20" s="2332" t="s">
        <v>1788</v>
      </c>
      <c r="B20" s="2333"/>
      <c r="C20" s="2333"/>
      <c r="D20" s="2333"/>
      <c r="E20" s="2334"/>
      <c r="F20" s="635" t="s">
        <v>928</v>
      </c>
      <c r="G20" s="1753"/>
      <c r="H20" s="1753"/>
      <c r="I20" s="1753"/>
      <c r="J20" s="1745"/>
      <c r="K20" s="1763"/>
    </row>
    <row r="21" spans="1:15" ht="13.5" thickBot="1" x14ac:dyDescent="0.25">
      <c r="A21" s="2351" t="s">
        <v>633</v>
      </c>
      <c r="B21" s="2351"/>
      <c r="C21" s="2351"/>
      <c r="D21" s="2351"/>
      <c r="E21" s="2351"/>
      <c r="F21" s="1434"/>
      <c r="G21" s="1760"/>
      <c r="H21" s="1764"/>
      <c r="I21" s="1764"/>
      <c r="J21" s="1765">
        <f>SUM(J18:J20)</f>
        <v>0</v>
      </c>
      <c r="K21" s="1761"/>
    </row>
    <row r="22" spans="1:15" ht="13.5" thickTop="1" x14ac:dyDescent="0.2">
      <c r="A22" s="2322" t="s">
        <v>1789</v>
      </c>
      <c r="B22" s="2322"/>
      <c r="C22" s="2322"/>
      <c r="D22" s="2322"/>
      <c r="E22" s="2323"/>
      <c r="F22" s="635" t="s">
        <v>857</v>
      </c>
      <c r="G22" s="1753"/>
      <c r="H22" s="1744"/>
      <c r="I22" s="1744"/>
      <c r="J22" s="1766"/>
      <c r="K22" s="1745"/>
    </row>
    <row r="23" spans="1:15" ht="13.5" thickBot="1" x14ac:dyDescent="0.25">
      <c r="A23" s="2352" t="s">
        <v>900</v>
      </c>
      <c r="B23" s="2351"/>
      <c r="C23" s="2351"/>
      <c r="D23" s="2351"/>
      <c r="E23" s="2351"/>
      <c r="F23" s="1436"/>
      <c r="G23" s="1755">
        <f>SUM(G14:G16,G21,G22)</f>
        <v>0</v>
      </c>
      <c r="H23" s="1755">
        <f>SUM(H14:H16,H21,H22)</f>
        <v>10397</v>
      </c>
      <c r="I23" s="1755">
        <f>SUM(I14:I16,I21,I22)</f>
        <v>0</v>
      </c>
      <c r="J23" s="1755">
        <f>SUM(J14:J16,J21,J22)</f>
        <v>0</v>
      </c>
      <c r="K23" s="1755">
        <f>SUM(K14:K16,K21,K22)</f>
        <v>88295</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2070</v>
      </c>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8" sqref="E2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1872</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5381544</v>
      </c>
      <c r="D5" s="1770"/>
      <c r="E5" s="1770"/>
      <c r="F5" s="1765">
        <f>(C5+D5)-E5</f>
        <v>5381544</v>
      </c>
      <c r="G5" s="676"/>
      <c r="H5" s="680"/>
      <c r="I5" s="680"/>
      <c r="J5" s="680"/>
      <c r="K5" s="637"/>
      <c r="L5" s="1442">
        <f>F5-K5</f>
        <v>5381544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30038317</v>
      </c>
      <c r="D8" s="1771">
        <v>1240029</v>
      </c>
      <c r="E8" s="1771"/>
      <c r="F8" s="1765">
        <f>(C8+D8)-E8</f>
        <v>31278346</v>
      </c>
      <c r="G8" s="681">
        <v>50</v>
      </c>
      <c r="H8" s="619">
        <v>10712288</v>
      </c>
      <c r="I8" s="619">
        <v>626962</v>
      </c>
      <c r="J8" s="619"/>
      <c r="K8" s="1442">
        <f>(H8+I8)-J8</f>
        <v>11339250</v>
      </c>
      <c r="L8" s="1442">
        <f>F8-K8</f>
        <v>19939096</v>
      </c>
    </row>
    <row r="9" spans="1:14" ht="14.25" thickTop="1" thickBot="1" x14ac:dyDescent="0.25">
      <c r="A9" s="629" t="s">
        <v>1109</v>
      </c>
      <c r="B9" s="679">
        <v>232</v>
      </c>
      <c r="C9" s="1745">
        <v>463943</v>
      </c>
      <c r="D9" s="1745"/>
      <c r="E9" s="1745"/>
      <c r="F9" s="1765">
        <f>(C9+D9)-E9</f>
        <v>463943</v>
      </c>
      <c r="G9" s="681">
        <v>20</v>
      </c>
      <c r="H9" s="619">
        <v>213507</v>
      </c>
      <c r="I9" s="619">
        <v>23197</v>
      </c>
      <c r="J9" s="619"/>
      <c r="K9" s="1442">
        <f>(H9+I9)-J9</f>
        <v>236704</v>
      </c>
      <c r="L9" s="1442">
        <f>F9-K9</f>
        <v>227239</v>
      </c>
    </row>
    <row r="10" spans="1:14" ht="24" thickTop="1" thickBot="1" x14ac:dyDescent="0.25">
      <c r="A10" s="682" t="s">
        <v>1110</v>
      </c>
      <c r="B10" s="679">
        <v>240</v>
      </c>
      <c r="C10" s="1772">
        <v>2283912</v>
      </c>
      <c r="D10" s="1772">
        <v>74762</v>
      </c>
      <c r="E10" s="1772"/>
      <c r="F10" s="1773">
        <f>(C10+D10)-E10</f>
        <v>2358674</v>
      </c>
      <c r="G10" s="681">
        <v>20</v>
      </c>
      <c r="H10" s="683">
        <v>1498266</v>
      </c>
      <c r="I10" s="683">
        <v>76226</v>
      </c>
      <c r="J10" s="683"/>
      <c r="K10" s="1442">
        <f>(H10+I10)-J10</f>
        <v>1574492</v>
      </c>
      <c r="L10" s="1442">
        <f>F10-K10</f>
        <v>784182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6832214</v>
      </c>
      <c r="D12" s="1771">
        <v>121962</v>
      </c>
      <c r="E12" s="1771"/>
      <c r="F12" s="1765">
        <f>(C12+D12)-E12</f>
        <v>6954176</v>
      </c>
      <c r="G12" s="681">
        <v>10</v>
      </c>
      <c r="H12" s="619">
        <v>5972767</v>
      </c>
      <c r="I12" s="619">
        <v>191412</v>
      </c>
      <c r="J12" s="619"/>
      <c r="K12" s="1442">
        <f>(H12+I12)-J12</f>
        <v>6164179</v>
      </c>
      <c r="L12" s="1442">
        <f>F12-K12</f>
        <v>789997</v>
      </c>
    </row>
    <row r="13" spans="1:14" ht="14.25" thickTop="1" thickBot="1" x14ac:dyDescent="0.25">
      <c r="A13" s="684" t="s">
        <v>1112</v>
      </c>
      <c r="B13" s="679">
        <v>252</v>
      </c>
      <c r="C13" s="1771">
        <v>126838</v>
      </c>
      <c r="D13" s="1771">
        <v>27620</v>
      </c>
      <c r="E13" s="1771">
        <v>53006</v>
      </c>
      <c r="F13" s="1765">
        <f>(C13+D13)-E13</f>
        <v>101452</v>
      </c>
      <c r="G13" s="681">
        <v>5</v>
      </c>
      <c r="H13" s="619">
        <v>110619</v>
      </c>
      <c r="I13" s="619">
        <v>13633</v>
      </c>
      <c r="J13" s="619">
        <v>53006</v>
      </c>
      <c r="K13" s="1442">
        <f>(H13+I13)-J13</f>
        <v>71246</v>
      </c>
      <c r="L13" s="1442">
        <f>F13-K13</f>
        <v>30206</v>
      </c>
    </row>
    <row r="14" spans="1:14" ht="14.25" thickTop="1" thickBot="1" x14ac:dyDescent="0.25">
      <c r="A14" s="684" t="s">
        <v>1113</v>
      </c>
      <c r="B14" s="679">
        <v>253</v>
      </c>
      <c r="C14" s="1745">
        <v>1692370</v>
      </c>
      <c r="D14" s="1745">
        <v>204092</v>
      </c>
      <c r="E14" s="1745">
        <v>215502</v>
      </c>
      <c r="F14" s="1765">
        <f>(C14+D14)-E14</f>
        <v>1680960</v>
      </c>
      <c r="G14" s="681">
        <v>3</v>
      </c>
      <c r="H14" s="619">
        <v>1102777</v>
      </c>
      <c r="I14" s="619">
        <v>315592</v>
      </c>
      <c r="J14" s="619">
        <v>215502</v>
      </c>
      <c r="K14" s="1442">
        <f>(H14+I14)-J14</f>
        <v>1202867</v>
      </c>
      <c r="L14" s="1442">
        <f>F14-K14</f>
        <v>478093</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46819138</v>
      </c>
      <c r="D16" s="1765">
        <f>SUM(D3,D5:D6,D8:D10,D12:D15)</f>
        <v>1668465</v>
      </c>
      <c r="E16" s="1765">
        <f>SUM(E3,E5:E6,E8:E10,E12:E15)</f>
        <v>268508</v>
      </c>
      <c r="F16" s="1765">
        <f>SUM(F3,F5:F6,F8:F10,F12:F15)</f>
        <v>48219095</v>
      </c>
      <c r="G16" s="681"/>
      <c r="H16" s="1435">
        <f>SUM(H3,H6,H8:H10,H12:H14,)</f>
        <v>19610224</v>
      </c>
      <c r="I16" s="1435">
        <f>SUM(I3,I6,I8:I10,I12:I14,)</f>
        <v>1247022</v>
      </c>
      <c r="J16" s="1435">
        <f>SUM(J3,J6,J8:J10,J12:J14,)</f>
        <v>268508</v>
      </c>
      <c r="K16" s="1435">
        <f>(H16+I16)-J16</f>
        <v>20588738</v>
      </c>
      <c r="L16" s="1435">
        <f>F16-K16</f>
        <v>27630357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3080</v>
      </c>
      <c r="G17" s="676">
        <v>10</v>
      </c>
      <c r="H17" s="621"/>
      <c r="I17" s="1442">
        <f>F17/G17</f>
        <v>308</v>
      </c>
      <c r="J17" s="621"/>
      <c r="K17" s="638"/>
      <c r="L17" s="638"/>
    </row>
    <row r="18" spans="1:12" ht="14.25" thickTop="1" thickBot="1" x14ac:dyDescent="0.25">
      <c r="A18" s="1440" t="s">
        <v>680</v>
      </c>
      <c r="B18" s="1441"/>
      <c r="C18" s="623"/>
      <c r="D18" s="623"/>
      <c r="E18" s="623"/>
      <c r="F18" s="686"/>
      <c r="G18" s="687"/>
      <c r="H18" s="624"/>
      <c r="I18" s="1435">
        <f>SUM(I16,I17)</f>
        <v>1247330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E178" sqref="E1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19471648</v>
      </c>
      <c r="G8" s="701"/>
    </row>
    <row r="9" spans="1:9" x14ac:dyDescent="0.2">
      <c r="A9" s="705" t="s">
        <v>457</v>
      </c>
      <c r="B9" s="706" t="s">
        <v>1845</v>
      </c>
      <c r="C9" s="707"/>
      <c r="D9" s="705" t="s">
        <v>498</v>
      </c>
      <c r="E9" s="704"/>
      <c r="F9" s="1775">
        <f>'Expenditures 15-22'!K151</f>
        <v>3119926</v>
      </c>
      <c r="G9" s="708"/>
    </row>
    <row r="10" spans="1:9" x14ac:dyDescent="0.2">
      <c r="A10" s="705" t="s">
        <v>496</v>
      </c>
      <c r="B10" s="706" t="s">
        <v>1846</v>
      </c>
      <c r="C10" s="707"/>
      <c r="D10" s="705" t="s">
        <v>498</v>
      </c>
      <c r="E10" s="704"/>
      <c r="F10" s="1775">
        <f>'Expenditures 15-22'!K174</f>
        <v>1249487</v>
      </c>
      <c r="G10" s="708"/>
    </row>
    <row r="11" spans="1:9" x14ac:dyDescent="0.2">
      <c r="A11" s="705" t="s">
        <v>458</v>
      </c>
      <c r="B11" s="706" t="s">
        <v>1847</v>
      </c>
      <c r="C11" s="707"/>
      <c r="D11" s="705" t="s">
        <v>498</v>
      </c>
      <c r="E11" s="704"/>
      <c r="F11" s="1775">
        <f>'Expenditures 15-22'!K210</f>
        <v>1452557</v>
      </c>
      <c r="G11" s="708"/>
    </row>
    <row r="12" spans="1:9" x14ac:dyDescent="0.2">
      <c r="A12" s="705" t="s">
        <v>459</v>
      </c>
      <c r="B12" s="706" t="s">
        <v>1848</v>
      </c>
      <c r="C12" s="707"/>
      <c r="D12" s="705" t="s">
        <v>498</v>
      </c>
      <c r="E12" s="704"/>
      <c r="F12" s="1775">
        <f>'Expenditures 15-22'!K295</f>
        <v>258327</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25551945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680650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136985</v>
      </c>
      <c r="G52" s="701"/>
    </row>
    <row r="53" spans="1:7" x14ac:dyDescent="0.2">
      <c r="A53" s="705" t="s">
        <v>456</v>
      </c>
      <c r="B53" s="705" t="s">
        <v>1458</v>
      </c>
      <c r="C53" s="724">
        <f>'Expenditures 15-22'!B102</f>
        <v>4000</v>
      </c>
      <c r="D53" s="723" t="str">
        <f>'Expenditures 15-22'!A102</f>
        <v>Total Payments to Other Govt Units</v>
      </c>
      <c r="E53" s="704"/>
      <c r="F53" s="1782">
        <f>'Expenditures 15-22'!K102</f>
        <v>407325</v>
      </c>
      <c r="G53" s="701"/>
    </row>
    <row r="54" spans="1:7" x14ac:dyDescent="0.2">
      <c r="A54" s="705" t="s">
        <v>456</v>
      </c>
      <c r="B54" s="705" t="s">
        <v>1459</v>
      </c>
      <c r="C54" s="724" t="s">
        <v>975</v>
      </c>
      <c r="D54" s="720" t="s">
        <v>1086</v>
      </c>
      <c r="E54" s="704"/>
      <c r="F54" s="1782">
        <f>'Expenditures 15-22'!G114</f>
        <v>281203</v>
      </c>
      <c r="G54" s="701"/>
    </row>
    <row r="55" spans="1:7" x14ac:dyDescent="0.2">
      <c r="A55" s="705" t="s">
        <v>456</v>
      </c>
      <c r="B55" s="705" t="s">
        <v>1460</v>
      </c>
      <c r="C55" s="724" t="s">
        <v>975</v>
      </c>
      <c r="D55" s="720" t="s">
        <v>288</v>
      </c>
      <c r="E55" s="704"/>
      <c r="F55" s="1782">
        <f>'Expenditures 15-22'!I114</f>
        <v>3080</v>
      </c>
      <c r="G55" s="701"/>
    </row>
    <row r="56" spans="1:7" x14ac:dyDescent="0.2">
      <c r="A56" s="705" t="s">
        <v>457</v>
      </c>
      <c r="B56" s="705" t="s">
        <v>1461</v>
      </c>
      <c r="C56" s="721" t="str">
        <f>'Expenditures 15-22'!B130</f>
        <v>3000</v>
      </c>
      <c r="D56" s="727" t="s">
        <v>446</v>
      </c>
      <c r="E56" s="704"/>
      <c r="F56" s="1782">
        <f>'Expenditures 15-22'!K130-SUM('Expenditures 15-22'!G130+'Expenditures 15-22'!I130)</f>
        <v>1056</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1359642</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775000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27620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253</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3672814</v>
      </c>
      <c r="G77" s="701"/>
    </row>
    <row r="78" spans="1:9" s="728" customFormat="1" ht="12" customHeight="1" thickTop="1" thickBot="1" x14ac:dyDescent="0.25">
      <c r="A78" s="1450"/>
      <c r="B78" s="1448"/>
      <c r="C78" s="1445"/>
      <c r="D78" s="1449" t="s">
        <v>2009</v>
      </c>
      <c r="E78" s="1447"/>
      <c r="F78" s="1788">
        <f>(F14-F77)</f>
        <v>21879131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1868.74</v>
      </c>
      <c r="G79" s="733"/>
      <c r="H79" s="705"/>
      <c r="I79" s="705"/>
    </row>
    <row r="80" spans="1:9" s="728" customFormat="1" ht="12" customHeight="1" thickBot="1" x14ac:dyDescent="0.25">
      <c r="A80" s="1452"/>
      <c r="B80" s="1448"/>
      <c r="C80" s="1445"/>
      <c r="D80" s="1449" t="s">
        <v>2010</v>
      </c>
      <c r="E80" s="1447" t="s">
        <v>952</v>
      </c>
      <c r="F80" s="1790">
        <f>IF(F79&gt;0,F78/F79," Complete Line 79")</f>
        <v>11707.958838575725</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201283</v>
      </c>
      <c r="G95" s="745"/>
    </row>
    <row r="96" spans="1:7" x14ac:dyDescent="0.2">
      <c r="A96" s="741" t="s">
        <v>139</v>
      </c>
      <c r="B96" s="741" t="s">
        <v>174</v>
      </c>
      <c r="C96" s="743">
        <v>1700</v>
      </c>
      <c r="D96" s="751" t="str">
        <f>'Revenues 9-14'!A82</f>
        <v>Total District/School Activity Income</v>
      </c>
      <c r="E96" s="739"/>
      <c r="F96" s="1793">
        <f>SUM('Revenues 9-14'!C82,'Revenues 9-14'!D82)</f>
        <v>58370</v>
      </c>
      <c r="G96" s="745"/>
    </row>
    <row r="97" spans="1:7" x14ac:dyDescent="0.2">
      <c r="A97" s="741" t="s">
        <v>456</v>
      </c>
      <c r="B97" s="741" t="s">
        <v>175</v>
      </c>
      <c r="C97" s="743">
        <f>'Revenues 9-14'!B84</f>
        <v>1811</v>
      </c>
      <c r="D97" s="744" t="str">
        <f>'Revenues 9-14'!A84</f>
        <v>Rentals - Regular Textbooks</v>
      </c>
      <c r="E97" s="739"/>
      <c r="F97" s="1793">
        <f>'Revenues 9-14'!C84</f>
        <v>237044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41238</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385611</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3379</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47080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487639</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16487</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271716</v>
      </c>
      <c r="G126" s="763"/>
    </row>
    <row r="127" spans="1:7" x14ac:dyDescent="0.2">
      <c r="A127" s="760" t="s">
        <v>663</v>
      </c>
      <c r="B127" s="760" t="s">
        <v>1928</v>
      </c>
      <c r="C127" s="765">
        <v>4300</v>
      </c>
      <c r="D127" s="766" t="str">
        <f>'Revenues 9-14'!A204</f>
        <v>Total Title I</v>
      </c>
      <c r="E127" s="739"/>
      <c r="F127" s="1793">
        <f>SUM('Revenues 9-14'!C204,'Revenues 9-14'!D204,'Revenues 9-14'!F204,'Revenues 9-14'!G204)</f>
        <v>344229</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3376</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387681</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13388</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5506</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11788</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73716</v>
      </c>
      <c r="G171" s="760"/>
    </row>
    <row r="172" spans="1:7" x14ac:dyDescent="0.2">
      <c r="A172" s="1529" t="s">
        <v>5</v>
      </c>
      <c r="B172" s="1530" t="s">
        <v>1882</v>
      </c>
      <c r="C172" s="1531">
        <v>3100</v>
      </c>
      <c r="D172" s="1532" t="s">
        <v>1884</v>
      </c>
      <c r="E172" s="739"/>
      <c r="F172" s="1794">
        <v>766640</v>
      </c>
      <c r="G172" s="760"/>
    </row>
    <row r="173" spans="1:7" x14ac:dyDescent="0.2">
      <c r="A173" s="1529" t="s">
        <v>659</v>
      </c>
      <c r="B173" s="1530" t="s">
        <v>1882</v>
      </c>
      <c r="C173" s="1531">
        <v>3300</v>
      </c>
      <c r="D173" s="1532" t="s">
        <v>1885</v>
      </c>
      <c r="E173" s="739"/>
      <c r="F173" s="1794">
        <v>16194</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3422365</v>
      </c>
    </row>
    <row r="176" spans="1:7" ht="12" customHeight="1" x14ac:dyDescent="0.2">
      <c r="A176" s="1443"/>
      <c r="B176" s="1453"/>
      <c r="C176" s="1454"/>
      <c r="D176" s="1455" t="s">
        <v>2011</v>
      </c>
      <c r="E176" s="1456"/>
      <c r="F176" s="1793">
        <f>'PCTC-OEPP 27-28'!F78-F175</f>
        <v>18456766</v>
      </c>
    </row>
    <row r="177" spans="1:9" ht="12" customHeight="1" x14ac:dyDescent="0.2">
      <c r="A177" s="1443"/>
      <c r="B177" s="1453"/>
      <c r="C177" s="1454"/>
      <c r="D177" s="1455" t="s">
        <v>1791</v>
      </c>
      <c r="E177" s="1456"/>
      <c r="F177" s="1793">
        <f>'Cap Outlay Deprec 26'!I18</f>
        <v>1247330</v>
      </c>
    </row>
    <row r="178" spans="1:9" ht="12" customHeight="1" x14ac:dyDescent="0.2">
      <c r="A178" s="1443"/>
      <c r="B178" s="1453"/>
      <c r="C178" s="1454"/>
      <c r="D178" s="1455" t="s">
        <v>2012</v>
      </c>
      <c r="E178" s="1456"/>
      <c r="F178" s="1793">
        <f>F176+F177</f>
        <v>19704096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1868.74</v>
      </c>
      <c r="G179" s="763"/>
      <c r="I179" s="701"/>
    </row>
    <row r="180" spans="1:9" ht="12" customHeight="1" thickBot="1" x14ac:dyDescent="0.25">
      <c r="A180" s="1443"/>
      <c r="B180" s="1457"/>
      <c r="C180" s="1454"/>
      <c r="D180" s="1455" t="s">
        <v>2014</v>
      </c>
      <c r="E180" s="1456" t="s">
        <v>1528</v>
      </c>
      <c r="F180" s="1798">
        <f>F178/F179</f>
        <v>10544.054282564723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41"/>
  <sheetViews>
    <sheetView showGridLines="0" topLeftCell="A15" zoomScaleNormal="100" workbookViewId="0">
      <selection activeCell="E28" sqref="E28"/>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1804</v>
      </c>
      <c r="B1" s="1860"/>
      <c r="C1" s="1861"/>
      <c r="D1" s="1861"/>
      <c r="E1" s="1861"/>
      <c r="F1" s="1861"/>
    </row>
    <row r="2" spans="1:6" x14ac:dyDescent="0.25">
      <c r="A2" s="1863"/>
      <c r="B2" s="1864"/>
      <c r="C2" s="1911" t="s">
        <v>2000</v>
      </c>
      <c r="D2" s="1863"/>
      <c r="E2" s="1863"/>
      <c r="F2" s="1863"/>
    </row>
    <row r="3" spans="1:6" ht="5.25" customHeight="1" x14ac:dyDescent="0.25">
      <c r="A3" s="1865"/>
      <c r="B3" s="1866"/>
      <c r="C3" s="1865"/>
      <c r="D3" s="1865"/>
      <c r="E3" s="1865"/>
      <c r="F3" s="1865"/>
    </row>
    <row r="4" spans="1:6" ht="18.75" customHeight="1" x14ac:dyDescent="0.25">
      <c r="A4" s="2376" t="s">
        <v>1792</v>
      </c>
      <c r="B4" s="2377"/>
      <c r="C4" s="2377"/>
      <c r="D4" s="2377"/>
      <c r="E4" s="2377"/>
      <c r="F4" s="2378"/>
    </row>
    <row r="5" spans="1:6" x14ac:dyDescent="0.25">
      <c r="A5" s="2379"/>
      <c r="B5" s="2380"/>
      <c r="C5" s="2380"/>
      <c r="D5" s="2380"/>
      <c r="E5" s="2380"/>
      <c r="F5" s="2381"/>
    </row>
    <row r="6" spans="1:6" ht="18.75" x14ac:dyDescent="0.25">
      <c r="A6" s="1867" t="s">
        <v>1793</v>
      </c>
      <c r="B6" s="1868"/>
      <c r="C6" s="1869"/>
      <c r="D6" s="1869"/>
      <c r="E6" s="1869"/>
      <c r="F6" s="1870"/>
    </row>
    <row r="7" spans="1:6" ht="47.25" customHeight="1" x14ac:dyDescent="0.25">
      <c r="A7" s="2382" t="s">
        <v>1982</v>
      </c>
      <c r="B7" s="2383"/>
      <c r="C7" s="2383"/>
      <c r="D7" s="2383"/>
      <c r="E7" s="2383"/>
      <c r="F7" s="2384"/>
    </row>
    <row r="8" spans="1:6" ht="20.25" customHeight="1" x14ac:dyDescent="0.25">
      <c r="A8" s="1901" t="s">
        <v>1984</v>
      </c>
      <c r="B8" s="1902"/>
      <c r="C8" s="1902"/>
      <c r="D8" s="1902"/>
      <c r="E8" s="1871"/>
      <c r="F8" s="1872"/>
    </row>
    <row r="9" spans="1:6" ht="18" customHeight="1" x14ac:dyDescent="0.25">
      <c r="A9" s="1873" t="s">
        <v>1981</v>
      </c>
      <c r="B9" s="1875"/>
      <c r="C9" s="1875"/>
      <c r="D9" s="1875"/>
      <c r="E9" s="1871"/>
      <c r="F9" s="1872"/>
    </row>
    <row r="10" spans="1:6" ht="15.75" customHeight="1" x14ac:dyDescent="0.25">
      <c r="A10" s="2385" t="s">
        <v>1978</v>
      </c>
      <c r="B10" s="2386"/>
      <c r="C10" s="2386"/>
      <c r="D10" s="2386"/>
      <c r="E10" s="2386"/>
      <c r="F10" s="2387"/>
    </row>
    <row r="11" spans="1:6" ht="33" customHeight="1" x14ac:dyDescent="0.25">
      <c r="A11" s="2382" t="s">
        <v>1983</v>
      </c>
      <c r="B11" s="2383"/>
      <c r="C11" s="2383"/>
      <c r="D11" s="2383"/>
      <c r="E11" s="2383"/>
      <c r="F11" s="2384"/>
    </row>
    <row r="12" spans="1:6" ht="15" customHeight="1" x14ac:dyDescent="0.25">
      <c r="A12" s="1873" t="s">
        <v>1979</v>
      </c>
      <c r="B12" s="1874"/>
      <c r="C12" s="1875"/>
      <c r="D12" s="1875"/>
      <c r="E12" s="1875"/>
      <c r="F12" s="1876"/>
    </row>
    <row r="13" spans="1:6" ht="17.25" customHeight="1" x14ac:dyDescent="0.25">
      <c r="A13" s="2382" t="s">
        <v>1980</v>
      </c>
      <c r="B13" s="2383"/>
      <c r="C13" s="2383"/>
      <c r="D13" s="2383"/>
      <c r="E13" s="2383"/>
      <c r="F13" s="2384"/>
    </row>
    <row r="14" spans="1:6" ht="15" customHeight="1" x14ac:dyDescent="0.25">
      <c r="A14" s="1873" t="s">
        <v>1797</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6" t="s">
        <v>1796</v>
      </c>
      <c r="C17" s="1881" t="s">
        <v>1794</v>
      </c>
      <c r="D17" s="1882">
        <v>500000</v>
      </c>
      <c r="E17" s="1882" t="str">
        <f>IF(D17&lt;25000,D17,"25,000")</f>
        <v>25,000</v>
      </c>
      <c r="F17" s="1883">
        <f>IF(D17&gt;=25000,(D17-E17),"0")</f>
        <v>475000</v>
      </c>
    </row>
    <row r="18" spans="1:7" x14ac:dyDescent="0.25">
      <c r="A18" s="2034" t="s">
        <v>2075</v>
      </c>
      <c r="B18" s="1907">
        <v>202540300</v>
      </c>
      <c r="C18" s="2035" t="s">
        <v>2073</v>
      </c>
      <c r="D18" s="1885">
        <v>96861</v>
      </c>
      <c r="E18" s="1905" t="str">
        <f t="shared" ref="E18:E40" si="0">IF(D18&lt;25000,D18,"25,000")</f>
        <v>25,000</v>
      </c>
      <c r="F18" s="1905">
        <f t="shared" ref="F18:F40" si="1">IF(D18&gt;=25000,(D18-E18),"0")</f>
        <v>71861</v>
      </c>
      <c r="G18" s="1886"/>
    </row>
    <row r="19" spans="1:7" x14ac:dyDescent="0.25">
      <c r="A19" s="2034" t="s">
        <v>2076</v>
      </c>
      <c r="B19" s="1907">
        <v>202540300</v>
      </c>
      <c r="C19" s="2035" t="s">
        <v>2074</v>
      </c>
      <c r="D19" s="1885">
        <v>17700</v>
      </c>
      <c r="E19" s="1905">
        <f t="shared" si="0"/>
        <v>17700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9" t="s">
        <v>155</v>
      </c>
      <c r="B41" s="1909"/>
      <c r="C41" s="1890"/>
      <c r="D41" s="1891">
        <f>SUM(D18:D40)</f>
        <v>114561</v>
      </c>
      <c r="E41" s="1892">
        <f>SUM(E18:E40)</f>
        <v>17700</v>
      </c>
      <c r="F41" s="1893">
        <f>SUM(F18:F40)</f>
        <v>71861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28" sqref="E2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44903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13190263</v>
      </c>
      <c r="F19" s="1802"/>
      <c r="G19" s="1804">
        <f>'Expenditures 15-22'!K33-SUM('Expenditures 15-22'!G33,'Expenditures 15-22'!I33)+'Expenditures 15-22'!D229</f>
        <v>13190263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2065318</v>
      </c>
      <c r="F21" s="1805"/>
      <c r="G21" s="1808">
        <f>'Expenditures 15-22'!K42-SUM('Expenditures 15-22'!G42,'Expenditures 15-22'!I42)+'Expenditures 15-22'!K120-SUM('Expenditures 15-22'!G120,'Expenditures 15-22'!I120)+'Expenditures 15-22'!K180-SUM('Expenditures 15-22'!G180,'Expenditures 15-22'!I180)+'Expenditures 15-22'!D238</f>
        <v>2065318</v>
      </c>
      <c r="H21" s="817"/>
      <c r="I21" s="157"/>
    </row>
    <row r="22" spans="1:9" s="542" customFormat="1" ht="12" customHeight="1" x14ac:dyDescent="0.2">
      <c r="A22" s="824" t="s">
        <v>560</v>
      </c>
      <c r="B22" s="825"/>
      <c r="C22" s="823">
        <v>2200</v>
      </c>
      <c r="D22" s="1805"/>
      <c r="E22" s="1807">
        <f>'Expenditures 15-22'!K47-SUM('Expenditures 15-22'!G47,'Expenditures 15-22'!I47)+'Expenditures 15-22'!D243</f>
        <v>721806</v>
      </c>
      <c r="F22" s="1805"/>
      <c r="G22" s="1808">
        <f>'Expenditures 15-22'!K47-SUM('Expenditures 15-22'!G47,'Expenditures 15-22'!I47)+'Expenditures 15-22'!D243</f>
        <v>721806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865999</v>
      </c>
      <c r="F23" s="1805"/>
      <c r="G23" s="1807">
        <f>'Expenditures 15-22'!K53-SUM('Expenditures 15-22'!G53,'Expenditures 15-22'!I53)+'Expenditures 15-22'!D257+'Expenditures 15-22'!K330-SUM('Expenditures 15-22'!G330,'Expenditures 15-22'!I330)</f>
        <v>865999</v>
      </c>
      <c r="H23" s="817"/>
      <c r="I23" s="157"/>
    </row>
    <row r="24" spans="1:9" s="542" customFormat="1" ht="12" customHeight="1" x14ac:dyDescent="0.2">
      <c r="A24" s="824" t="s">
        <v>562</v>
      </c>
      <c r="B24" s="825"/>
      <c r="C24" s="823">
        <v>2400</v>
      </c>
      <c r="D24" s="1805"/>
      <c r="E24" s="1807">
        <f>'Expenditures 15-22'!K57-SUM('Expenditures 15-22'!G57,'Expenditures 15-22'!I57)+'Expenditures 15-22'!D261</f>
        <v>247418</v>
      </c>
      <c r="F24" s="1805"/>
      <c r="G24" s="1808">
        <f>'Expenditures 15-22'!K57-SUM('Expenditures 15-22'!G57,'Expenditures 15-22'!I57)+'Expenditures 15-22'!D261</f>
        <v>247418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378765</v>
      </c>
      <c r="E27" s="1807">
        <f>E8</f>
        <v>0</v>
      </c>
      <c r="F27" s="1807">
        <f>'Expenditures 15-22'!K60-SUM('Expenditures 15-22'!G60,'Expenditures 15-22'!I60)+'Expenditures 15-22'!D264-E8</f>
        <v>378765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2084300</v>
      </c>
      <c r="F28" s="1809">
        <f>'Expenditures 15-22'!K61-SUM('Expenditures 15-22'!G61,'Expenditures 15-22'!I61)+'Expenditures 15-22'!K124-SUM('Expenditures 15-22'!G124,'Expenditures 15-22'!I124)+'Expenditures 15-22'!D266-E9</f>
        <v>2084300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1424937</v>
      </c>
      <c r="F29" s="1805"/>
      <c r="G29" s="1808">
        <f>'Expenditures 15-22'!K62-SUM('Expenditures 15-22'!G62,'Expenditures 15-22'!I62)+'Expenditures 15-22'!K125-SUM('Expenditures 15-22'!G125,'Expenditures 15-22'!I125)+'Expenditures 15-22'!K182-SUM('Expenditures 15-22'!G182,'Expenditures 15-22'!I182)+'Expenditures 15-22'!D267</f>
        <v>1424937</v>
      </c>
      <c r="H29" s="815"/>
    </row>
    <row r="30" spans="1:9" ht="12" customHeight="1" x14ac:dyDescent="0.2">
      <c r="A30" s="824" t="s">
        <v>100</v>
      </c>
      <c r="B30" s="827"/>
      <c r="C30" s="823">
        <v>2560</v>
      </c>
      <c r="D30" s="1805"/>
      <c r="E30" s="1807">
        <f>'Expenditures 15-22'!K63-SUM('Expenditures 15-22'!G63,'Expenditures 15-22'!I63)+'Expenditures 15-22'!D268-E10</f>
        <v>551187</v>
      </c>
      <c r="F30" s="1805"/>
      <c r="G30" s="1807">
        <f>'Expenditures 15-22'!K63-SUM('Expenditures 15-22'!G63,'Expenditures 15-22'!I63)+'Expenditures 15-22'!D268-E10</f>
        <v>551187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998</v>
      </c>
      <c r="E36" s="1807">
        <f>E13</f>
        <v>0</v>
      </c>
      <c r="F36" s="1807">
        <f>'Expenditures 15-22'!K70-SUM('Expenditures 15-22'!G70,'Expenditures 15-22'!I70)+'Expenditures 15-22'!D275-E13</f>
        <v>998</v>
      </c>
      <c r="G36" s="1807">
        <f>E13</f>
        <v>0</v>
      </c>
    </row>
    <row r="37" spans="1:7" ht="12" customHeight="1" x14ac:dyDescent="0.2">
      <c r="A37" s="824" t="s">
        <v>401</v>
      </c>
      <c r="B37" s="827"/>
      <c r="C37" s="823">
        <v>2660</v>
      </c>
      <c r="D37" s="1807">
        <f>'Expenditures 15-22'!K71-SUM('Expenditures 15-22'!G71,'Expenditures 15-22'!I71)+'Expenditures 15-22'!D276-E14</f>
        <v>505093</v>
      </c>
      <c r="E37" s="1807">
        <f>E14</f>
        <v>0</v>
      </c>
      <c r="F37" s="1807">
        <f>'Expenditures 15-22'!K71-SUM('Expenditures 15-22'!G71,'Expenditures 15-22'!I71)+'Expenditures 15-22'!D276-E14</f>
        <v>505093</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138294</v>
      </c>
      <c r="F39" s="1805"/>
      <c r="G39" s="1807">
        <f>'Expenditures 15-22'!K75-SUM('Expenditures 15-22'!G75,'Expenditures 15-22'!I75)+'Expenditures 15-22'!K130-SUM('Expenditures 15-22'!G130,'Expenditures 15-22'!I130)+'Expenditures 15-22'!K185-SUM('Expenditures 15-22'!G185,'Expenditures 15-22'!I185)+'Expenditures 15-22'!D280</f>
        <v>138294</v>
      </c>
    </row>
    <row r="40" spans="1:7" ht="12" customHeight="1" x14ac:dyDescent="0.2">
      <c r="A40" s="820" t="s">
        <v>1795</v>
      </c>
      <c r="B40" s="821"/>
      <c r="C40" s="823"/>
      <c r="D40" s="1805"/>
      <c r="E40" s="1809">
        <f>-'Contracts Paid in CY 29'!F41</f>
        <v>-71861</v>
      </c>
      <c r="F40" s="1805"/>
      <c r="G40" s="1809">
        <f>-'Contracts Paid in CY 29'!F41</f>
        <v>-71861</v>
      </c>
    </row>
    <row r="41" spans="1:7" ht="12" customHeight="1" x14ac:dyDescent="0.2">
      <c r="A41" s="828" t="s">
        <v>155</v>
      </c>
      <c r="B41" s="829"/>
      <c r="C41" s="830"/>
      <c r="D41" s="1809">
        <f>SUM(D19:D39)</f>
        <v>884856</v>
      </c>
      <c r="E41" s="1809">
        <f>SUM(E19:E40)</f>
        <v>21217661</v>
      </c>
      <c r="F41" s="1809">
        <f>SUM(F19:F39)</f>
        <v>2969156</v>
      </c>
      <c r="G41" s="1809">
        <f>SUM(G19:G40)</f>
        <v>19133361</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884856</v>
      </c>
      <c r="F43" s="1458" t="s">
        <v>470</v>
      </c>
      <c r="G43" s="1810">
        <f>F41</f>
        <v>2969156</v>
      </c>
    </row>
    <row r="44" spans="1:7" ht="12" customHeight="1" x14ac:dyDescent="0.2">
      <c r="A44" s="817"/>
      <c r="B44" s="157"/>
      <c r="C44" s="831"/>
      <c r="D44" s="1458" t="s">
        <v>471</v>
      </c>
      <c r="E44" s="1810">
        <f>E41</f>
        <v>21217661</v>
      </c>
      <c r="F44" s="1458" t="s">
        <v>471</v>
      </c>
      <c r="G44" s="1810">
        <f>G41</f>
        <v>19133361</v>
      </c>
    </row>
    <row r="45" spans="1:7" ht="12" customHeight="1" x14ac:dyDescent="0.2">
      <c r="A45" s="817"/>
      <c r="B45" s="157"/>
      <c r="C45" s="157"/>
      <c r="D45" s="1459" t="s">
        <v>999</v>
      </c>
      <c r="E45" s="1811">
        <f>(E43/E44)</f>
        <v>4.1703748589441599E-2</v>
      </c>
      <c r="F45" s="1459" t="s">
        <v>999</v>
      </c>
      <c r="G45" s="1811">
        <f>(G43/G44)</f>
        <v>0.15518214494567892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0" zoomScale="110" zoomScaleNormal="110" workbookViewId="0">
      <selection activeCell="E28" sqref="E2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1363</v>
      </c>
      <c r="B1" s="2410"/>
      <c r="C1" s="2410"/>
      <c r="D1" s="2410"/>
      <c r="E1" s="2410"/>
      <c r="F1" s="2410"/>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1" t="s">
        <v>1529</v>
      </c>
      <c r="B5" s="2412"/>
      <c r="C5" s="2413"/>
      <c r="D5" s="2413"/>
      <c r="E5" s="2413"/>
      <c r="F5" s="2413"/>
      <c r="G5" s="1507"/>
      <c r="L5" s="1507"/>
      <c r="M5" s="1855"/>
      <c r="N5" s="1855"/>
      <c r="O5" s="1855"/>
    </row>
    <row r="6" spans="1:15" ht="12" customHeight="1" x14ac:dyDescent="0.25">
      <c r="A6" s="1480"/>
      <c r="B6" s="1481"/>
      <c r="C6" s="2414" t="str">
        <f>COVER!A17</f>
        <v xml:space="preserve">   Bradley-Bourbannais CHSD 307</v>
      </c>
      <c r="D6" s="2414"/>
      <c r="E6" s="2414"/>
      <c r="F6" s="1482"/>
      <c r="G6" s="1507"/>
      <c r="L6" s="1507"/>
      <c r="M6" s="1855"/>
      <c r="N6" s="1855"/>
      <c r="O6" s="1855"/>
    </row>
    <row r="7" spans="1:15" ht="11.25" customHeight="1" thickBot="1" x14ac:dyDescent="0.3">
      <c r="A7" s="1480"/>
      <c r="B7" s="1481"/>
      <c r="C7" s="2415">
        <f>COVER!A13</f>
        <v>32046307016</v>
      </c>
      <c r="D7" s="2415"/>
      <c r="E7" s="2415"/>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2049</v>
      </c>
      <c r="D25" s="1495" t="s">
        <v>2049</v>
      </c>
      <c r="E25" s="1498"/>
      <c r="F25" s="1497" t="s">
        <v>2071</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1159</v>
      </c>
      <c r="D26" s="1495" t="s">
        <v>1159</v>
      </c>
      <c r="E26" s="1498" t="s">
        <v>1159</v>
      </c>
      <c r="F26" s="1497" t="s">
        <v>1159</v>
      </c>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2049</v>
      </c>
      <c r="D31" s="1495" t="s">
        <v>2049</v>
      </c>
      <c r="E31" s="1498"/>
      <c r="F31" s="1497" t="s">
        <v>2072</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1375</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E28" sqref="E28"/>
    </sheetView>
  </sheetViews>
  <sheetFormatPr defaultColWidth="9.140625"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1999</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36" t="str">
        <f>COVER!A17</f>
        <v xml:space="preserve">   Bradley-Bourbannais CHSD 307</v>
      </c>
      <c r="K6" s="2436"/>
      <c r="L6" s="2450"/>
      <c r="M6" s="838"/>
      <c r="N6" s="1996"/>
    </row>
    <row r="7" spans="1:14" x14ac:dyDescent="0.2">
      <c r="A7" s="2451" t="s">
        <v>864</v>
      </c>
      <c r="B7" s="2452"/>
      <c r="C7" s="2452"/>
      <c r="D7" s="2452"/>
      <c r="E7" s="2453"/>
      <c r="F7" s="839"/>
      <c r="G7" s="838"/>
      <c r="H7" s="838"/>
      <c r="I7" s="1922" t="s">
        <v>369</v>
      </c>
      <c r="J7" s="2438">
        <f>COVER!A13</f>
        <v>32046307016</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2015</v>
      </c>
      <c r="F9" s="1857"/>
      <c r="G9" s="1857"/>
      <c r="H9" s="1857"/>
      <c r="I9" s="1927" t="s">
        <v>2016</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4" t="s">
        <v>478</v>
      </c>
      <c r="B11" s="2455"/>
      <c r="C11" s="2456"/>
      <c r="D11" s="1935" t="s">
        <v>866</v>
      </c>
      <c r="E11" s="1935" t="s">
        <v>64</v>
      </c>
      <c r="F11" s="1935" t="s">
        <v>6</v>
      </c>
      <c r="G11" s="1936" t="s">
        <v>2017</v>
      </c>
      <c r="H11" s="1937" t="s">
        <v>155</v>
      </c>
      <c r="I11" s="1935" t="s">
        <v>64</v>
      </c>
      <c r="J11" s="1935" t="s">
        <v>6</v>
      </c>
      <c r="K11" s="1936" t="s">
        <v>1998</v>
      </c>
      <c r="L11" s="1937" t="s">
        <v>155</v>
      </c>
      <c r="M11" s="838"/>
      <c r="N11" s="1996"/>
    </row>
    <row r="12" spans="1:14" x14ac:dyDescent="0.2">
      <c r="A12" s="2001">
        <v>1</v>
      </c>
      <c r="B12" s="1938" t="s">
        <v>813</v>
      </c>
      <c r="C12" s="842"/>
      <c r="D12" s="1939">
        <v>2320</v>
      </c>
      <c r="E12" s="1942">
        <f>'Expenditures 15-22'!K50</f>
        <v>373951</v>
      </c>
      <c r="F12" s="1940"/>
      <c r="G12" s="1966">
        <f>G68</f>
        <v>0</v>
      </c>
      <c r="H12" s="1942">
        <f t="shared" ref="H12:H18" si="0">SUM(E12:G12)</f>
        <v>373951</v>
      </c>
      <c r="I12" s="1941">
        <v>383353</v>
      </c>
      <c r="J12" s="1940"/>
      <c r="K12" s="1941"/>
      <c r="L12" s="1942">
        <f t="shared" ref="L12:L18" si="1">SUM(I12:K12)</f>
        <v>383353</v>
      </c>
      <c r="M12" s="838"/>
      <c r="N12" s="1996"/>
    </row>
    <row r="13" spans="1:14" x14ac:dyDescent="0.2">
      <c r="A13" s="2001">
        <v>2</v>
      </c>
      <c r="B13" s="1938" t="s">
        <v>42</v>
      </c>
      <c r="C13" s="842"/>
      <c r="D13" s="1939">
        <v>2330</v>
      </c>
      <c r="E13" s="1942">
        <f>'Expenditures 15-22'!K51</f>
        <v>7243</v>
      </c>
      <c r="F13" s="1940"/>
      <c r="G13" s="1966">
        <f>H68</f>
        <v>0</v>
      </c>
      <c r="H13" s="1942">
        <f t="shared" si="0"/>
        <v>7243</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381194</v>
      </c>
      <c r="F19" s="1948">
        <f t="shared" si="2"/>
        <v>0</v>
      </c>
      <c r="G19" s="1948">
        <f t="shared" ref="G19" si="3">SUM(G12:G17)-G18</f>
        <v>0</v>
      </c>
      <c r="H19" s="1948">
        <f t="shared" si="2"/>
        <v>381194</v>
      </c>
      <c r="I19" s="1948">
        <f t="shared" si="2"/>
        <v>383353</v>
      </c>
      <c r="J19" s="1948">
        <f t="shared" si="2"/>
        <v>0</v>
      </c>
      <c r="K19" s="1948">
        <f t="shared" si="2"/>
        <v>0</v>
      </c>
      <c r="L19" s="1948">
        <f t="shared" si="2"/>
        <v>383353</v>
      </c>
      <c r="M19" s="838"/>
      <c r="N19" s="1996"/>
    </row>
    <row r="20" spans="1:14" ht="13.5" thickTop="1" x14ac:dyDescent="0.2">
      <c r="A20" s="2001">
        <v>9</v>
      </c>
      <c r="B20" s="2460" t="s">
        <v>2018</v>
      </c>
      <c r="C20" s="2460"/>
      <c r="D20" s="2461"/>
      <c r="E20" s="1949"/>
      <c r="F20" s="1949"/>
      <c r="G20" s="1949"/>
      <c r="H20" s="1949"/>
      <c r="I20" s="1949"/>
      <c r="J20" s="1949"/>
      <c r="K20" s="1949"/>
      <c r="L20" s="1950">
        <f>IF(AND(H19&gt;0,L19&gt;0),(((L19-H19)/H19)),"Enter Budget Data")</f>
        <v>5.6637827457934808E-3</v>
      </c>
      <c r="M20" s="838"/>
      <c r="N20" s="1996"/>
    </row>
    <row r="21" spans="1:14" x14ac:dyDescent="0.2">
      <c r="A21" s="2003" t="s">
        <v>194</v>
      </c>
      <c r="B21" s="2004" t="s">
        <v>2043</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2019</v>
      </c>
      <c r="B24" s="2008"/>
      <c r="C24" s="2009"/>
      <c r="D24" s="2009"/>
      <c r="E24" s="2009"/>
      <c r="F24" s="2009"/>
      <c r="G24" s="2009"/>
      <c r="H24" s="2009"/>
      <c r="I24" s="2009"/>
      <c r="J24" s="2009"/>
      <c r="K24" s="2009"/>
      <c r="L24" s="838"/>
      <c r="M24" s="838"/>
      <c r="N24" s="1996"/>
    </row>
    <row r="25" spans="1:14" x14ac:dyDescent="0.2">
      <c r="A25" s="2007" t="s">
        <v>2020</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1026</v>
      </c>
      <c r="D28" s="844"/>
      <c r="E28" s="1956"/>
      <c r="F28" s="2464" t="s">
        <v>1492</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1544</v>
      </c>
      <c r="D30" s="838"/>
      <c r="E30" s="1957"/>
      <c r="F30" s="2449" t="s">
        <v>1493</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2021</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2022</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2023</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2024</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2025</v>
      </c>
      <c r="B45" s="1981"/>
      <c r="C45" s="1981"/>
      <c r="D45" s="1981"/>
      <c r="E45" s="1981"/>
      <c r="F45" s="1981"/>
      <c r="G45" s="1981"/>
      <c r="H45" s="1981"/>
      <c r="I45" s="1981"/>
      <c r="J45" s="1981"/>
      <c r="K45" s="1981"/>
      <c r="L45" s="1981"/>
      <c r="M45" s="1981"/>
      <c r="N45" s="1982"/>
    </row>
    <row r="46" spans="1:14" x14ac:dyDescent="0.2">
      <c r="A46" s="2433" t="s">
        <v>2026</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2042</v>
      </c>
      <c r="B49" s="2022"/>
      <c r="C49" s="2022"/>
      <c r="D49" s="2023"/>
      <c r="E49" s="2023"/>
      <c r="F49" s="2023"/>
      <c r="G49" s="2023"/>
      <c r="H49" s="2023"/>
      <c r="I49" s="2023"/>
      <c r="J49" s="2023"/>
      <c r="K49" s="2023"/>
      <c r="L49" s="2023"/>
      <c r="M49" s="2023"/>
      <c r="N49" s="2024"/>
    </row>
    <row r="50" spans="1:14" ht="15" x14ac:dyDescent="0.25">
      <c r="A50" s="2026" t="s">
        <v>2041</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6" t="str">
        <f>J6</f>
        <v xml:space="preserve">   Bradley-Bourbannais CHSD 307</v>
      </c>
      <c r="M52" s="2436"/>
      <c r="N52" s="2437"/>
    </row>
    <row r="53" spans="1:14" x14ac:dyDescent="0.2">
      <c r="A53" s="1980"/>
      <c r="B53" s="1981"/>
      <c r="C53" s="1981"/>
      <c r="D53" s="1981"/>
      <c r="E53" s="1981"/>
      <c r="F53" s="1981"/>
      <c r="G53" s="1981"/>
      <c r="H53" s="1981"/>
      <c r="I53" s="1981"/>
      <c r="J53" s="1981"/>
      <c r="K53" s="1922" t="s">
        <v>369</v>
      </c>
      <c r="L53" s="2438">
        <f>J7</f>
        <v>32046307016</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2027</v>
      </c>
      <c r="H55" s="2442"/>
      <c r="I55" s="2442"/>
      <c r="J55" s="2442"/>
      <c r="K55" s="2442"/>
      <c r="L55" s="2442"/>
      <c r="M55" s="2442"/>
      <c r="N55" s="2443"/>
    </row>
    <row r="56" spans="1:14" ht="63.75" x14ac:dyDescent="0.2">
      <c r="A56" s="2444" t="s">
        <v>2028</v>
      </c>
      <c r="B56" s="2445"/>
      <c r="C56" s="2446"/>
      <c r="D56" s="1962" t="s">
        <v>2029</v>
      </c>
      <c r="E56" s="1962" t="s">
        <v>2030</v>
      </c>
      <c r="F56" s="1969"/>
      <c r="G56" s="1962" t="s">
        <v>2031</v>
      </c>
      <c r="H56" s="1962" t="s">
        <v>2032</v>
      </c>
      <c r="I56" s="1962" t="s">
        <v>2033</v>
      </c>
      <c r="J56" s="1962" t="s">
        <v>2034</v>
      </c>
      <c r="K56" s="1962" t="s">
        <v>2035</v>
      </c>
      <c r="L56" s="1962" t="s">
        <v>2036</v>
      </c>
      <c r="M56" s="1962" t="s">
        <v>2037</v>
      </c>
      <c r="N56" s="1963" t="s">
        <v>2044</v>
      </c>
    </row>
    <row r="57" spans="1:14" ht="24.75" customHeight="1" x14ac:dyDescent="0.2">
      <c r="A57" s="2447" t="s">
        <v>296</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2038</v>
      </c>
      <c r="B58" s="2425"/>
      <c r="C58" s="2425"/>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18" t="s">
        <v>297</v>
      </c>
      <c r="B59" s="2419"/>
      <c r="C59" s="2419"/>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18" t="s">
        <v>236</v>
      </c>
      <c r="B60" s="2419"/>
      <c r="C60" s="2419"/>
      <c r="D60" s="1965">
        <v>2364</v>
      </c>
      <c r="E60" s="1975">
        <f>'Expenditures 15-22'!K322</f>
        <v>0</v>
      </c>
      <c r="F60" s="1970"/>
      <c r="G60" s="2029"/>
      <c r="H60" s="2030"/>
      <c r="I60" s="2030"/>
      <c r="J60" s="2030"/>
      <c r="K60" s="2030"/>
      <c r="L60" s="2030"/>
      <c r="M60" s="2030"/>
      <c r="N60" s="1973">
        <f t="shared" ref="N60:N67" si="4">IF((SUM(G60:M60))=E60,SUM(G60:M60),"Column N does not agree with Column E")</f>
        <v>0</v>
      </c>
    </row>
    <row r="61" spans="1:14" ht="24.75" customHeight="1" x14ac:dyDescent="0.2">
      <c r="A61" s="2418" t="s">
        <v>697</v>
      </c>
      <c r="B61" s="2419"/>
      <c r="C61" s="2419"/>
      <c r="D61" s="1965">
        <v>2365</v>
      </c>
      <c r="E61" s="1975">
        <f>'Expenditures 15-22'!K323</f>
        <v>0</v>
      </c>
      <c r="F61" s="1970"/>
      <c r="G61" s="2029"/>
      <c r="H61" s="2030"/>
      <c r="I61" s="2030"/>
      <c r="J61" s="2030"/>
      <c r="K61" s="2030"/>
      <c r="L61" s="2030"/>
      <c r="M61" s="2030"/>
      <c r="N61" s="1973">
        <f t="shared" si="4"/>
        <v>0</v>
      </c>
    </row>
    <row r="62" spans="1:14" ht="24" customHeight="1" x14ac:dyDescent="0.2">
      <c r="A62" s="2418" t="s">
        <v>237</v>
      </c>
      <c r="B62" s="2419"/>
      <c r="C62" s="2419"/>
      <c r="D62" s="1965">
        <v>2366</v>
      </c>
      <c r="E62" s="1975">
        <f>'Expenditures 15-22'!K324</f>
        <v>0</v>
      </c>
      <c r="F62" s="1970"/>
      <c r="G62" s="2029"/>
      <c r="H62" s="2030"/>
      <c r="I62" s="2030"/>
      <c r="J62" s="2030"/>
      <c r="K62" s="2030"/>
      <c r="L62" s="2030"/>
      <c r="M62" s="2030"/>
      <c r="N62" s="1973">
        <f t="shared" si="4"/>
        <v>0</v>
      </c>
    </row>
    <row r="63" spans="1:14" ht="24" customHeight="1" x14ac:dyDescent="0.2">
      <c r="A63" s="2424" t="s">
        <v>1022</v>
      </c>
      <c r="B63" s="2425"/>
      <c r="C63" s="2425"/>
      <c r="D63" s="1965">
        <v>2367</v>
      </c>
      <c r="E63" s="1975">
        <f>'Expenditures 15-22'!K325</f>
        <v>0</v>
      </c>
      <c r="F63" s="1970"/>
      <c r="G63" s="2029" t="s">
        <v>2060</v>
      </c>
      <c r="H63" s="2030"/>
      <c r="I63" s="2030"/>
      <c r="J63" s="2030"/>
      <c r="K63" s="2030"/>
      <c r="L63" s="2030"/>
      <c r="M63" s="2030"/>
      <c r="N63" s="1973">
        <f t="shared" si="4"/>
        <v>0</v>
      </c>
    </row>
    <row r="64" spans="1:14" ht="24" customHeight="1" x14ac:dyDescent="0.2">
      <c r="A64" s="2418" t="s">
        <v>1023</v>
      </c>
      <c r="B64" s="2419"/>
      <c r="C64" s="2419"/>
      <c r="D64" s="1965">
        <v>2368</v>
      </c>
      <c r="E64" s="1975">
        <f>'Expenditures 15-22'!K326</f>
        <v>0</v>
      </c>
      <c r="F64" s="1970"/>
      <c r="G64" s="2029"/>
      <c r="H64" s="2030"/>
      <c r="I64" s="2030"/>
      <c r="J64" s="2030"/>
      <c r="K64" s="2030"/>
      <c r="L64" s="2030"/>
      <c r="M64" s="2030"/>
      <c r="N64" s="1973">
        <f t="shared" si="4"/>
        <v>0</v>
      </c>
    </row>
    <row r="65" spans="1:14" ht="24" customHeight="1" x14ac:dyDescent="0.2">
      <c r="A65" s="2418" t="s">
        <v>965</v>
      </c>
      <c r="B65" s="2419"/>
      <c r="C65" s="2419"/>
      <c r="D65" s="1965">
        <v>2369</v>
      </c>
      <c r="E65" s="1975">
        <f>'Expenditures 15-22'!K327</f>
        <v>0</v>
      </c>
      <c r="F65" s="1970"/>
      <c r="G65" s="2029"/>
      <c r="H65" s="2030"/>
      <c r="I65" s="2030"/>
      <c r="J65" s="2030"/>
      <c r="K65" s="2030"/>
      <c r="L65" s="2030"/>
      <c r="M65" s="2030"/>
      <c r="N65" s="1973">
        <f t="shared" si="4"/>
        <v>0</v>
      </c>
    </row>
    <row r="66" spans="1:14" ht="24" customHeight="1" x14ac:dyDescent="0.2">
      <c r="A66" s="2418" t="s">
        <v>469</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2039</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1151</v>
      </c>
      <c r="B68" s="2423"/>
      <c r="C68" s="2423"/>
      <c r="D68" s="1968"/>
      <c r="E68" s="1972">
        <f>SUM(E57:E67)</f>
        <v>0</v>
      </c>
      <c r="F68" s="1971"/>
      <c r="G68" s="1972">
        <f t="shared" ref="G68:N68" si="5">SUM(G57:G67)</f>
        <v>0</v>
      </c>
      <c r="H68" s="1972">
        <f t="shared" si="5"/>
        <v>0</v>
      </c>
      <c r="I68" s="1972">
        <f t="shared" si="5"/>
        <v>0</v>
      </c>
      <c r="J68" s="1972">
        <f t="shared" si="5"/>
        <v>0</v>
      </c>
      <c r="K68" s="1972">
        <f t="shared" si="5"/>
        <v>0</v>
      </c>
      <c r="L68" s="1972">
        <f t="shared" si="5"/>
        <v>0</v>
      </c>
      <c r="M68" s="1972">
        <f t="shared" si="5"/>
        <v>0</v>
      </c>
      <c r="N68" s="1986">
        <f t="shared" si="5"/>
        <v>0</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2040</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E28" sqref="E2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Bradley-Bourbannais CHSD 307</v>
      </c>
    </row>
    <row r="65" spans="2:2" x14ac:dyDescent="0.2">
      <c r="B65" s="849">
        <f>COVER!A13</f>
        <v>32046307016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28" sqref="E2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E28" sqref="E2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28" sqref="E2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171450</xdr:colOff>
                <xdr:row>2</xdr:row>
                <xdr:rowOff>47625</xdr:rowOff>
              </from>
              <to>
                <xdr:col>1</xdr:col>
                <xdr:colOff>1085850</xdr:colOff>
                <xdr:row>7</xdr:row>
                <xdr:rowOff>9525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28" sqref="E2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1969</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20345420</v>
      </c>
      <c r="C8" s="1813">
        <f>'Acct Summary 7-8'!D8</f>
        <v>3227384</v>
      </c>
      <c r="D8" s="1813">
        <f>'Acct Summary 7-8'!F8</f>
        <v>1693909</v>
      </c>
      <c r="E8" s="1813">
        <f>'Acct Summary 7-8'!I8</f>
        <v>86825</v>
      </c>
      <c r="F8" s="1813">
        <f>SUM(B8:E8)</f>
        <v>25353538</v>
      </c>
    </row>
    <row r="9" spans="1:8" s="858" customFormat="1" ht="14.25" customHeight="1" thickBot="1" x14ac:dyDescent="0.25">
      <c r="A9" s="857" t="s">
        <v>1353</v>
      </c>
      <c r="B9" s="1814">
        <f>'Acct Summary 7-8'!C17</f>
        <v>19471648</v>
      </c>
      <c r="C9" s="1814">
        <f>'Acct Summary 7-8'!D17</f>
        <v>3119926</v>
      </c>
      <c r="D9" s="1814">
        <f>'Acct Summary 7-8'!F17</f>
        <v>1452557</v>
      </c>
      <c r="E9" s="1813"/>
      <c r="F9" s="1813">
        <f>SUM(B9:E9)</f>
        <v>24044131</v>
      </c>
    </row>
    <row r="10" spans="1:8" s="858" customFormat="1" ht="14.25" thickTop="1" thickBot="1" x14ac:dyDescent="0.25">
      <c r="A10" s="859" t="s">
        <v>1354</v>
      </c>
      <c r="B10" s="1815">
        <f>(B8-B9)</f>
        <v>873772</v>
      </c>
      <c r="C10" s="1815">
        <f>(C8-C9)</f>
        <v>107458</v>
      </c>
      <c r="D10" s="1815">
        <f>(D8-D9)</f>
        <v>241352</v>
      </c>
      <c r="E10" s="1814">
        <f>(E8-E9)</f>
        <v>86825</v>
      </c>
      <c r="F10" s="1816">
        <f>SUM(F8-F9)</f>
        <v>1309407</v>
      </c>
    </row>
    <row r="11" spans="1:8" s="858" customFormat="1" ht="14.25" thickTop="1" thickBot="1" x14ac:dyDescent="0.25">
      <c r="A11" s="860" t="s">
        <v>1900</v>
      </c>
      <c r="B11" s="1817">
        <f>'Acct Summary 7-8'!C81</f>
        <v>8950662</v>
      </c>
      <c r="C11" s="1817">
        <f>'Acct Summary 7-8'!D81</f>
        <v>4138195</v>
      </c>
      <c r="D11" s="1817">
        <f>'Acct Summary 7-8'!F81</f>
        <v>1476306</v>
      </c>
      <c r="E11" s="1817">
        <f>'Acct Summary 7-8'!I81</f>
        <v>2920483</v>
      </c>
      <c r="F11" s="1818">
        <f>SUM(B11:E11)</f>
        <v>17485646</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E28" sqref="E2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0" t="str">
        <f>IF('Contracts Paid in CY 29'!$D$41&gt;0,"OK","PLEASE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99" t="s">
        <v>1975</v>
      </c>
    </row>
    <row r="2" spans="1:7" ht="15.75" x14ac:dyDescent="0.25">
      <c r="A2" t="s">
        <v>260</v>
      </c>
      <c r="B2" s="135">
        <f>COVER!A13</f>
        <v>32046307016</v>
      </c>
      <c r="E2" s="1542">
        <v>2020</v>
      </c>
      <c r="F2" s="1542">
        <v>1</v>
      </c>
      <c r="G2" s="1898">
        <v>101000300</v>
      </c>
    </row>
    <row r="3" spans="1:7" ht="15" x14ac:dyDescent="0.25">
      <c r="A3" t="s">
        <v>950</v>
      </c>
      <c r="B3" s="135" t="str">
        <f>COVER!A15</f>
        <v xml:space="preserve">Kankakee </v>
      </c>
      <c r="E3" s="1830" t="s">
        <v>1968</v>
      </c>
      <c r="F3" s="1830" t="s">
        <v>1967</v>
      </c>
      <c r="G3" s="1898">
        <v>101000400</v>
      </c>
    </row>
    <row r="4" spans="1:7" ht="15" x14ac:dyDescent="0.25">
      <c r="A4" t="s">
        <v>1000</v>
      </c>
      <c r="B4" s="135" t="str">
        <f>COVER!A17</f>
        <v xml:space="preserve">   Bradley-Bourbannais CHSD 307</v>
      </c>
      <c r="E4" s="1828">
        <v>44119</v>
      </c>
      <c r="F4" s="1829">
        <v>44151</v>
      </c>
      <c r="G4" s="1898">
        <v>101000600</v>
      </c>
    </row>
    <row r="5" spans="1:7" ht="15" x14ac:dyDescent="0.25">
      <c r="A5" t="s">
        <v>699</v>
      </c>
      <c r="B5" s="135" t="str">
        <f>COVER!A38</f>
        <v>Dr Scott Wakeley</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No</v>
      </c>
      <c r="G14" s="1898">
        <v>402100300</v>
      </c>
    </row>
    <row r="15" spans="1:7" ht="15" x14ac:dyDescent="0.25">
      <c r="A15" t="s">
        <v>573</v>
      </c>
      <c r="B15" s="135" t="str">
        <f>COVER!T23</f>
        <v>065-018319</v>
      </c>
      <c r="G15" s="1898">
        <v>402100400</v>
      </c>
    </row>
    <row r="16" spans="1:7" ht="15" x14ac:dyDescent="0.25">
      <c r="A16" t="s">
        <v>419</v>
      </c>
      <c r="B16" s="135" t="str">
        <f>COVER!T13</f>
        <v>Russell Leigh &amp; Assiciates LLC</v>
      </c>
      <c r="G16" s="1898">
        <v>402100600</v>
      </c>
    </row>
    <row r="17" spans="1:7" ht="15" x14ac:dyDescent="0.25">
      <c r="A17" t="s">
        <v>878</v>
      </c>
      <c r="B17" s="135" t="str">
        <f>COVER!T15</f>
        <v>Russ Leigh</v>
      </c>
      <c r="G17" s="1898">
        <v>402100800</v>
      </c>
    </row>
    <row r="18" spans="1:7" ht="15" x14ac:dyDescent="0.25">
      <c r="A18" t="s">
        <v>1140</v>
      </c>
      <c r="B18" s="135" t="str">
        <f>COVER!T17</f>
        <v xml:space="preserve">228 East Main </v>
      </c>
      <c r="G18" s="1898">
        <v>102200300</v>
      </c>
    </row>
    <row r="19" spans="1:7" ht="15" x14ac:dyDescent="0.25">
      <c r="A19" t="s">
        <v>880</v>
      </c>
      <c r="B19" s="135" t="str">
        <f>COVER!T25</f>
        <v>admin@russleigh.com</v>
      </c>
      <c r="G19" s="1898">
        <v>102200400</v>
      </c>
    </row>
    <row r="20" spans="1:7" ht="15" x14ac:dyDescent="0.25">
      <c r="A20" t="s">
        <v>881</v>
      </c>
      <c r="B20" s="135" t="str">
        <f>COVER!T19</f>
        <v>Hoopeston</v>
      </c>
      <c r="G20" s="1898">
        <v>102200600</v>
      </c>
    </row>
    <row r="21" spans="1:7" ht="15" x14ac:dyDescent="0.25">
      <c r="A21" t="s">
        <v>476</v>
      </c>
      <c r="B21" s="135" t="str">
        <f>COVER!X19</f>
        <v>IL</v>
      </c>
      <c r="G21" s="1898">
        <v>102200800</v>
      </c>
    </row>
    <row r="22" spans="1:7" ht="15" x14ac:dyDescent="0.25">
      <c r="A22" t="s">
        <v>882</v>
      </c>
      <c r="B22" s="135">
        <f>COVER!Z19</f>
        <v>60942</v>
      </c>
      <c r="G22" s="1898">
        <v>102300300</v>
      </c>
    </row>
    <row r="23" spans="1:7" ht="15" x14ac:dyDescent="0.25">
      <c r="A23" t="s">
        <v>1142</v>
      </c>
      <c r="B23" s="135" t="str">
        <f>COVER!T21</f>
        <v>217-283-9336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8848114</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8950662</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8950662</v>
      </c>
      <c r="D92" s="2" t="str">
        <f t="shared" si="0"/>
        <v>Error?</v>
      </c>
      <c r="G92" s="1898">
        <v>102640600</v>
      </c>
    </row>
    <row r="93" spans="1:7" ht="15" x14ac:dyDescent="0.25">
      <c r="A93" s="5">
        <v>32</v>
      </c>
      <c r="B93" s="1832">
        <f>'Assets-Liab 5-6'!C41</f>
        <v>8950662</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3637300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4138195</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4138195</v>
      </c>
      <c r="D123" s="2" t="str">
        <f t="shared" si="0"/>
        <v>Error?</v>
      </c>
      <c r="G123" s="1898">
        <v>203000400</v>
      </c>
    </row>
    <row r="124" spans="1:7" ht="15" x14ac:dyDescent="0.25">
      <c r="A124" s="5">
        <v>63</v>
      </c>
      <c r="B124" s="1832">
        <f>'Assets-Liab 5-6'!D41</f>
        <v>4138195</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53278</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151219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151219</v>
      </c>
      <c r="D140" s="2" t="str">
        <f t="shared" si="1"/>
        <v>Error?</v>
      </c>
    </row>
    <row r="141" spans="1:7" x14ac:dyDescent="0.2">
      <c r="A141" s="5">
        <v>80</v>
      </c>
      <c r="B141" s="1832">
        <f>'Assets-Liab 5-6'!E41</f>
        <v>151219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1372146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1476306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1476306</v>
      </c>
      <c r="D170" s="2" t="str">
        <f t="shared" si="1"/>
        <v>Error?</v>
      </c>
    </row>
    <row r="171" spans="1:4" x14ac:dyDescent="0.2">
      <c r="A171" s="5">
        <v>110</v>
      </c>
      <c r="B171" s="1832">
        <f>'Assets-Liab 5-6'!F41</f>
        <v>1476306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291408</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318054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282110</v>
      </c>
      <c r="D189" s="2" t="str">
        <f t="shared" si="1"/>
        <v>Error?</v>
      </c>
    </row>
    <row r="190" spans="1:4" x14ac:dyDescent="0.2">
      <c r="A190" s="5">
        <v>129</v>
      </c>
      <c r="B190" s="1832">
        <f>'Assets-Liab 5-6'!G41</f>
        <v>318054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27613</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29393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29393</v>
      </c>
      <c r="D212" s="2" t="str">
        <f t="shared" si="2"/>
        <v>Error?</v>
      </c>
    </row>
    <row r="213" spans="1:4" x14ac:dyDescent="0.2">
      <c r="A213" s="12">
        <v>152</v>
      </c>
      <c r="B213" s="1832">
        <f>'Assets-Liab 5-6'!H41</f>
        <v>29393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5381544</v>
      </c>
      <c r="D273" s="2" t="str">
        <f t="shared" si="3"/>
        <v>Error?</v>
      </c>
    </row>
    <row r="274" spans="1:4" x14ac:dyDescent="0.2">
      <c r="A274" s="5">
        <v>213</v>
      </c>
      <c r="B274" s="1832">
        <f>'Assets-Liab 5-6'!M17</f>
        <v>31742289</v>
      </c>
      <c r="D274" s="2" t="str">
        <f t="shared" si="3"/>
        <v>Error?</v>
      </c>
    </row>
    <row r="275" spans="1:4" x14ac:dyDescent="0.2">
      <c r="A275" s="5">
        <v>214</v>
      </c>
      <c r="B275" s="1832">
        <f>'Assets-Liab 5-6'!M18</f>
        <v>2358674</v>
      </c>
      <c r="D275" s="2" t="str">
        <f t="shared" si="3"/>
        <v>Error?</v>
      </c>
    </row>
    <row r="276" spans="1:4" x14ac:dyDescent="0.2">
      <c r="A276" s="5">
        <v>215</v>
      </c>
      <c r="B276" s="1832">
        <f>'Assets-Liab 5-6'!M19</f>
        <v>8736588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48219095</v>
      </c>
      <c r="C279" s="2" t="s">
        <v>569</v>
      </c>
      <c r="D279" s="2" t="str">
        <f t="shared" si="3"/>
        <v>Error?</v>
      </c>
    </row>
    <row r="280" spans="1:4" x14ac:dyDescent="0.2">
      <c r="A280" s="5">
        <v>219</v>
      </c>
      <c r="B280" s="1832">
        <f>'Assets-Liab 5-6'!M40</f>
        <v>48219095</v>
      </c>
      <c r="D280" s="2" t="str">
        <f t="shared" si="3"/>
        <v>Error?</v>
      </c>
    </row>
    <row r="281" spans="1:4" x14ac:dyDescent="0.2">
      <c r="A281" s="5">
        <v>220</v>
      </c>
      <c r="B281" s="1832">
        <f>'Assets-Liab 5-6'!M41</f>
        <v>48219095</v>
      </c>
      <c r="C281" s="2" t="s">
        <v>569</v>
      </c>
      <c r="D281" s="2" t="str">
        <f t="shared" si="3"/>
        <v>Error?</v>
      </c>
    </row>
    <row r="282" spans="1:4" x14ac:dyDescent="0.2">
      <c r="A282" s="5">
        <v>221</v>
      </c>
      <c r="B282" s="1832">
        <f>'Assets-Liab 5-6'!N21</f>
        <v>151219</v>
      </c>
      <c r="D282" s="2" t="str">
        <f t="shared" si="3"/>
        <v>Error?</v>
      </c>
    </row>
    <row r="283" spans="1:4" x14ac:dyDescent="0.2">
      <c r="A283" s="5">
        <v>222</v>
      </c>
      <c r="B283" s="1832">
        <f>'Assets-Liab 5-6'!N22</f>
        <v>9718781</v>
      </c>
      <c r="D283" s="2" t="str">
        <f t="shared" si="3"/>
        <v>Error?</v>
      </c>
    </row>
    <row r="284" spans="1:4" x14ac:dyDescent="0.2">
      <c r="A284" s="5">
        <v>223</v>
      </c>
      <c r="B284" s="1832">
        <f>'Assets-Liab 5-6'!N23</f>
        <v>9870000</v>
      </c>
      <c r="C284" s="2" t="s">
        <v>569</v>
      </c>
      <c r="D284" s="2" t="str">
        <f t="shared" si="3"/>
        <v>Error?</v>
      </c>
    </row>
    <row r="285" spans="1:4" x14ac:dyDescent="0.2">
      <c r="A285" s="5">
        <v>224</v>
      </c>
      <c r="B285" s="1832">
        <f>'Assets-Liab 5-6'!N36</f>
        <v>9870000</v>
      </c>
      <c r="D285" s="2" t="str">
        <f t="shared" si="3"/>
        <v>Error?</v>
      </c>
    </row>
    <row r="286" spans="1:4" x14ac:dyDescent="0.2">
      <c r="A286" s="10">
        <v>225</v>
      </c>
      <c r="B286" s="1832"/>
      <c r="D286" s="2" t="str">
        <f t="shared" si="3"/>
        <v>OK</v>
      </c>
    </row>
    <row r="287" spans="1:4" x14ac:dyDescent="0.2">
      <c r="A287" s="5">
        <v>226</v>
      </c>
      <c r="B287" s="1832">
        <f>'Assets-Liab 5-6'!N37</f>
        <v>9870000</v>
      </c>
      <c r="C287" s="2" t="s">
        <v>569</v>
      </c>
      <c r="D287" s="2" t="str">
        <f t="shared" si="3"/>
        <v>Error?</v>
      </c>
    </row>
    <row r="288" spans="1:4" x14ac:dyDescent="0.2">
      <c r="A288" s="5">
        <v>227</v>
      </c>
      <c r="B288" s="1832">
        <f>'Assets-Liab 5-6'!N41</f>
        <v>9870000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6186482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111064</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847447</v>
      </c>
      <c r="D718" s="2" t="str">
        <f t="shared" si="10"/>
        <v>Error?</v>
      </c>
    </row>
    <row r="719" spans="1:4" x14ac:dyDescent="0.2">
      <c r="A719" s="5">
        <v>658</v>
      </c>
      <c r="B719" s="1832" t="str">
        <f>'Expenditures 15-22'!C15</f>
        <v xml:space="preserve"> </v>
      </c>
      <c r="D719" s="2" t="e">
        <f t="shared" si="10"/>
        <v>#VALUE!</v>
      </c>
    </row>
    <row r="720" spans="1:4" x14ac:dyDescent="0.2">
      <c r="A720" s="5">
        <v>659</v>
      </c>
      <c r="B720" s="1832">
        <f>'Expenditures 15-22'!C33</f>
        <v>9829354</v>
      </c>
      <c r="C720" s="2" t="s">
        <v>569</v>
      </c>
      <c r="D720" s="2" t="str">
        <f t="shared" si="10"/>
        <v>Error?</v>
      </c>
    </row>
    <row r="721" spans="1:4" x14ac:dyDescent="0.2">
      <c r="A721" s="5">
        <v>660</v>
      </c>
      <c r="B721" s="1832">
        <f>'Expenditures 15-22'!C36</f>
        <v>550119</v>
      </c>
      <c r="D721" s="2" t="str">
        <f t="shared" si="10"/>
        <v>Error?</v>
      </c>
    </row>
    <row r="722" spans="1:4" x14ac:dyDescent="0.2">
      <c r="A722" s="5">
        <v>661</v>
      </c>
      <c r="B722" s="1832">
        <f>'Expenditures 15-22'!C37</f>
        <v>789175</v>
      </c>
      <c r="D722" s="2" t="str">
        <f t="shared" si="10"/>
        <v>Error?</v>
      </c>
    </row>
    <row r="723" spans="1:4" x14ac:dyDescent="0.2">
      <c r="A723" s="5">
        <v>662</v>
      </c>
      <c r="B723" s="1832">
        <f>'Expenditures 15-22'!C38</f>
        <v>101692</v>
      </c>
      <c r="D723" s="2" t="str">
        <f t="shared" si="10"/>
        <v>Error?</v>
      </c>
    </row>
    <row r="724" spans="1:4" x14ac:dyDescent="0.2">
      <c r="A724" s="5">
        <v>663</v>
      </c>
      <c r="B724" s="1832">
        <f>'Expenditures 15-22'!C39</f>
        <v>62388</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1503374</v>
      </c>
      <c r="C727" s="2" t="s">
        <v>569</v>
      </c>
      <c r="D727" s="2" t="str">
        <f t="shared" si="10"/>
        <v>Error?</v>
      </c>
    </row>
    <row r="728" spans="1:4" x14ac:dyDescent="0.2">
      <c r="A728" s="5">
        <v>667</v>
      </c>
      <c r="B728" s="1832">
        <f>'Expenditures 15-22'!C44</f>
        <v>126708</v>
      </c>
      <c r="D728" s="2" t="str">
        <f t="shared" si="10"/>
        <v>Error?</v>
      </c>
    </row>
    <row r="729" spans="1:4" x14ac:dyDescent="0.2">
      <c r="A729" s="5">
        <v>668</v>
      </c>
      <c r="B729" s="1832">
        <f>'Expenditures 15-22'!C45</f>
        <v>94196</v>
      </c>
      <c r="D729" s="2" t="str">
        <f t="shared" si="10"/>
        <v>Error?</v>
      </c>
    </row>
    <row r="730" spans="1:4" x14ac:dyDescent="0.2">
      <c r="A730" s="5">
        <v>669</v>
      </c>
      <c r="B730" s="1832">
        <f>'Expenditures 15-22'!C46</f>
        <v>216601</v>
      </c>
      <c r="D730" s="2" t="str">
        <f t="shared" si="10"/>
        <v>Error?</v>
      </c>
    </row>
    <row r="731" spans="1:4" x14ac:dyDescent="0.2">
      <c r="A731" s="5">
        <v>670</v>
      </c>
      <c r="B731" s="1832">
        <f>'Expenditures 15-22'!C47</f>
        <v>437505</v>
      </c>
      <c r="C731" s="2" t="s">
        <v>569</v>
      </c>
      <c r="D731" s="2" t="str">
        <f t="shared" si="10"/>
        <v>Error?</v>
      </c>
    </row>
    <row r="732" spans="1:4" x14ac:dyDescent="0.2">
      <c r="A732" s="5">
        <v>671</v>
      </c>
      <c r="B732" s="1832">
        <f>'Expenditures 15-22'!C49</f>
        <v>58499</v>
      </c>
      <c r="D732" s="2" t="str">
        <f t="shared" si="10"/>
        <v>Error?</v>
      </c>
    </row>
    <row r="733" spans="1:4" x14ac:dyDescent="0.2">
      <c r="A733" s="5">
        <v>672</v>
      </c>
      <c r="B733" s="1832">
        <f>'Expenditures 15-22'!C50</f>
        <v>272632</v>
      </c>
      <c r="D733" s="2" t="str">
        <f t="shared" si="10"/>
        <v>Error?</v>
      </c>
    </row>
    <row r="734" spans="1:4" x14ac:dyDescent="0.2">
      <c r="A734" s="5">
        <v>673</v>
      </c>
      <c r="B734" s="1832">
        <f>'Expenditures 15-22'!C53</f>
        <v>331131</v>
      </c>
      <c r="C734" s="2" t="s">
        <v>569</v>
      </c>
      <c r="D734" s="2" t="str">
        <f t="shared" si="10"/>
        <v>Error?</v>
      </c>
    </row>
    <row r="735" spans="1:4" x14ac:dyDescent="0.2">
      <c r="A735" s="5">
        <v>674</v>
      </c>
      <c r="B735" s="1832">
        <f>'Expenditures 15-22'!C55</f>
        <v>171901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171901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280209</v>
      </c>
      <c r="D739" s="2" t="str">
        <f t="shared" si="10"/>
        <v>Error?</v>
      </c>
    </row>
    <row r="740" spans="1:4" x14ac:dyDescent="0.2">
      <c r="A740" s="5">
        <v>679</v>
      </c>
      <c r="B740" s="1832">
        <f>'Expenditures 15-22'!C61</f>
        <v>238200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254103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772512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222277</v>
      </c>
      <c r="D751" s="2" t="str">
        <f t="shared" si="10"/>
        <v>Error?</v>
      </c>
    </row>
    <row r="752" spans="1:4" x14ac:dyDescent="0.2">
      <c r="A752" s="10">
        <v>691</v>
      </c>
      <c r="B752" s="1832"/>
      <c r="D752" s="2" t="str">
        <f t="shared" si="10"/>
        <v>OK</v>
      </c>
    </row>
    <row r="753" spans="1:4" x14ac:dyDescent="0.2">
      <c r="A753" s="5">
        <v>692</v>
      </c>
      <c r="B753" s="1832">
        <f>'Expenditures 15-22'!C72</f>
        <v>222277</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3438700</v>
      </c>
      <c r="C755" s="2" t="s">
        <v>569</v>
      </c>
      <c r="D755" s="2" t="str">
        <f t="shared" si="10"/>
        <v>Error?</v>
      </c>
    </row>
    <row r="756" spans="1:4" x14ac:dyDescent="0.2">
      <c r="A756" s="5">
        <v>695</v>
      </c>
      <c r="B756" s="1832">
        <f>'Expenditures 15-22'!C75</f>
        <v>59644</v>
      </c>
      <c r="D756" s="2" t="str">
        <f t="shared" si="10"/>
        <v>Error?</v>
      </c>
    </row>
    <row r="757" spans="1:4" x14ac:dyDescent="0.2">
      <c r="A757" s="5">
        <v>696</v>
      </c>
      <c r="B757" s="1832">
        <f>'Expenditures 15-22'!C114</f>
        <v>13327698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1100558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6552</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58346</v>
      </c>
      <c r="D776" s="2" t="str">
        <f t="shared" si="11"/>
        <v>Error?</v>
      </c>
    </row>
    <row r="777" spans="1:4" x14ac:dyDescent="0.2">
      <c r="A777" s="5">
        <v>716</v>
      </c>
      <c r="B777" s="1832" t="str">
        <f>'Expenditures 15-22'!D15</f>
        <v xml:space="preserve"> </v>
      </c>
      <c r="D777" s="2" t="e">
        <f t="shared" si="11"/>
        <v>#VALUE!</v>
      </c>
    </row>
    <row r="778" spans="1:4" x14ac:dyDescent="0.2">
      <c r="A778" s="5">
        <v>717</v>
      </c>
      <c r="B778" s="1832">
        <f>'Expenditures 15-22'!D33</f>
        <v>1740453</v>
      </c>
      <c r="C778" s="2" t="s">
        <v>569</v>
      </c>
      <c r="D778" s="2" t="str">
        <f t="shared" si="11"/>
        <v>Error?</v>
      </c>
    </row>
    <row r="779" spans="1:4" x14ac:dyDescent="0.2">
      <c r="A779" s="5">
        <v>718</v>
      </c>
      <c r="B779" s="1832">
        <f>'Expenditures 15-22'!D36</f>
        <v>207312</v>
      </c>
      <c r="D779" s="2" t="str">
        <f t="shared" si="11"/>
        <v>Error?</v>
      </c>
    </row>
    <row r="780" spans="1:4" x14ac:dyDescent="0.2">
      <c r="A780" s="5">
        <v>719</v>
      </c>
      <c r="B780" s="1832">
        <f>'Expenditures 15-22'!D37</f>
        <v>159094</v>
      </c>
      <c r="D780" s="2" t="str">
        <f t="shared" si="11"/>
        <v>Error?</v>
      </c>
    </row>
    <row r="781" spans="1:4" x14ac:dyDescent="0.2">
      <c r="A781" s="5">
        <v>720</v>
      </c>
      <c r="B781" s="1832">
        <f>'Expenditures 15-22'!D38</f>
        <v>32378</v>
      </c>
      <c r="D781" s="2" t="str">
        <f t="shared" si="11"/>
        <v>Error?</v>
      </c>
    </row>
    <row r="782" spans="1:4" x14ac:dyDescent="0.2">
      <c r="A782" s="5">
        <v>721</v>
      </c>
      <c r="B782" s="1832">
        <f>'Expenditures 15-22'!D39</f>
        <v>19855</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418639</v>
      </c>
      <c r="C785" s="2" t="s">
        <v>569</v>
      </c>
      <c r="D785" s="2" t="str">
        <f t="shared" si="11"/>
        <v>Error?</v>
      </c>
    </row>
    <row r="786" spans="1:4" x14ac:dyDescent="0.2">
      <c r="A786" s="5">
        <v>725</v>
      </c>
      <c r="B786" s="1832">
        <f>'Expenditures 15-22'!D44</f>
        <v>20090</v>
      </c>
      <c r="D786" s="2" t="str">
        <f t="shared" si="11"/>
        <v>Error?</v>
      </c>
    </row>
    <row r="787" spans="1:4" x14ac:dyDescent="0.2">
      <c r="A787" s="5">
        <v>726</v>
      </c>
      <c r="B787" s="1832">
        <f>'Expenditures 15-22'!D45</f>
        <v>11546</v>
      </c>
      <c r="D787" s="2" t="str">
        <f t="shared" si="11"/>
        <v>Error?</v>
      </c>
    </row>
    <row r="788" spans="1:4" x14ac:dyDescent="0.2">
      <c r="A788" s="5">
        <v>727</v>
      </c>
      <c r="B788" s="1832">
        <f>'Expenditures 15-22'!D46</f>
        <v>71945</v>
      </c>
      <c r="D788" s="2" t="str">
        <f t="shared" si="11"/>
        <v>Error?</v>
      </c>
    </row>
    <row r="789" spans="1:4" x14ac:dyDescent="0.2">
      <c r="A789" s="5">
        <v>728</v>
      </c>
      <c r="B789" s="1832">
        <f>'Expenditures 15-22'!D47</f>
        <v>103581</v>
      </c>
      <c r="C789" s="2" t="s">
        <v>569</v>
      </c>
      <c r="D789" s="2" t="str">
        <f t="shared" si="11"/>
        <v>Error?</v>
      </c>
    </row>
    <row r="790" spans="1:4" x14ac:dyDescent="0.2">
      <c r="A790" s="5">
        <v>729</v>
      </c>
      <c r="B790" s="1832">
        <f>'Expenditures 15-22'!D49</f>
        <v>15617</v>
      </c>
      <c r="D790" s="2" t="str">
        <f t="shared" si="11"/>
        <v>Error?</v>
      </c>
    </row>
    <row r="791" spans="1:4" x14ac:dyDescent="0.2">
      <c r="A791" s="5">
        <v>730</v>
      </c>
      <c r="B791" s="1832">
        <f>'Expenditures 15-22'!D50</f>
        <v>73428</v>
      </c>
      <c r="D791" s="2" t="str">
        <f t="shared" si="11"/>
        <v>Error?</v>
      </c>
    </row>
    <row r="792" spans="1:4" x14ac:dyDescent="0.2">
      <c r="A792" s="5">
        <v>731</v>
      </c>
      <c r="B792" s="1832">
        <f>'Expenditures 15-22'!D53</f>
        <v>89045</v>
      </c>
      <c r="C792" s="2" t="s">
        <v>569</v>
      </c>
      <c r="D792" s="2" t="str">
        <f t="shared" si="11"/>
        <v>Error?</v>
      </c>
    </row>
    <row r="793" spans="1:4" x14ac:dyDescent="0.2">
      <c r="A793" s="5">
        <v>732</v>
      </c>
      <c r="B793" s="1832">
        <f>'Expenditures 15-22'!D55</f>
        <v>54482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54482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t="e">
        <f>'Expenditures 15-22'!#REF!</f>
        <v>#REF!</v>
      </c>
      <c r="D797" s="2" t="e">
        <f t="shared" si="11"/>
        <v>#REF!</v>
      </c>
    </row>
    <row r="798" spans="1:4" x14ac:dyDescent="0.2">
      <c r="A798" s="5">
        <v>737</v>
      </c>
      <c r="B798" s="1832">
        <f>'Expenditures 15-22'!D60</f>
        <v>61684</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51391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164275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40065</v>
      </c>
      <c r="D809" s="2" t="str">
        <f t="shared" si="11"/>
        <v>Error?</v>
      </c>
    </row>
    <row r="810" spans="1:4" x14ac:dyDescent="0.2">
      <c r="A810" s="10">
        <v>749</v>
      </c>
      <c r="B810" s="1832"/>
      <c r="D810" s="2" t="str">
        <f t="shared" si="11"/>
        <v>OK</v>
      </c>
    </row>
    <row r="811" spans="1:4" x14ac:dyDescent="0.2">
      <c r="A811" s="5">
        <v>750</v>
      </c>
      <c r="B811" s="1832">
        <f>'Expenditures 15-22'!D72</f>
        <v>40065</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870087</v>
      </c>
      <c r="C813" s="2" t="s">
        <v>569</v>
      </c>
      <c r="D813" s="2" t="str">
        <f t="shared" si="11"/>
        <v>Error?</v>
      </c>
    </row>
    <row r="814" spans="1:4" x14ac:dyDescent="0.2">
      <c r="A814" s="5">
        <v>753</v>
      </c>
      <c r="B814" s="1832">
        <f>'Expenditures 15-22'!D75</f>
        <v>2574</v>
      </c>
      <c r="D814" s="2" t="str">
        <f t="shared" si="11"/>
        <v>Error?</v>
      </c>
    </row>
    <row r="815" spans="1:4" x14ac:dyDescent="0.2">
      <c r="A815" s="5">
        <v>754</v>
      </c>
      <c r="B815" s="1832">
        <f>'Expenditures 15-22'!D114</f>
        <v>2613114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139420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48</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127120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336760</v>
      </c>
      <c r="C836" s="2" t="s">
        <v>569</v>
      </c>
      <c r="D836" s="2" t="str">
        <f t="shared" si="12"/>
        <v>Error?</v>
      </c>
    </row>
    <row r="837" spans="1:4" x14ac:dyDescent="0.2">
      <c r="A837" s="5">
        <v>776</v>
      </c>
      <c r="B837" s="1832">
        <f>'Expenditures 15-22'!E36</f>
        <v>43845</v>
      </c>
      <c r="D837" s="2" t="str">
        <f t="shared" si="12"/>
        <v>Error?</v>
      </c>
    </row>
    <row r="838" spans="1:4" x14ac:dyDescent="0.2">
      <c r="A838" s="5">
        <v>777</v>
      </c>
      <c r="B838" s="1832">
        <f>'Expenditures 15-22'!E37</f>
        <v>19865</v>
      </c>
      <c r="D838" s="2" t="str">
        <f t="shared" si="12"/>
        <v>Error?</v>
      </c>
    </row>
    <row r="839" spans="1:4" x14ac:dyDescent="0.2">
      <c r="A839" s="5">
        <v>778</v>
      </c>
      <c r="B839" s="1832">
        <f>'Expenditures 15-22'!E38</f>
        <v>21660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85370</v>
      </c>
      <c r="C843" s="2" t="s">
        <v>569</v>
      </c>
      <c r="D843" s="2" t="str">
        <f t="shared" si="12"/>
        <v>Error?</v>
      </c>
    </row>
    <row r="844" spans="1:4" x14ac:dyDescent="0.2">
      <c r="A844" s="5">
        <v>783</v>
      </c>
      <c r="B844" s="1832">
        <f>'Expenditures 15-22'!E44</f>
        <v>147990</v>
      </c>
      <c r="D844" s="2" t="str">
        <f t="shared" si="12"/>
        <v>Error?</v>
      </c>
    </row>
    <row r="845" spans="1:4" x14ac:dyDescent="0.2">
      <c r="A845" s="5">
        <v>784</v>
      </c>
      <c r="B845" s="1832">
        <f>'Expenditures 15-22'!E45</f>
        <v>9018</v>
      </c>
      <c r="D845" s="2" t="str">
        <f t="shared" si="12"/>
        <v>Error?</v>
      </c>
    </row>
    <row r="846" spans="1:4" x14ac:dyDescent="0.2">
      <c r="A846" s="5">
        <v>785</v>
      </c>
      <c r="B846" s="1832">
        <f>'Expenditures 15-22'!E46</f>
        <v>5283</v>
      </c>
      <c r="D846" s="2" t="str">
        <f t="shared" si="12"/>
        <v>Error?</v>
      </c>
    </row>
    <row r="847" spans="1:4" x14ac:dyDescent="0.2">
      <c r="A847" s="5">
        <v>786</v>
      </c>
      <c r="B847" s="1832">
        <f>'Expenditures 15-22'!E47</f>
        <v>162291</v>
      </c>
      <c r="C847" s="2" t="s">
        <v>569</v>
      </c>
      <c r="D847" s="2" t="str">
        <f t="shared" si="12"/>
        <v>Error?</v>
      </c>
    </row>
    <row r="848" spans="1:4" x14ac:dyDescent="0.2">
      <c r="A848" s="5">
        <v>787</v>
      </c>
      <c r="B848" s="1832">
        <f>'Expenditures 15-22'!E49</f>
        <v>150972</v>
      </c>
      <c r="D848" s="2" t="str">
        <f t="shared" si="12"/>
        <v>Error?</v>
      </c>
    </row>
    <row r="849" spans="1:4" x14ac:dyDescent="0.2">
      <c r="A849" s="5">
        <v>788</v>
      </c>
      <c r="B849" s="1832">
        <f>'Expenditures 15-22'!E50</f>
        <v>15031</v>
      </c>
      <c r="D849" s="2" t="str">
        <f t="shared" si="12"/>
        <v>Error?</v>
      </c>
    </row>
    <row r="850" spans="1:4" x14ac:dyDescent="0.2">
      <c r="A850" s="5">
        <v>789</v>
      </c>
      <c r="B850" s="1832">
        <f>'Expenditures 15-22'!E53</f>
        <v>385284</v>
      </c>
      <c r="C850" s="2" t="s">
        <v>569</v>
      </c>
      <c r="D850" s="2" t="str">
        <f t="shared" si="12"/>
        <v>Error?</v>
      </c>
    </row>
    <row r="851" spans="1:4" x14ac:dyDescent="0.2">
      <c r="A851" s="5">
        <v>790</v>
      </c>
      <c r="B851" s="1832">
        <f>'Expenditures 15-22'!E55</f>
        <v>3197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3197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16371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4088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20459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793</v>
      </c>
      <c r="D865" s="2" t="str">
        <f t="shared" si="12"/>
        <v>Error?</v>
      </c>
    </row>
    <row r="866" spans="1:4" x14ac:dyDescent="0.2">
      <c r="A866" s="10">
        <v>805</v>
      </c>
      <c r="B866" s="1832"/>
      <c r="D866" s="2" t="str">
        <f t="shared" si="12"/>
        <v>OK</v>
      </c>
    </row>
    <row r="867" spans="1:4" x14ac:dyDescent="0.2">
      <c r="A867" s="5">
        <v>806</v>
      </c>
      <c r="B867" s="1832">
        <f>'Expenditures 15-22'!E71</f>
        <v>189714</v>
      </c>
      <c r="D867" s="2" t="str">
        <f t="shared" si="12"/>
        <v>Error?</v>
      </c>
    </row>
    <row r="868" spans="1:4" x14ac:dyDescent="0.2">
      <c r="A868" s="10">
        <v>807</v>
      </c>
      <c r="B868" s="1832"/>
      <c r="D868" s="2" t="str">
        <f t="shared" si="12"/>
        <v>OK</v>
      </c>
    </row>
    <row r="869" spans="1:4" x14ac:dyDescent="0.2">
      <c r="A869" s="5">
        <v>808</v>
      </c>
      <c r="B869" s="1832">
        <f>'Expenditures 15-22'!E72</f>
        <v>190507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847108</v>
      </c>
      <c r="C871" s="2" t="s">
        <v>569</v>
      </c>
      <c r="D871" s="2" t="str">
        <f t="shared" si="12"/>
        <v>Error?</v>
      </c>
    </row>
    <row r="872" spans="1:4" x14ac:dyDescent="0.2">
      <c r="A872" s="5">
        <v>811</v>
      </c>
      <c r="B872" s="1832">
        <f>'Expenditures 15-22'!E75</f>
        <v>15009</v>
      </c>
      <c r="D872" s="2" t="str">
        <f t="shared" si="12"/>
        <v>Error?</v>
      </c>
    </row>
    <row r="873" spans="1:4" x14ac:dyDescent="0.2">
      <c r="A873" s="5">
        <v>812</v>
      </c>
      <c r="B873" s="1832">
        <f>'Expenditures 15-22'!E114</f>
        <v>1198877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232624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473</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83950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440649</v>
      </c>
      <c r="C894" s="2" t="s">
        <v>569</v>
      </c>
      <c r="D894" s="2" t="str">
        <f t="shared" si="12"/>
        <v>Error?</v>
      </c>
    </row>
    <row r="895" spans="1:4" x14ac:dyDescent="0.2">
      <c r="A895" s="5">
        <v>834</v>
      </c>
      <c r="B895" s="1832">
        <f>'Expenditures 15-22'!F36</f>
        <v>2825</v>
      </c>
      <c r="D895" s="2" t="str">
        <f t="shared" ref="D895:D958" si="13">IF(ISBLANK(B895),"OK",IF(A895-B895=0,"OK","Error?"))</f>
        <v>Error?</v>
      </c>
    </row>
    <row r="896" spans="1:4" x14ac:dyDescent="0.2">
      <c r="A896" s="5">
        <v>835</v>
      </c>
      <c r="B896" s="1832">
        <f>'Expenditures 15-22'!F37</f>
        <v>18264</v>
      </c>
      <c r="D896" s="2" t="str">
        <f t="shared" si="13"/>
        <v>Error?</v>
      </c>
    </row>
    <row r="897" spans="1:4" x14ac:dyDescent="0.2">
      <c r="A897" s="5">
        <v>836</v>
      </c>
      <c r="B897" s="1832">
        <f>'Expenditures 15-22'!F38</f>
        <v>1755</v>
      </c>
      <c r="D897" s="2" t="str">
        <f t="shared" si="13"/>
        <v>Error?</v>
      </c>
    </row>
    <row r="898" spans="1:4" x14ac:dyDescent="0.2">
      <c r="A898" s="5">
        <v>837</v>
      </c>
      <c r="B898" s="1832">
        <f>'Expenditures 15-22'!F39</f>
        <v>1424</v>
      </c>
      <c r="D898" s="2" t="str">
        <f t="shared" si="13"/>
        <v>Error?</v>
      </c>
    </row>
    <row r="899" spans="1:4" x14ac:dyDescent="0.2">
      <c r="A899" s="5">
        <v>838</v>
      </c>
      <c r="B899" s="1832">
        <f>'Expenditures 15-22'!F40</f>
        <v>1461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25729</v>
      </c>
      <c r="C901" s="2" t="s">
        <v>569</v>
      </c>
      <c r="D901" s="2" t="str">
        <f t="shared" si="13"/>
        <v>Error?</v>
      </c>
    </row>
    <row r="902" spans="1:4" x14ac:dyDescent="0.2">
      <c r="A902" s="5">
        <v>841</v>
      </c>
      <c r="B902" s="1832">
        <f>'Expenditures 15-22'!F44</f>
        <v>8842</v>
      </c>
      <c r="D902" s="2" t="str">
        <f t="shared" si="13"/>
        <v>Error?</v>
      </c>
    </row>
    <row r="903" spans="1:4" x14ac:dyDescent="0.2">
      <c r="A903" s="5">
        <v>842</v>
      </c>
      <c r="B903" s="1832">
        <f>'Expenditures 15-22'!F45</f>
        <v>3118</v>
      </c>
      <c r="D903" s="2" t="str">
        <f t="shared" si="13"/>
        <v>Error?</v>
      </c>
    </row>
    <row r="904" spans="1:4" x14ac:dyDescent="0.2">
      <c r="A904" s="5">
        <v>843</v>
      </c>
      <c r="B904" s="1832">
        <f>'Expenditures 15-22'!F46</f>
        <v>1274</v>
      </c>
      <c r="D904" s="2" t="str">
        <f t="shared" si="13"/>
        <v>Error?</v>
      </c>
    </row>
    <row r="905" spans="1:4" x14ac:dyDescent="0.2">
      <c r="A905" s="5">
        <v>844</v>
      </c>
      <c r="B905" s="1832">
        <f>'Expenditures 15-22'!F47</f>
        <v>13234</v>
      </c>
      <c r="C905" s="2" t="s">
        <v>569</v>
      </c>
      <c r="D905" s="2" t="str">
        <f t="shared" si="13"/>
        <v>Error?</v>
      </c>
    </row>
    <row r="906" spans="1:4" x14ac:dyDescent="0.2">
      <c r="A906" s="5">
        <v>845</v>
      </c>
      <c r="B906" s="1832">
        <f>'Expenditures 15-22'!F49</f>
        <v>1721</v>
      </c>
      <c r="D906" s="2" t="str">
        <f t="shared" si="13"/>
        <v>Error?</v>
      </c>
    </row>
    <row r="907" spans="1:4" x14ac:dyDescent="0.2">
      <c r="A907" s="5">
        <v>846</v>
      </c>
      <c r="B907" s="1832">
        <f>'Expenditures 15-22'!F50</f>
        <v>6851</v>
      </c>
      <c r="D907" s="2" t="str">
        <f t="shared" si="13"/>
        <v>Error?</v>
      </c>
    </row>
    <row r="908" spans="1:4" x14ac:dyDescent="0.2">
      <c r="A908" s="5">
        <v>847</v>
      </c>
      <c r="B908" s="1832">
        <f>'Expenditures 15-22'!F53</f>
        <v>14101</v>
      </c>
      <c r="C908" s="2" t="s">
        <v>569</v>
      </c>
      <c r="D908" s="2" t="str">
        <f t="shared" si="13"/>
        <v>Error?</v>
      </c>
    </row>
    <row r="909" spans="1:4" x14ac:dyDescent="0.2">
      <c r="A909" s="5">
        <v>848</v>
      </c>
      <c r="B909" s="1832">
        <f>'Expenditures 15-22'!F55</f>
        <v>592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592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2869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214086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216955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205</v>
      </c>
      <c r="D923" s="2" t="str">
        <f t="shared" si="13"/>
        <v>Error?</v>
      </c>
    </row>
    <row r="924" spans="1:4" x14ac:dyDescent="0.2">
      <c r="A924" s="10">
        <v>863</v>
      </c>
      <c r="B924" s="1832"/>
      <c r="D924" s="2" t="str">
        <f t="shared" si="13"/>
        <v>OK</v>
      </c>
    </row>
    <row r="925" spans="1:4" x14ac:dyDescent="0.2">
      <c r="A925" s="5">
        <v>864</v>
      </c>
      <c r="B925" s="1832">
        <f>'Expenditures 15-22'!F71</f>
        <v>28541</v>
      </c>
      <c r="D925" s="2" t="str">
        <f t="shared" si="13"/>
        <v>Error?</v>
      </c>
    </row>
    <row r="926" spans="1:4" x14ac:dyDescent="0.2">
      <c r="A926" s="10">
        <v>865</v>
      </c>
      <c r="B926" s="1832"/>
      <c r="D926" s="2" t="str">
        <f t="shared" si="13"/>
        <v>OK</v>
      </c>
    </row>
    <row r="927" spans="1:4" x14ac:dyDescent="0.2">
      <c r="A927" s="5">
        <v>866</v>
      </c>
      <c r="B927" s="1832">
        <f>'Expenditures 15-22'!F72</f>
        <v>28746</v>
      </c>
      <c r="C927" s="2" t="s">
        <v>569</v>
      </c>
      <c r="D927" s="2" t="str">
        <f t="shared" si="13"/>
        <v>Error?</v>
      </c>
    </row>
    <row r="928" spans="1:4" x14ac:dyDescent="0.2">
      <c r="A928" s="5">
        <v>867</v>
      </c>
      <c r="B928" s="1832" t="str">
        <f>'Expenditures 15-22'!F73</f>
        <v xml:space="preserve"> </v>
      </c>
      <c r="D928" s="2" t="e">
        <f t="shared" si="13"/>
        <v>#VALUE!</v>
      </c>
    </row>
    <row r="929" spans="1:4" x14ac:dyDescent="0.2">
      <c r="A929" s="5">
        <v>868</v>
      </c>
      <c r="B929" s="1832">
        <f>'Expenditures 15-22'!F74</f>
        <v>299357</v>
      </c>
      <c r="C929" s="2" t="s">
        <v>569</v>
      </c>
      <c r="D929" s="2" t="str">
        <f t="shared" si="13"/>
        <v>Error?</v>
      </c>
    </row>
    <row r="930" spans="1:4" x14ac:dyDescent="0.2">
      <c r="A930" s="5">
        <v>869</v>
      </c>
      <c r="B930" s="1832">
        <f>'Expenditures 15-22'!F75</f>
        <v>13848</v>
      </c>
      <c r="D930" s="2" t="str">
        <f t="shared" si="13"/>
        <v>Error?</v>
      </c>
    </row>
    <row r="931" spans="1:4" x14ac:dyDescent="0.2">
      <c r="A931" s="5">
        <v>870</v>
      </c>
      <c r="B931" s="1832">
        <f>'Expenditures 15-22'!F114</f>
        <v>753854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4361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6116</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66929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3176</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3176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204092</v>
      </c>
      <c r="D983" s="2" t="str">
        <f t="shared" si="14"/>
        <v>Error?</v>
      </c>
    </row>
    <row r="984" spans="1:4" x14ac:dyDescent="0.2">
      <c r="A984" s="10">
        <v>923</v>
      </c>
      <c r="B984" s="1832"/>
      <c r="D984" s="2" t="str">
        <f t="shared" si="14"/>
        <v>OK</v>
      </c>
    </row>
    <row r="985" spans="1:4" x14ac:dyDescent="0.2">
      <c r="A985" s="5">
        <v>924</v>
      </c>
      <c r="B985" s="1832">
        <f>'Expenditures 15-22'!G72</f>
        <v>204092</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207268</v>
      </c>
      <c r="C987" s="2" t="s">
        <v>569</v>
      </c>
      <c r="D987" s="2" t="str">
        <f t="shared" si="14"/>
        <v>Error?</v>
      </c>
    </row>
    <row r="988" spans="1:4" x14ac:dyDescent="0.2">
      <c r="A988" s="5">
        <v>927</v>
      </c>
      <c r="B988" s="1832">
        <f>'Expenditures 15-22'!G75</f>
        <v>7006</v>
      </c>
      <c r="D988" s="2" t="str">
        <f t="shared" si="14"/>
        <v>Error?</v>
      </c>
    </row>
    <row r="989" spans="1:4" x14ac:dyDescent="0.2">
      <c r="A989" s="5">
        <v>928</v>
      </c>
      <c r="B989" s="1832">
        <f>'Expenditures 15-22'!G114</f>
        <v>281203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57865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47711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788614</v>
      </c>
      <c r="C1010" s="2" t="s">
        <v>569</v>
      </c>
      <c r="D1010" s="2" t="str">
        <f t="shared" si="14"/>
        <v>Error?</v>
      </c>
    </row>
    <row r="1011" spans="1:4" x14ac:dyDescent="0.2">
      <c r="A1011" s="5">
        <v>950</v>
      </c>
      <c r="B1011" s="1832">
        <f>'Expenditures 15-22'!H36</f>
        <v>78</v>
      </c>
      <c r="D1011" s="2" t="str">
        <f t="shared" si="14"/>
        <v>Error?</v>
      </c>
    </row>
    <row r="1012" spans="1:4" x14ac:dyDescent="0.2">
      <c r="A1012" s="5">
        <v>951</v>
      </c>
      <c r="B1012" s="1832">
        <f>'Expenditures 15-22'!H37</f>
        <v>712</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790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1466</v>
      </c>
      <c r="D1019" s="2" t="str">
        <f t="shared" si="14"/>
        <v>Error?</v>
      </c>
    </row>
    <row r="1020" spans="1:4" x14ac:dyDescent="0.2">
      <c r="A1020" s="5">
        <v>959</v>
      </c>
      <c r="B1020" s="1832">
        <f>'Expenditures 15-22'!H46</f>
        <v>639</v>
      </c>
      <c r="D1020" s="2" t="str">
        <f t="shared" si="14"/>
        <v>Error?</v>
      </c>
    </row>
    <row r="1021" spans="1:4" x14ac:dyDescent="0.2">
      <c r="A1021" s="5">
        <v>960</v>
      </c>
      <c r="B1021" s="1832">
        <f>'Expenditures 15-22'!H47</f>
        <v>2105</v>
      </c>
      <c r="C1021" s="2" t="s">
        <v>569</v>
      </c>
      <c r="D1021" s="2" t="str">
        <f t="shared" si="14"/>
        <v>Error?</v>
      </c>
    </row>
    <row r="1022" spans="1:4" x14ac:dyDescent="0.2">
      <c r="A1022" s="5">
        <v>961</v>
      </c>
      <c r="B1022" s="1832">
        <f>'Expenditures 15-22'!H49</f>
        <v>28490</v>
      </c>
      <c r="D1022" s="2" t="str">
        <f t="shared" si="14"/>
        <v>Error?</v>
      </c>
    </row>
    <row r="1023" spans="1:4" x14ac:dyDescent="0.2">
      <c r="A1023" s="5">
        <v>962</v>
      </c>
      <c r="B1023" s="1832">
        <f>'Expenditures 15-22'!H50</f>
        <v>5956</v>
      </c>
      <c r="D1023" s="2" t="str">
        <f t="shared" ref="D1023:D1086" si="15">IF(ISBLANK(B1023),"OK",IF(A1023-B1023=0,"OK","Error?"))</f>
        <v>Error?</v>
      </c>
    </row>
    <row r="1024" spans="1:4" x14ac:dyDescent="0.2">
      <c r="A1024" s="5">
        <v>963</v>
      </c>
      <c r="B1024" s="1832">
        <f>'Expenditures 15-22'!H53</f>
        <v>34446</v>
      </c>
      <c r="C1024" s="2" t="s">
        <v>569</v>
      </c>
      <c r="D1024" s="2" t="str">
        <f t="shared" si="15"/>
        <v>Error?</v>
      </c>
    </row>
    <row r="1025" spans="1:4" x14ac:dyDescent="0.2">
      <c r="A1025" s="5">
        <v>964</v>
      </c>
      <c r="B1025" s="1832">
        <f>'Expenditures 15-22'!H55</f>
        <v>13447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13447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728</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117</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845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340</v>
      </c>
      <c r="D1041" s="2" t="str">
        <f t="shared" si="15"/>
        <v>Error?</v>
      </c>
    </row>
    <row r="1042" spans="1:5" x14ac:dyDescent="0.2">
      <c r="A1042" s="10">
        <v>981</v>
      </c>
      <c r="B1042" s="1832"/>
      <c r="D1042" s="2" t="str">
        <f t="shared" si="15"/>
        <v>OK</v>
      </c>
    </row>
    <row r="1043" spans="1:5" x14ac:dyDescent="0.2">
      <c r="A1043" s="5">
        <v>982</v>
      </c>
      <c r="B1043" s="1832">
        <f>'Expenditures 15-22'!H72</f>
        <v>340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51973</v>
      </c>
      <c r="C1045" s="2" t="s">
        <v>569</v>
      </c>
      <c r="D1045" s="2" t="str">
        <f t="shared" si="15"/>
        <v>Error?</v>
      </c>
    </row>
    <row r="1046" spans="1:5" x14ac:dyDescent="0.2">
      <c r="A1046" s="5">
        <v>985</v>
      </c>
      <c r="B1046" s="1832">
        <f>'Expenditures 15-22'!H75</f>
        <v>45910</v>
      </c>
      <c r="D1046" s="2" t="str">
        <f t="shared" si="15"/>
        <v>Error?</v>
      </c>
    </row>
    <row r="1047" spans="1:5" x14ac:dyDescent="0.2">
      <c r="A1047" s="5">
        <v>986</v>
      </c>
      <c r="B1047" s="1832">
        <f>'Expenditures 15-22'!H102</f>
        <v>407325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1293822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7721310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118137</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1170690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13202759</v>
      </c>
      <c r="C1108" s="2" t="s">
        <v>569</v>
      </c>
      <c r="D1108" s="2" t="str">
        <f t="shared" si="16"/>
        <v>Error?</v>
      </c>
    </row>
    <row r="1109" spans="1:4" x14ac:dyDescent="0.2">
      <c r="A1109" s="5">
        <v>1048</v>
      </c>
      <c r="B1109" s="1832">
        <f>'Expenditures 15-22'!K36</f>
        <v>804179</v>
      </c>
      <c r="C1109" s="2" t="s">
        <v>569</v>
      </c>
      <c r="D1109" s="2" t="str">
        <f t="shared" si="16"/>
        <v>Error?</v>
      </c>
    </row>
    <row r="1110" spans="1:4" x14ac:dyDescent="0.2">
      <c r="A1110" s="5">
        <v>1049</v>
      </c>
      <c r="B1110" s="1832">
        <f>'Expenditures 15-22'!K37</f>
        <v>987110</v>
      </c>
      <c r="C1110" s="2" t="s">
        <v>569</v>
      </c>
      <c r="D1110" s="2" t="str">
        <f t="shared" si="16"/>
        <v>Error?</v>
      </c>
    </row>
    <row r="1111" spans="1:4" x14ac:dyDescent="0.2">
      <c r="A1111" s="5">
        <v>1050</v>
      </c>
      <c r="B1111" s="1832">
        <f>'Expenditures 15-22'!K38</f>
        <v>157485</v>
      </c>
      <c r="C1111" s="2" t="s">
        <v>569</v>
      </c>
      <c r="D1111" s="2" t="str">
        <f t="shared" si="16"/>
        <v>Error?</v>
      </c>
    </row>
    <row r="1112" spans="1:4" x14ac:dyDescent="0.2">
      <c r="A1112" s="5">
        <v>1051</v>
      </c>
      <c r="B1112" s="1832">
        <f>'Expenditures 15-22'!K39</f>
        <v>83667</v>
      </c>
      <c r="C1112" s="2" t="s">
        <v>569</v>
      </c>
      <c r="D1112" s="2" t="str">
        <f t="shared" si="16"/>
        <v>Error?</v>
      </c>
    </row>
    <row r="1113" spans="1:4" x14ac:dyDescent="0.2">
      <c r="A1113" s="5">
        <v>1052</v>
      </c>
      <c r="B1113" s="1832">
        <f>'Expenditures 15-22'!K40</f>
        <v>1836</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2034277</v>
      </c>
      <c r="C1115" s="2" t="s">
        <v>569</v>
      </c>
      <c r="D1115" s="2" t="str">
        <f t="shared" si="16"/>
        <v>Error?</v>
      </c>
    </row>
    <row r="1116" spans="1:4" x14ac:dyDescent="0.2">
      <c r="A1116" s="5">
        <v>1055</v>
      </c>
      <c r="B1116" s="1832">
        <f>'Expenditures 15-22'!K44</f>
        <v>303630</v>
      </c>
      <c r="C1116" s="2" t="s">
        <v>569</v>
      </c>
      <c r="D1116" s="2" t="str">
        <f t="shared" si="16"/>
        <v>Error?</v>
      </c>
    </row>
    <row r="1117" spans="1:4" x14ac:dyDescent="0.2">
      <c r="A1117" s="5">
        <v>1056</v>
      </c>
      <c r="B1117" s="1832">
        <f>'Expenditures 15-22'!K45</f>
        <v>119816</v>
      </c>
      <c r="C1117" s="2" t="s">
        <v>569</v>
      </c>
      <c r="D1117" s="2" t="str">
        <f t="shared" si="16"/>
        <v>Error?</v>
      </c>
    </row>
    <row r="1118" spans="1:4" x14ac:dyDescent="0.2">
      <c r="A1118" s="5">
        <v>1057</v>
      </c>
      <c r="B1118" s="1832">
        <f>'Expenditures 15-22'!K46</f>
        <v>296208</v>
      </c>
      <c r="C1118" s="2" t="s">
        <v>569</v>
      </c>
      <c r="D1118" s="2" t="str">
        <f t="shared" si="16"/>
        <v>Error?</v>
      </c>
    </row>
    <row r="1119" spans="1:4" x14ac:dyDescent="0.2">
      <c r="A1119" s="5">
        <v>1058</v>
      </c>
      <c r="B1119" s="1832">
        <f>'Expenditures 15-22'!K47</f>
        <v>719654</v>
      </c>
      <c r="C1119" s="2" t="s">
        <v>569</v>
      </c>
      <c r="D1119" s="2" t="str">
        <f t="shared" si="16"/>
        <v>Error?</v>
      </c>
    </row>
    <row r="1120" spans="1:4" x14ac:dyDescent="0.2">
      <c r="A1120" s="5">
        <v>1059</v>
      </c>
      <c r="B1120" s="1832">
        <f>'Expenditures 15-22'!K49</f>
        <v>255299</v>
      </c>
      <c r="C1120" s="2" t="s">
        <v>569</v>
      </c>
      <c r="D1120" s="2" t="str">
        <f t="shared" si="16"/>
        <v>Error?</v>
      </c>
    </row>
    <row r="1121" spans="1:4" x14ac:dyDescent="0.2">
      <c r="A1121" s="5">
        <v>1060</v>
      </c>
      <c r="B1121" s="1832">
        <f>'Expenditures 15-22'!K50</f>
        <v>373951</v>
      </c>
      <c r="C1121" s="2" t="s">
        <v>569</v>
      </c>
      <c r="D1121" s="2" t="str">
        <f t="shared" si="16"/>
        <v>Error?</v>
      </c>
    </row>
    <row r="1122" spans="1:4" x14ac:dyDescent="0.2">
      <c r="A1122" s="5">
        <v>1061</v>
      </c>
      <c r="B1122" s="1832">
        <f>'Expenditures 15-22'!K53</f>
        <v>855774</v>
      </c>
      <c r="C1122" s="2" t="s">
        <v>569</v>
      </c>
      <c r="D1122" s="2" t="str">
        <f t="shared" si="16"/>
        <v>Error?</v>
      </c>
    </row>
    <row r="1123" spans="1:4" x14ac:dyDescent="0.2">
      <c r="A1123" s="5">
        <v>1062</v>
      </c>
      <c r="B1123" s="1832">
        <f>'Expenditures 15-22'!K55</f>
        <v>243619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243619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365037</v>
      </c>
      <c r="C1127" s="2" t="s">
        <v>569</v>
      </c>
      <c r="D1127" s="2" t="str">
        <f t="shared" si="16"/>
        <v>Error?</v>
      </c>
    </row>
    <row r="1128" spans="1:4" x14ac:dyDescent="0.2">
      <c r="A1128" s="5">
        <v>1067</v>
      </c>
      <c r="B1128" s="1832">
        <f>'Expenditures 15-22'!K61</f>
        <v>289400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523785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1178222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998</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685029</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686027</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5717573</v>
      </c>
      <c r="C1143" s="2" t="s">
        <v>569</v>
      </c>
      <c r="D1143" s="2" t="str">
        <f t="shared" si="16"/>
        <v>Error?</v>
      </c>
    </row>
    <row r="1144" spans="1:4" x14ac:dyDescent="0.2">
      <c r="A1144" s="5">
        <v>1083</v>
      </c>
      <c r="B1144" s="1832">
        <f>'Expenditures 15-22'!K75</f>
        <v>143991</v>
      </c>
      <c r="C1144" s="2" t="s">
        <v>569</v>
      </c>
      <c r="D1144" s="2" t="str">
        <f t="shared" si="16"/>
        <v>Error?</v>
      </c>
    </row>
    <row r="1145" spans="1:4" x14ac:dyDescent="0.2">
      <c r="A1145" s="5">
        <v>1084</v>
      </c>
      <c r="B1145" s="1832">
        <f>'Expenditures 15-22'!K102</f>
        <v>407325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19471648</v>
      </c>
      <c r="C1152" s="2" t="s">
        <v>569</v>
      </c>
      <c r="D1152" s="2" t="str">
        <f t="shared" si="17"/>
        <v>Error?</v>
      </c>
    </row>
    <row r="1153" spans="1:4" x14ac:dyDescent="0.2">
      <c r="A1153" s="5">
        <v>1092</v>
      </c>
      <c r="B1153" s="1832">
        <f>'Expenditures 15-22'!K115</f>
        <v>873772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554036</v>
      </c>
      <c r="D1221" s="2" t="str">
        <f t="shared" si="18"/>
        <v>Error?</v>
      </c>
    </row>
    <row r="1222" spans="1:4" x14ac:dyDescent="0.2">
      <c r="A1222" s="10">
        <v>1161</v>
      </c>
      <c r="B1222" s="1832"/>
      <c r="D1222" s="2" t="str">
        <f t="shared" si="18"/>
        <v>OK</v>
      </c>
    </row>
    <row r="1223" spans="1:4" x14ac:dyDescent="0.2">
      <c r="A1223" s="5">
        <v>1162</v>
      </c>
      <c r="B1223" s="1832">
        <f>'Expenditures 15-22'!C127</f>
        <v>554036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554036</v>
      </c>
      <c r="C1225" s="2" t="s">
        <v>569</v>
      </c>
      <c r="D1225" s="2" t="str">
        <f t="shared" si="18"/>
        <v>Error?</v>
      </c>
    </row>
    <row r="1226" spans="1:4" x14ac:dyDescent="0.2">
      <c r="A1226" s="5">
        <v>1165</v>
      </c>
      <c r="B1226" s="1832">
        <f>'Expenditures 15-22'!C151</f>
        <v>555092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126273</v>
      </c>
      <c r="D1229" s="2" t="str">
        <f t="shared" si="18"/>
        <v>Error?</v>
      </c>
    </row>
    <row r="1230" spans="1:4" x14ac:dyDescent="0.2">
      <c r="A1230" s="10">
        <v>1169</v>
      </c>
      <c r="B1230" s="1832"/>
      <c r="D1230" s="2" t="str">
        <f t="shared" si="18"/>
        <v>OK</v>
      </c>
    </row>
    <row r="1231" spans="1:4" x14ac:dyDescent="0.2">
      <c r="A1231" s="5">
        <v>1170</v>
      </c>
      <c r="B1231" s="1832">
        <f>'Expenditures 15-22'!D127</f>
        <v>126273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126273</v>
      </c>
      <c r="C1233" s="2" t="s">
        <v>569</v>
      </c>
      <c r="D1233" s="2" t="str">
        <f t="shared" si="18"/>
        <v>Error?</v>
      </c>
    </row>
    <row r="1234" spans="1:4" x14ac:dyDescent="0.2">
      <c r="A1234" s="5">
        <v>1173</v>
      </c>
      <c r="B1234" s="1832">
        <f>'Expenditures 15-22'!D151</f>
        <v>126273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49210</v>
      </c>
      <c r="D1236" s="2" t="str">
        <f t="shared" si="18"/>
        <v>Error?</v>
      </c>
    </row>
    <row r="1237" spans="1:4" x14ac:dyDescent="0.2">
      <c r="A1237" s="5">
        <v>1176</v>
      </c>
      <c r="B1237" s="1832">
        <f>'Expenditures 15-22'!E124</f>
        <v>514142</v>
      </c>
      <c r="D1237" s="2" t="str">
        <f t="shared" si="18"/>
        <v>Error?</v>
      </c>
    </row>
    <row r="1238" spans="1:4" x14ac:dyDescent="0.2">
      <c r="A1238" s="10">
        <v>1177</v>
      </c>
      <c r="B1238" s="1832"/>
      <c r="D1238" s="2" t="str">
        <f t="shared" si="18"/>
        <v>OK</v>
      </c>
    </row>
    <row r="1239" spans="1:4" x14ac:dyDescent="0.2">
      <c r="A1239" s="5">
        <v>1178</v>
      </c>
      <c r="B1239" s="1832">
        <f>'Expenditures 15-22'!E127</f>
        <v>563352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563352</v>
      </c>
      <c r="C1241" s="2" t="s">
        <v>569</v>
      </c>
      <c r="D1241" s="2" t="str">
        <f t="shared" si="18"/>
        <v>Error?</v>
      </c>
    </row>
    <row r="1242" spans="1:4" x14ac:dyDescent="0.2">
      <c r="A1242" s="5">
        <v>1181</v>
      </c>
      <c r="B1242" s="1832">
        <f>'Expenditures 15-22'!E151</f>
        <v>563352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514157</v>
      </c>
      <c r="D1245" s="2" t="str">
        <f t="shared" si="18"/>
        <v>Error?</v>
      </c>
    </row>
    <row r="1246" spans="1:4" x14ac:dyDescent="0.2">
      <c r="A1246" s="10">
        <v>1185</v>
      </c>
      <c r="B1246" s="1832"/>
      <c r="D1246" s="2" t="str">
        <f t="shared" si="18"/>
        <v>OK</v>
      </c>
    </row>
    <row r="1247" spans="1:4" x14ac:dyDescent="0.2">
      <c r="A1247" s="5">
        <v>1186</v>
      </c>
      <c r="B1247" s="1832">
        <f>'Expenditures 15-22'!F127</f>
        <v>514157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514157</v>
      </c>
      <c r="C1249" s="2" t="s">
        <v>569</v>
      </c>
      <c r="D1249" s="2" t="str">
        <f t="shared" si="18"/>
        <v>Error?</v>
      </c>
    </row>
    <row r="1250" spans="1:4" x14ac:dyDescent="0.2">
      <c r="A1250" s="5">
        <v>1189</v>
      </c>
      <c r="B1250" s="1832">
        <f>'Expenditures 15-22'!F151</f>
        <v>514157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1359642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1359642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1359642</v>
      </c>
      <c r="C1258" s="2" t="s">
        <v>569</v>
      </c>
      <c r="D1258" s="2" t="str">
        <f t="shared" si="18"/>
        <v>Error?</v>
      </c>
    </row>
    <row r="1259" spans="1:4" x14ac:dyDescent="0.2">
      <c r="A1259" s="5">
        <v>1198</v>
      </c>
      <c r="B1259" s="1832">
        <f>'Expenditures 15-22'!G151</f>
        <v>1359642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1410</v>
      </c>
      <c r="D1262" s="2" t="str">
        <f t="shared" si="18"/>
        <v>Error?</v>
      </c>
    </row>
    <row r="1263" spans="1:4" x14ac:dyDescent="0.2">
      <c r="A1263" s="10">
        <v>1202</v>
      </c>
      <c r="B1263" s="1832"/>
      <c r="D1263" s="2" t="str">
        <f t="shared" si="18"/>
        <v>OK</v>
      </c>
    </row>
    <row r="1264" spans="1:4" x14ac:dyDescent="0.2">
      <c r="A1264" s="5">
        <v>1203</v>
      </c>
      <c r="B1264" s="1832">
        <f>'Expenditures 15-22'!H127</f>
        <v>1410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1410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1410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49210</v>
      </c>
      <c r="C1275" s="2" t="s">
        <v>569</v>
      </c>
      <c r="D1275" s="2" t="str">
        <f t="shared" si="18"/>
        <v>Error?</v>
      </c>
    </row>
    <row r="1276" spans="1:4" x14ac:dyDescent="0.2">
      <c r="A1276" s="5">
        <v>1215</v>
      </c>
      <c r="B1276" s="1832">
        <f>'Expenditures 15-22'!K124</f>
        <v>3069660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3118870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3118870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3119926</v>
      </c>
      <c r="C1288" s="2" t="s">
        <v>569</v>
      </c>
      <c r="D1288" s="2" t="str">
        <f t="shared" si="19"/>
        <v>Error?</v>
      </c>
    </row>
    <row r="1289" spans="1:4" x14ac:dyDescent="0.2">
      <c r="A1289" s="5">
        <v>1228</v>
      </c>
      <c r="B1289" s="1832">
        <f>'Expenditures 15-22'!K152</f>
        <v>107458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470976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775000</v>
      </c>
      <c r="D1315" s="2" t="str">
        <f t="shared" si="19"/>
        <v>Error?</v>
      </c>
    </row>
    <row r="1316" spans="1:4" x14ac:dyDescent="0.2">
      <c r="A1316" s="5">
        <v>1255</v>
      </c>
      <c r="B1316" s="1832">
        <f>'Expenditures 15-22'!H171</f>
        <v>3511</v>
      </c>
      <c r="D1316" s="2" t="str">
        <f t="shared" si="19"/>
        <v>Error?</v>
      </c>
    </row>
    <row r="1317" spans="1:4" x14ac:dyDescent="0.2">
      <c r="A1317" s="5">
        <v>1256</v>
      </c>
      <c r="B1317" s="1832">
        <f>'Expenditures 15-22'!H172</f>
        <v>1249487</v>
      </c>
      <c r="C1317" s="2" t="s">
        <v>569</v>
      </c>
      <c r="D1317" s="2" t="str">
        <f t="shared" si="19"/>
        <v>Error?</v>
      </c>
    </row>
    <row r="1318" spans="1:4" x14ac:dyDescent="0.2">
      <c r="A1318" s="5">
        <v>1257</v>
      </c>
      <c r="B1318" s="1832">
        <f>'Expenditures 15-22'!H174</f>
        <v>1249487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470976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775000</v>
      </c>
      <c r="C1329" s="2" t="s">
        <v>569</v>
      </c>
      <c r="D1329" s="2" t="str">
        <f t="shared" si="19"/>
        <v>Error?</v>
      </c>
    </row>
    <row r="1330" spans="1:4" x14ac:dyDescent="0.2">
      <c r="A1330" s="5">
        <v>1269</v>
      </c>
      <c r="B1330" s="1832">
        <f>'Expenditures 15-22'!K171</f>
        <v>3511</v>
      </c>
      <c r="C1330" s="2" t="s">
        <v>569</v>
      </c>
      <c r="D1330" s="2" t="str">
        <f t="shared" si="19"/>
        <v>Error?</v>
      </c>
    </row>
    <row r="1331" spans="1:4" x14ac:dyDescent="0.2">
      <c r="A1331" s="5">
        <v>1270</v>
      </c>
      <c r="B1331" s="1832">
        <f>'Expenditures 15-22'!K172</f>
        <v>1249487</v>
      </c>
      <c r="C1331" s="2" t="s">
        <v>569</v>
      </c>
      <c r="D1331" s="2" t="str">
        <f t="shared" si="19"/>
        <v>Error?</v>
      </c>
    </row>
    <row r="1332" spans="1:4" x14ac:dyDescent="0.2">
      <c r="A1332" s="5">
        <v>1271</v>
      </c>
      <c r="B1332" s="1832">
        <f>'Expenditures 15-22'!K174</f>
        <v>1249487</v>
      </c>
      <c r="C1332" s="2" t="s">
        <v>569</v>
      </c>
      <c r="D1332" s="2" t="str">
        <f t="shared" si="19"/>
        <v>Error?</v>
      </c>
    </row>
    <row r="1333" spans="1:4" x14ac:dyDescent="0.2">
      <c r="A1333" s="5">
        <v>1272</v>
      </c>
      <c r="B1333" s="1832">
        <f>'Expenditures 15-22'!K175</f>
        <v>36094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678535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678535</v>
      </c>
      <c r="C1339" s="2" t="s">
        <v>569</v>
      </c>
      <c r="D1339" s="2" t="str">
        <f t="shared" si="19"/>
        <v>Error?</v>
      </c>
    </row>
    <row r="1340" spans="1:4" x14ac:dyDescent="0.2">
      <c r="A1340" s="5">
        <v>1279</v>
      </c>
      <c r="B1340" s="1832">
        <f>'Expenditures 15-22'!C210</f>
        <v>678535</v>
      </c>
      <c r="C1340" s="2" t="s">
        <v>569</v>
      </c>
      <c r="D1340" s="2" t="str">
        <f t="shared" si="19"/>
        <v>Error?</v>
      </c>
    </row>
    <row r="1341" spans="1:4" x14ac:dyDescent="0.2">
      <c r="A1341" s="5">
        <v>1280</v>
      </c>
      <c r="B1341" s="1832">
        <f>'Expenditures 15-22'!D182</f>
        <v>209739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209739</v>
      </c>
      <c r="C1345" s="2" t="s">
        <v>569</v>
      </c>
      <c r="D1345" s="2" t="str">
        <f t="shared" si="20"/>
        <v>Error?</v>
      </c>
    </row>
    <row r="1346" spans="1:4" x14ac:dyDescent="0.2">
      <c r="A1346" s="5">
        <v>1285</v>
      </c>
      <c r="B1346" s="1832">
        <f>'Expenditures 15-22'!D210</f>
        <v>209739</v>
      </c>
      <c r="C1346" s="2" t="s">
        <v>569</v>
      </c>
      <c r="D1346" s="2" t="str">
        <f t="shared" si="20"/>
        <v>Error?</v>
      </c>
    </row>
    <row r="1347" spans="1:4" x14ac:dyDescent="0.2">
      <c r="A1347" s="5">
        <v>1286</v>
      </c>
      <c r="B1347" s="1832">
        <f>'Expenditures 15-22'!E182</f>
        <v>435339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435339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435339</v>
      </c>
      <c r="C1353" s="2" t="s">
        <v>569</v>
      </c>
      <c r="D1353" s="2" t="str">
        <f t="shared" si="20"/>
        <v>Error?</v>
      </c>
    </row>
    <row r="1354" spans="1:4" x14ac:dyDescent="0.2">
      <c r="A1354" s="5">
        <v>1293</v>
      </c>
      <c r="B1354" s="1832">
        <f>'Expenditures 15-22'!F182</f>
        <v>97441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97441</v>
      </c>
      <c r="C1358" s="2" t="s">
        <v>569</v>
      </c>
      <c r="D1358" s="2" t="str">
        <f t="shared" si="20"/>
        <v>Error?</v>
      </c>
    </row>
    <row r="1359" spans="1:4" x14ac:dyDescent="0.2">
      <c r="A1359" s="5">
        <v>1298</v>
      </c>
      <c r="B1359" s="1832">
        <f>'Expenditures 15-22'!F210</f>
        <v>97441</v>
      </c>
      <c r="C1359" s="2" t="s">
        <v>569</v>
      </c>
      <c r="D1359" s="2" t="str">
        <f t="shared" si="20"/>
        <v>Error?</v>
      </c>
    </row>
    <row r="1360" spans="1:4" x14ac:dyDescent="0.2">
      <c r="A1360" s="5">
        <v>1299</v>
      </c>
      <c r="B1360" s="1832">
        <f>'Expenditures 15-22'!G182</f>
        <v>27620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27620</v>
      </c>
      <c r="C1364" s="2" t="s">
        <v>569</v>
      </c>
      <c r="D1364" s="2" t="str">
        <f t="shared" si="20"/>
        <v>Error?</v>
      </c>
    </row>
    <row r="1365" spans="1:4" x14ac:dyDescent="0.2">
      <c r="A1365" s="5">
        <v>1304</v>
      </c>
      <c r="B1365" s="1832">
        <f>'Expenditures 15-22'!G210</f>
        <v>27620</v>
      </c>
      <c r="C1365" s="2" t="s">
        <v>569</v>
      </c>
      <c r="D1365" s="2" t="str">
        <f t="shared" si="20"/>
        <v>Error?</v>
      </c>
    </row>
    <row r="1366" spans="1:4" x14ac:dyDescent="0.2">
      <c r="A1366" s="5">
        <v>1305</v>
      </c>
      <c r="B1366" s="1832">
        <f>'Expenditures 15-22'!H182</f>
        <v>3883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3883</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3883</v>
      </c>
      <c r="C1376" s="2" t="s">
        <v>569</v>
      </c>
      <c r="D1376" s="2" t="str">
        <f t="shared" si="20"/>
        <v>Error?</v>
      </c>
    </row>
    <row r="1377" spans="1:4" x14ac:dyDescent="0.2">
      <c r="A1377" s="5">
        <v>1316</v>
      </c>
      <c r="B1377" s="1832">
        <f>'Expenditures 15-22'!K182</f>
        <v>1452557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1452557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1452557</v>
      </c>
      <c r="C1388" s="2" t="s">
        <v>569</v>
      </c>
      <c r="D1388" s="2" t="str">
        <f t="shared" si="20"/>
        <v>Error?</v>
      </c>
    </row>
    <row r="1389" spans="1:4" x14ac:dyDescent="0.2">
      <c r="A1389" s="5">
        <v>1328</v>
      </c>
      <c r="B1389" s="1832">
        <f>'Expenditures 15-22'!K211</f>
        <v>241352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1131</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8346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54433</v>
      </c>
      <c r="C1410" s="2" t="s">
        <v>569</v>
      </c>
      <c r="D1410" s="2" t="str">
        <f t="shared" si="21"/>
        <v>Error?</v>
      </c>
    </row>
    <row r="1411" spans="1:4" x14ac:dyDescent="0.2">
      <c r="A1411" s="5">
        <v>1350</v>
      </c>
      <c r="B1411" s="1832">
        <f>'Expenditures 15-22'!D232</f>
        <v>7728</v>
      </c>
      <c r="D1411" s="2" t="str">
        <f t="shared" si="21"/>
        <v>Error?</v>
      </c>
    </row>
    <row r="1412" spans="1:4" x14ac:dyDescent="0.2">
      <c r="A1412" s="5">
        <v>1351</v>
      </c>
      <c r="B1412" s="1832">
        <f>'Expenditures 15-22'!D233</f>
        <v>12749</v>
      </c>
      <c r="D1412" s="2" t="str">
        <f t="shared" si="21"/>
        <v>Error?</v>
      </c>
    </row>
    <row r="1413" spans="1:4" x14ac:dyDescent="0.2">
      <c r="A1413" s="5">
        <v>1352</v>
      </c>
      <c r="B1413" s="1832">
        <f>'Expenditures 15-22'!D234</f>
        <v>10939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31416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3090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3090</v>
      </c>
      <c r="C1421" s="2" t="s">
        <v>569</v>
      </c>
      <c r="D1421" s="2" t="str">
        <f t="shared" si="21"/>
        <v>Error?</v>
      </c>
    </row>
    <row r="1422" spans="1:4" x14ac:dyDescent="0.2">
      <c r="A1422" s="5">
        <v>1361</v>
      </c>
      <c r="B1422" s="1832">
        <f>'Expenditures 15-22'!D245</f>
        <v>6437</v>
      </c>
      <c r="D1422" s="2" t="str">
        <f t="shared" si="21"/>
        <v>Error?</v>
      </c>
    </row>
    <row r="1423" spans="1:4" x14ac:dyDescent="0.2">
      <c r="A1423" s="5">
        <v>1362</v>
      </c>
      <c r="B1423" s="1832">
        <f>'Expenditures 15-22'!D246</f>
        <v>5555</v>
      </c>
      <c r="D1423" s="2" t="str">
        <f t="shared" si="21"/>
        <v>Error?</v>
      </c>
    </row>
    <row r="1424" spans="1:4" x14ac:dyDescent="0.2">
      <c r="A1424" s="5">
        <v>1363</v>
      </c>
      <c r="B1424" s="1832">
        <f>'Expenditures 15-22'!D257</f>
        <v>11992</v>
      </c>
      <c r="C1424" s="2" t="s">
        <v>569</v>
      </c>
      <c r="D1424" s="2" t="str">
        <f t="shared" si="21"/>
        <v>Error?</v>
      </c>
    </row>
    <row r="1425" spans="1:4" x14ac:dyDescent="0.2">
      <c r="A1425" s="5">
        <v>1364</v>
      </c>
      <c r="B1425" s="1832">
        <f>'Expenditures 15-22'!D259</f>
        <v>3799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3799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16904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84882</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27402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129188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24156</v>
      </c>
      <c r="D1442" s="2" t="str">
        <f t="shared" si="21"/>
        <v>Error?</v>
      </c>
    </row>
    <row r="1443" spans="1:4" x14ac:dyDescent="0.2">
      <c r="A1443" s="10">
        <v>1382</v>
      </c>
      <c r="B1443" s="1832"/>
      <c r="D1443" s="2" t="str">
        <f t="shared" si="21"/>
        <v>OK</v>
      </c>
    </row>
    <row r="1444" spans="1:4" x14ac:dyDescent="0.2">
      <c r="A1444" s="5">
        <v>1383</v>
      </c>
      <c r="B1444" s="1832">
        <f>'Expenditures 15-22'!D277</f>
        <v>24156</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203641</v>
      </c>
      <c r="C1446" s="2" t="s">
        <v>569</v>
      </c>
      <c r="D1446" s="2" t="str">
        <f t="shared" si="21"/>
        <v>Error?</v>
      </c>
    </row>
    <row r="1447" spans="1:4" x14ac:dyDescent="0.2">
      <c r="A1447" s="5">
        <v>1386</v>
      </c>
      <c r="B1447" s="1832">
        <f>'Expenditures 15-22'!D280</f>
        <v>253</v>
      </c>
      <c r="D1447" s="2" t="str">
        <f t="shared" si="21"/>
        <v>Error?</v>
      </c>
    </row>
    <row r="1448" spans="1:4" x14ac:dyDescent="0.2">
      <c r="A1448" s="5">
        <v>1387</v>
      </c>
      <c r="B1448" s="1832">
        <f>'Expenditures 15-22'!D295</f>
        <v>258327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1131</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8346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54433</v>
      </c>
      <c r="C1474" s="2" t="s">
        <v>569</v>
      </c>
      <c r="D1474" s="2" t="str">
        <f t="shared" si="22"/>
        <v>Error?</v>
      </c>
    </row>
    <row r="1475" spans="1:4" x14ac:dyDescent="0.2">
      <c r="A1475" s="5">
        <v>1414</v>
      </c>
      <c r="B1475" s="1832">
        <f>'Expenditures 15-22'!K232</f>
        <v>7728</v>
      </c>
      <c r="C1475" s="2" t="s">
        <v>569</v>
      </c>
      <c r="D1475" s="2" t="str">
        <f t="shared" si="22"/>
        <v>Error?</v>
      </c>
    </row>
    <row r="1476" spans="1:4" x14ac:dyDescent="0.2">
      <c r="A1476" s="5">
        <v>1415</v>
      </c>
      <c r="B1476" s="1832">
        <f>'Expenditures 15-22'!K233</f>
        <v>12749</v>
      </c>
      <c r="C1476" s="2" t="s">
        <v>569</v>
      </c>
      <c r="D1476" s="2" t="str">
        <f t="shared" si="22"/>
        <v>Error?</v>
      </c>
    </row>
    <row r="1477" spans="1:4" x14ac:dyDescent="0.2">
      <c r="A1477" s="5">
        <v>1416</v>
      </c>
      <c r="B1477" s="1832">
        <f>'Expenditures 15-22'!K234</f>
        <v>10939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31416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3090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3090</v>
      </c>
      <c r="C1485" s="2" t="s">
        <v>569</v>
      </c>
      <c r="D1485" s="2" t="str">
        <f t="shared" si="22"/>
        <v>Error?</v>
      </c>
    </row>
    <row r="1486" spans="1:4" x14ac:dyDescent="0.2">
      <c r="A1486" s="5">
        <v>1425</v>
      </c>
      <c r="B1486" s="1832">
        <f>'Expenditures 15-22'!K245</f>
        <v>6437</v>
      </c>
      <c r="C1486" s="2" t="s">
        <v>569</v>
      </c>
      <c r="D1486" s="2" t="str">
        <f t="shared" si="22"/>
        <v>Error?</v>
      </c>
    </row>
    <row r="1487" spans="1:4" x14ac:dyDescent="0.2">
      <c r="A1487" s="5">
        <v>1426</v>
      </c>
      <c r="B1487" s="1832">
        <f>'Expenditures 15-22'!K246</f>
        <v>5555</v>
      </c>
      <c r="C1487" s="2" t="s">
        <v>569</v>
      </c>
      <c r="D1487" s="2" t="str">
        <f t="shared" si="22"/>
        <v>Error?</v>
      </c>
    </row>
    <row r="1488" spans="1:4" x14ac:dyDescent="0.2">
      <c r="A1488" s="5">
        <v>1427</v>
      </c>
      <c r="B1488" s="1832">
        <f>'Expenditures 15-22'!K257</f>
        <v>11992</v>
      </c>
      <c r="C1488" s="2" t="s">
        <v>569</v>
      </c>
      <c r="D1488" s="2" t="str">
        <f t="shared" si="22"/>
        <v>Error?</v>
      </c>
    </row>
    <row r="1489" spans="1:4" x14ac:dyDescent="0.2">
      <c r="A1489" s="5">
        <v>1428</v>
      </c>
      <c r="B1489" s="1832">
        <f>'Expenditures 15-22'!K259</f>
        <v>3799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3799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16904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84882</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27402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129188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24156</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24156</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203641</v>
      </c>
      <c r="C1510" s="2" t="s">
        <v>569</v>
      </c>
      <c r="D1510" s="2" t="str">
        <f t="shared" si="22"/>
        <v>Error?</v>
      </c>
    </row>
    <row r="1511" spans="1:4" x14ac:dyDescent="0.2">
      <c r="A1511" s="5">
        <v>1450</v>
      </c>
      <c r="B1511" s="1832">
        <f>'Expenditures 15-22'!K280</f>
        <v>253</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258327</v>
      </c>
      <c r="C1517" s="2" t="s">
        <v>569</v>
      </c>
      <c r="D1517" s="2" t="str">
        <f t="shared" si="22"/>
        <v>Error?</v>
      </c>
    </row>
    <row r="1518" spans="1:4" x14ac:dyDescent="0.2">
      <c r="A1518" s="5">
        <v>1457</v>
      </c>
      <c r="B1518" s="1832">
        <f>'Expenditures 15-22'!K296</f>
        <v>55957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7010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7010</v>
      </c>
      <c r="C1553" s="2" t="s">
        <v>569</v>
      </c>
      <c r="D1553" s="2" t="str">
        <f t="shared" si="23"/>
        <v>Error?</v>
      </c>
    </row>
    <row r="1554" spans="1:4" x14ac:dyDescent="0.2">
      <c r="A1554" s="5">
        <v>1493</v>
      </c>
      <c r="B1554" s="1832">
        <f>'Expenditures 15-22'!H312</f>
        <v>7010</v>
      </c>
      <c r="C1554" s="2" t="s">
        <v>569</v>
      </c>
      <c r="D1554" s="2" t="str">
        <f t="shared" si="23"/>
        <v>Error?</v>
      </c>
    </row>
    <row r="1555" spans="1:4" x14ac:dyDescent="0.2">
      <c r="A1555" s="5">
        <v>1494</v>
      </c>
      <c r="B1555" s="1832">
        <f>'Expenditures 15-22'!K301</f>
        <v>7010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7010</v>
      </c>
      <c r="C1559" s="2" t="s">
        <v>569</v>
      </c>
      <c r="D1559" s="2" t="str">
        <f t="shared" si="23"/>
        <v>Error?</v>
      </c>
    </row>
    <row r="1560" spans="1:4" x14ac:dyDescent="0.2">
      <c r="A1560" s="5">
        <v>1499</v>
      </c>
      <c r="B1560" s="1832">
        <f>'Expenditures 15-22'!K312</f>
        <v>7010</v>
      </c>
      <c r="C1560" s="2" t="s">
        <v>569</v>
      </c>
      <c r="D1560" s="2" t="str">
        <f t="shared" si="23"/>
        <v>Error?</v>
      </c>
    </row>
    <row r="1561" spans="1:4" x14ac:dyDescent="0.2">
      <c r="A1561" s="5">
        <v>1500</v>
      </c>
      <c r="B1561" s="1832">
        <f>'Expenditures 15-22'!K313</f>
        <v>-6489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8076890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8950662</v>
      </c>
      <c r="C1630" s="2" t="s">
        <v>569</v>
      </c>
      <c r="D1630" s="2" t="str">
        <f t="shared" si="24"/>
        <v>Error?</v>
      </c>
    </row>
    <row r="1631" spans="1:4" x14ac:dyDescent="0.2">
      <c r="A1631" s="5">
        <v>1570</v>
      </c>
      <c r="B1631" s="1832">
        <f>'Acct Summary 7-8'!D79</f>
        <v>4030737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4138195</v>
      </c>
      <c r="C1644" s="2" t="s">
        <v>569</v>
      </c>
      <c r="D1644" s="2" t="str">
        <f t="shared" si="24"/>
        <v>Error?</v>
      </c>
    </row>
    <row r="1645" spans="1:4" x14ac:dyDescent="0.2">
      <c r="A1645" s="5">
        <v>1584</v>
      </c>
      <c r="B1645" s="1832">
        <f>'Acct Summary 7-8'!E79</f>
        <v>115125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151219</v>
      </c>
      <c r="C1658" s="2" t="s">
        <v>569</v>
      </c>
      <c r="D1658" s="2" t="str">
        <f t="shared" si="24"/>
        <v>Error?</v>
      </c>
    </row>
    <row r="1659" spans="1:4" x14ac:dyDescent="0.2">
      <c r="A1659" s="5">
        <v>1598</v>
      </c>
      <c r="B1659" s="1832">
        <f>'Acct Summary 7-8'!F79</f>
        <v>1234954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1476306</v>
      </c>
      <c r="C1672" s="2" t="s">
        <v>569</v>
      </c>
      <c r="D1672" s="2" t="str">
        <f t="shared" si="25"/>
        <v>Error?</v>
      </c>
    </row>
    <row r="1673" spans="1:4" x14ac:dyDescent="0.2">
      <c r="A1673" s="5">
        <v>1612</v>
      </c>
      <c r="B1673" s="1832">
        <f>'Acct Summary 7-8'!G79</f>
        <v>262097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318054</v>
      </c>
      <c r="C1686" s="2" t="s">
        <v>569</v>
      </c>
      <c r="D1686" s="2" t="str">
        <f t="shared" si="25"/>
        <v>Error?</v>
      </c>
    </row>
    <row r="1687" spans="1:4" x14ac:dyDescent="0.2">
      <c r="A1687" s="5">
        <v>1626</v>
      </c>
      <c r="B1687" s="1832">
        <f>'Acct Summary 7-8'!H79</f>
        <v>35882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29393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10783173</v>
      </c>
      <c r="C1744" s="2" t="s">
        <v>569</v>
      </c>
      <c r="D1744" s="2" t="str">
        <f t="shared" si="26"/>
        <v>Error?</v>
      </c>
    </row>
    <row r="1745" spans="1:5" x14ac:dyDescent="0.2">
      <c r="A1745" s="5">
        <v>1684</v>
      </c>
      <c r="B1745" s="1832">
        <f>'Tax Sched 23'!B5</f>
        <v>3009341</v>
      </c>
      <c r="C1745" s="2" t="s">
        <v>569</v>
      </c>
      <c r="D1745" s="2" t="str">
        <f t="shared" si="26"/>
        <v>Error?</v>
      </c>
    </row>
    <row r="1746" spans="1:5" x14ac:dyDescent="0.2">
      <c r="A1746" s="5">
        <v>1685</v>
      </c>
      <c r="B1746" s="1832">
        <f>'Tax Sched 23'!B6</f>
        <v>545462</v>
      </c>
      <c r="C1746" s="2" t="s">
        <v>569</v>
      </c>
      <c r="D1746" s="2" t="str">
        <f t="shared" si="26"/>
        <v>Error?</v>
      </c>
    </row>
    <row r="1747" spans="1:5" x14ac:dyDescent="0.2">
      <c r="A1747" s="5">
        <v>1686</v>
      </c>
      <c r="B1747" s="1832">
        <f>'Tax Sched 23'!B7</f>
        <v>981093</v>
      </c>
      <c r="C1747" s="2" t="s">
        <v>569</v>
      </c>
      <c r="D1747" s="2" t="str">
        <f t="shared" si="26"/>
        <v>Error?</v>
      </c>
    </row>
    <row r="1748" spans="1:5" x14ac:dyDescent="0.2">
      <c r="A1748" s="5">
        <v>1687</v>
      </c>
      <c r="B1748" s="1832">
        <f>'Tax Sched 23'!B8</f>
        <v>227098</v>
      </c>
      <c r="C1748" s="2" t="s">
        <v>569</v>
      </c>
      <c r="D1748" s="2" t="str">
        <f t="shared" si="26"/>
        <v>Error?</v>
      </c>
    </row>
    <row r="1749" spans="1:5" x14ac:dyDescent="0.2">
      <c r="A1749" s="5">
        <v>1688</v>
      </c>
      <c r="B1749" s="1832">
        <f>'Tax Sched 23'!B10</f>
        <v>10397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10397</v>
      </c>
      <c r="C1752" s="2" t="s">
        <v>569</v>
      </c>
      <c r="D1752" s="2" t="str">
        <f t="shared" si="26"/>
        <v>Error?</v>
      </c>
    </row>
    <row r="1753" spans="1:5" x14ac:dyDescent="0.2">
      <c r="A1753" s="5">
        <v>1692</v>
      </c>
      <c r="B1753" s="1832">
        <f>'Tax Sched 23'!B12</f>
        <v>10397</v>
      </c>
      <c r="C1753" s="2" t="s">
        <v>569</v>
      </c>
      <c r="D1753" s="2" t="str">
        <f t="shared" si="26"/>
        <v>Error?</v>
      </c>
    </row>
    <row r="1754" spans="1:5" x14ac:dyDescent="0.2">
      <c r="A1754" s="5">
        <v>1693</v>
      </c>
      <c r="B1754" s="1832">
        <f>'Tax Sched 23'!B14</f>
        <v>10397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15587755</v>
      </c>
      <c r="C1759" s="2" t="s">
        <v>569</v>
      </c>
      <c r="D1759" s="2" t="str">
        <f t="shared" si="26"/>
        <v>Error?</v>
      </c>
    </row>
    <row r="1760" spans="1:5" x14ac:dyDescent="0.2">
      <c r="A1760" s="5">
        <v>1699</v>
      </c>
      <c r="B1760" s="1832">
        <f>'Tax Sched 23'!D4</f>
        <v>10783173</v>
      </c>
      <c r="C1760" s="2" t="s">
        <v>569</v>
      </c>
      <c r="D1760" s="2" t="str">
        <f t="shared" si="26"/>
        <v>Error?</v>
      </c>
    </row>
    <row r="1761" spans="1:7" x14ac:dyDescent="0.2">
      <c r="A1761" s="5">
        <v>1700</v>
      </c>
      <c r="B1761" s="1832">
        <f>'Tax Sched 23'!D5</f>
        <v>3009341</v>
      </c>
      <c r="C1761" s="2" t="s">
        <v>569</v>
      </c>
      <c r="D1761" s="2" t="str">
        <f t="shared" si="26"/>
        <v>Error?</v>
      </c>
    </row>
    <row r="1762" spans="1:7" s="8" customFormat="1" x14ac:dyDescent="0.2">
      <c r="A1762" s="5">
        <v>1701</v>
      </c>
      <c r="B1762" s="1832">
        <f>'Tax Sched 23'!D6</f>
        <v>545462</v>
      </c>
      <c r="C1762" s="2" t="s">
        <v>569</v>
      </c>
      <c r="D1762" s="2" t="str">
        <f t="shared" si="26"/>
        <v>Error?</v>
      </c>
      <c r="E1762" s="9"/>
      <c r="G1762"/>
    </row>
    <row r="1763" spans="1:7" x14ac:dyDescent="0.2">
      <c r="A1763" s="5">
        <v>1702</v>
      </c>
      <c r="B1763" s="1832">
        <f>'Tax Sched 23'!D7</f>
        <v>981093</v>
      </c>
      <c r="C1763" s="2" t="s">
        <v>569</v>
      </c>
      <c r="D1763" s="2" t="str">
        <f t="shared" si="26"/>
        <v>Error?</v>
      </c>
    </row>
    <row r="1764" spans="1:7" x14ac:dyDescent="0.2">
      <c r="A1764" s="5">
        <v>1703</v>
      </c>
      <c r="B1764" s="1832">
        <f>'Tax Sched 23'!D8</f>
        <v>227098</v>
      </c>
      <c r="C1764" s="2" t="s">
        <v>569</v>
      </c>
      <c r="D1764" s="2" t="str">
        <f t="shared" si="26"/>
        <v>Error?</v>
      </c>
    </row>
    <row r="1765" spans="1:7" x14ac:dyDescent="0.2">
      <c r="A1765" s="5">
        <v>1704</v>
      </c>
      <c r="B1765" s="1832">
        <f>'Tax Sched 23'!D10</f>
        <v>10397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10397</v>
      </c>
      <c r="C1768" s="2" t="s">
        <v>569</v>
      </c>
      <c r="D1768" s="2" t="str">
        <f t="shared" si="26"/>
        <v>Error?</v>
      </c>
    </row>
    <row r="1769" spans="1:7" x14ac:dyDescent="0.2">
      <c r="A1769" s="5">
        <v>1708</v>
      </c>
      <c r="B1769" s="1832">
        <f>'Tax Sched 23'!D12</f>
        <v>10397</v>
      </c>
      <c r="C1769" s="2" t="s">
        <v>569</v>
      </c>
      <c r="D1769" s="2" t="str">
        <f t="shared" si="26"/>
        <v>Error?</v>
      </c>
    </row>
    <row r="1770" spans="1:7" x14ac:dyDescent="0.2">
      <c r="A1770" s="5">
        <v>1709</v>
      </c>
      <c r="B1770" s="1832">
        <f>'Tax Sched 23'!D14</f>
        <v>10397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15587755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10961927</v>
      </c>
      <c r="C1792" s="2" t="s">
        <v>569</v>
      </c>
      <c r="D1792" s="2" t="str">
        <f t="shared" si="27"/>
        <v>Error?</v>
      </c>
    </row>
    <row r="1793" spans="1:4" x14ac:dyDescent="0.2">
      <c r="A1793" s="5">
        <v>1732</v>
      </c>
      <c r="B1793" s="1832">
        <f>'Tax Sched 23'!F5</f>
        <v>3021694</v>
      </c>
      <c r="C1793" s="2" t="s">
        <v>569</v>
      </c>
      <c r="D1793" s="2" t="str">
        <f t="shared" si="27"/>
        <v>Error?</v>
      </c>
    </row>
    <row r="1794" spans="1:4" x14ac:dyDescent="0.2">
      <c r="A1794" s="5">
        <v>1733</v>
      </c>
      <c r="B1794" s="1832">
        <f>'Tax Sched 23'!F6</f>
        <v>554803</v>
      </c>
      <c r="C1794" s="2" t="s">
        <v>569</v>
      </c>
      <c r="D1794" s="2" t="str">
        <f t="shared" si="27"/>
        <v>Error?</v>
      </c>
    </row>
    <row r="1795" spans="1:4" x14ac:dyDescent="0.2">
      <c r="A1795" s="5">
        <v>1734</v>
      </c>
      <c r="B1795" s="1832">
        <f>'Tax Sched 23'!F7</f>
        <v>1169811</v>
      </c>
      <c r="C1795" s="2" t="s">
        <v>569</v>
      </c>
      <c r="D1795" s="2" t="str">
        <f t="shared" si="27"/>
        <v>Error?</v>
      </c>
    </row>
    <row r="1796" spans="1:4" x14ac:dyDescent="0.2">
      <c r="A1796" s="5">
        <v>1735</v>
      </c>
      <c r="B1796" s="1832">
        <f>'Tax Sched 23'!F8</f>
        <v>227865</v>
      </c>
      <c r="C1796" s="2" t="s">
        <v>569</v>
      </c>
      <c r="D1796" s="2" t="str">
        <f t="shared" si="27"/>
        <v>Error?</v>
      </c>
    </row>
    <row r="1797" spans="1:4" x14ac:dyDescent="0.2">
      <c r="A1797" s="5">
        <v>1736</v>
      </c>
      <c r="B1797" s="1832">
        <f>'Tax Sched 23'!F10</f>
        <v>10669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10669</v>
      </c>
      <c r="C1800" s="2" t="s">
        <v>569</v>
      </c>
      <c r="D1800" s="2" t="str">
        <f t="shared" si="27"/>
        <v>Error?</v>
      </c>
    </row>
    <row r="1801" spans="1:4" x14ac:dyDescent="0.2">
      <c r="A1801" s="5">
        <v>1740</v>
      </c>
      <c r="B1801" s="1832">
        <f>'Tax Sched 23'!F12</f>
        <v>10669</v>
      </c>
      <c r="C1801" s="2" t="s">
        <v>569</v>
      </c>
      <c r="D1801" s="2" t="str">
        <f t="shared" si="27"/>
        <v>Error?</v>
      </c>
    </row>
    <row r="1802" spans="1:4" x14ac:dyDescent="0.2">
      <c r="A1802" s="5">
        <v>1741</v>
      </c>
      <c r="B1802" s="1832">
        <f>'Tax Sched 23'!F14</f>
        <v>10669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15978776</v>
      </c>
      <c r="C1807" s="2" t="s">
        <v>569</v>
      </c>
      <c r="D1807" s="2" t="str">
        <f t="shared" si="27"/>
        <v>Error?</v>
      </c>
    </row>
    <row r="1808" spans="1:4" x14ac:dyDescent="0.2">
      <c r="A1808" s="5">
        <v>1747</v>
      </c>
      <c r="B1808" s="1832">
        <f>'Tax Sched 23'!E4</f>
        <v>10961927</v>
      </c>
      <c r="D1808" s="2" t="str">
        <f t="shared" si="27"/>
        <v>Error?</v>
      </c>
    </row>
    <row r="1809" spans="1:4" x14ac:dyDescent="0.2">
      <c r="A1809" s="5">
        <v>1748</v>
      </c>
      <c r="B1809" s="1832">
        <f>'Tax Sched 23'!E5</f>
        <v>3021694</v>
      </c>
      <c r="D1809" s="2" t="str">
        <f t="shared" si="27"/>
        <v>Error?</v>
      </c>
    </row>
    <row r="1810" spans="1:4" x14ac:dyDescent="0.2">
      <c r="A1810" s="5">
        <v>1749</v>
      </c>
      <c r="B1810" s="1832">
        <f>'Tax Sched 23'!E6</f>
        <v>554803</v>
      </c>
      <c r="D1810" s="2" t="str">
        <f t="shared" si="27"/>
        <v>Error?</v>
      </c>
    </row>
    <row r="1811" spans="1:4" x14ac:dyDescent="0.2">
      <c r="A1811" s="5">
        <v>1750</v>
      </c>
      <c r="B1811" s="1832">
        <f>'Tax Sched 23'!E7</f>
        <v>1169811</v>
      </c>
      <c r="D1811" s="2" t="str">
        <f t="shared" si="27"/>
        <v>Error?</v>
      </c>
    </row>
    <row r="1812" spans="1:4" x14ac:dyDescent="0.2">
      <c r="A1812" s="5">
        <v>1751</v>
      </c>
      <c r="B1812" s="1832">
        <f>'Tax Sched 23'!E8</f>
        <v>227865</v>
      </c>
      <c r="D1812" s="2" t="str">
        <f t="shared" si="27"/>
        <v>Error?</v>
      </c>
    </row>
    <row r="1813" spans="1:4" x14ac:dyDescent="0.2">
      <c r="A1813" s="5">
        <v>1752</v>
      </c>
      <c r="B1813" s="1832">
        <f>'Tax Sched 23'!E10</f>
        <v>10669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10669</v>
      </c>
      <c r="D1816" s="2" t="str">
        <f t="shared" si="27"/>
        <v>Error?</v>
      </c>
    </row>
    <row r="1817" spans="1:4" x14ac:dyDescent="0.2">
      <c r="A1817" s="5">
        <v>1756</v>
      </c>
      <c r="B1817" s="1832">
        <f>'Tax Sched 23'!E12</f>
        <v>10669</v>
      </c>
      <c r="D1817" s="2" t="str">
        <f t="shared" si="27"/>
        <v>Error?</v>
      </c>
    </row>
    <row r="1818" spans="1:4" x14ac:dyDescent="0.2">
      <c r="A1818" s="5">
        <v>1757</v>
      </c>
      <c r="B1818" s="1832">
        <f>'Tax Sched 23'!E14</f>
        <v>10669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15978776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10645000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10397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10397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10397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5381544</v>
      </c>
      <c r="D2008" s="2" t="str">
        <f t="shared" si="30"/>
        <v>Error?</v>
      </c>
    </row>
    <row r="2009" spans="1:4" x14ac:dyDescent="0.2">
      <c r="A2009" s="5">
        <v>1948</v>
      </c>
      <c r="B2009" s="1832">
        <f>'Cap Outlay Deprec 26'!C8</f>
        <v>30038317</v>
      </c>
      <c r="D2009" s="2" t="str">
        <f t="shared" si="30"/>
        <v>Error?</v>
      </c>
    </row>
    <row r="2010" spans="1:4" x14ac:dyDescent="0.2">
      <c r="A2010" s="5">
        <v>1949</v>
      </c>
      <c r="B2010" s="1832">
        <f>'Cap Outlay Deprec 26'!C10</f>
        <v>2283912</v>
      </c>
      <c r="D2010" s="2" t="str">
        <f t="shared" si="30"/>
        <v>Error?</v>
      </c>
    </row>
    <row r="2011" spans="1:4" x14ac:dyDescent="0.2">
      <c r="A2011" s="5">
        <v>1950</v>
      </c>
      <c r="B2011" s="1832">
        <f>'Cap Outlay Deprec 26'!C12</f>
        <v>6832214</v>
      </c>
      <c r="D2011" s="2" t="str">
        <f t="shared" si="30"/>
        <v>Error?</v>
      </c>
    </row>
    <row r="2012" spans="1:4" x14ac:dyDescent="0.2">
      <c r="A2012" s="5">
        <v>1951</v>
      </c>
      <c r="B2012" s="1832">
        <f>'Cap Outlay Deprec 26'!C13</f>
        <v>126838</v>
      </c>
      <c r="D2012" s="2" t="str">
        <f t="shared" si="30"/>
        <v>Error?</v>
      </c>
    </row>
    <row r="2013" spans="1:4" x14ac:dyDescent="0.2">
      <c r="A2013" s="5">
        <v>1952</v>
      </c>
      <c r="B2013" s="1832">
        <f>'Cap Outlay Deprec 26'!C16</f>
        <v>46819138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1240029</v>
      </c>
      <c r="D2015" s="2" t="str">
        <f t="shared" si="30"/>
        <v>Error?</v>
      </c>
    </row>
    <row r="2016" spans="1:4" x14ac:dyDescent="0.2">
      <c r="A2016" s="5">
        <v>1955</v>
      </c>
      <c r="B2016" s="1832">
        <f>'Cap Outlay Deprec 26'!D10</f>
        <v>74762</v>
      </c>
      <c r="D2016" s="2" t="str">
        <f t="shared" si="30"/>
        <v>Error?</v>
      </c>
    </row>
    <row r="2017" spans="1:4" x14ac:dyDescent="0.2">
      <c r="A2017" s="5">
        <v>1956</v>
      </c>
      <c r="B2017" s="1832">
        <f>'Cap Outlay Deprec 26'!D12</f>
        <v>121962</v>
      </c>
      <c r="D2017" s="2" t="str">
        <f t="shared" si="30"/>
        <v>Error?</v>
      </c>
    </row>
    <row r="2018" spans="1:4" x14ac:dyDescent="0.2">
      <c r="A2018" s="5">
        <v>1957</v>
      </c>
      <c r="B2018" s="1832">
        <f>'Cap Outlay Deprec 26'!D13</f>
        <v>27620</v>
      </c>
      <c r="D2018" s="2" t="str">
        <f t="shared" si="30"/>
        <v>Error?</v>
      </c>
    </row>
    <row r="2019" spans="1:4" x14ac:dyDescent="0.2">
      <c r="A2019" s="5">
        <v>1958</v>
      </c>
      <c r="B2019" s="1832">
        <f>'Cap Outlay Deprec 26'!D16</f>
        <v>1668465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53006</v>
      </c>
      <c r="D2024" s="2" t="str">
        <f t="shared" si="30"/>
        <v>Error?</v>
      </c>
    </row>
    <row r="2025" spans="1:4" x14ac:dyDescent="0.2">
      <c r="A2025" s="5">
        <v>1964</v>
      </c>
      <c r="B2025" s="1832">
        <f>'Cap Outlay Deprec 26'!E16</f>
        <v>268508</v>
      </c>
      <c r="C2025" s="2" t="s">
        <v>569</v>
      </c>
      <c r="D2025" s="2" t="str">
        <f t="shared" si="30"/>
        <v>Error?</v>
      </c>
    </row>
    <row r="2026" spans="1:4" x14ac:dyDescent="0.2">
      <c r="A2026" s="5">
        <v>1965</v>
      </c>
      <c r="B2026" s="1832">
        <f>'Cap Outlay Deprec 26'!F5</f>
        <v>5381544</v>
      </c>
      <c r="C2026" s="2" t="s">
        <v>569</v>
      </c>
      <c r="D2026" s="2" t="str">
        <f t="shared" si="30"/>
        <v>Error?</v>
      </c>
    </row>
    <row r="2027" spans="1:4" x14ac:dyDescent="0.2">
      <c r="A2027" s="5">
        <v>1966</v>
      </c>
      <c r="B2027" s="1832">
        <f>'Cap Outlay Deprec 26'!F8</f>
        <v>31278346</v>
      </c>
      <c r="C2027" s="2" t="s">
        <v>569</v>
      </c>
      <c r="D2027" s="2" t="str">
        <f t="shared" si="30"/>
        <v>Error?</v>
      </c>
    </row>
    <row r="2028" spans="1:4" x14ac:dyDescent="0.2">
      <c r="A2028" s="5">
        <v>1967</v>
      </c>
      <c r="B2028" s="1832">
        <f>'Cap Outlay Deprec 26'!F10</f>
        <v>2358674</v>
      </c>
      <c r="C2028" s="2" t="s">
        <v>569</v>
      </c>
      <c r="D2028" s="2" t="str">
        <f t="shared" si="30"/>
        <v>Error?</v>
      </c>
    </row>
    <row r="2029" spans="1:4" x14ac:dyDescent="0.2">
      <c r="A2029" s="5">
        <v>1968</v>
      </c>
      <c r="B2029" s="1832">
        <f>'Cap Outlay Deprec 26'!F12</f>
        <v>6954176</v>
      </c>
      <c r="C2029" s="2" t="s">
        <v>569</v>
      </c>
      <c r="D2029" s="2" t="str">
        <f t="shared" si="30"/>
        <v>Error?</v>
      </c>
    </row>
    <row r="2030" spans="1:4" x14ac:dyDescent="0.2">
      <c r="A2030" s="5">
        <v>1969</v>
      </c>
      <c r="B2030" s="1832">
        <f>'Cap Outlay Deprec 26'!F13</f>
        <v>101452</v>
      </c>
      <c r="C2030" s="2" t="s">
        <v>569</v>
      </c>
      <c r="D2030" s="2" t="str">
        <f t="shared" si="30"/>
        <v>Error?</v>
      </c>
    </row>
    <row r="2031" spans="1:4" x14ac:dyDescent="0.2">
      <c r="A2031" s="5">
        <v>1970</v>
      </c>
      <c r="B2031" s="1832">
        <f>'Cap Outlay Deprec 26'!F16</f>
        <v>48219095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10712288</v>
      </c>
      <c r="D2033" s="2" t="str">
        <f t="shared" si="30"/>
        <v>Error?</v>
      </c>
    </row>
    <row r="2034" spans="1:4" x14ac:dyDescent="0.2">
      <c r="A2034" s="5">
        <v>1973</v>
      </c>
      <c r="B2034" s="1832">
        <f>'Cap Outlay Deprec 26'!H10</f>
        <v>1498266</v>
      </c>
      <c r="D2034" s="2" t="str">
        <f t="shared" si="30"/>
        <v>Error?</v>
      </c>
    </row>
    <row r="2035" spans="1:4" x14ac:dyDescent="0.2">
      <c r="A2035" s="5">
        <v>1974</v>
      </c>
      <c r="B2035" s="1832">
        <f>'Cap Outlay Deprec 26'!H12</f>
        <v>5972767</v>
      </c>
      <c r="D2035" s="2" t="str">
        <f t="shared" si="30"/>
        <v>Error?</v>
      </c>
    </row>
    <row r="2036" spans="1:4" x14ac:dyDescent="0.2">
      <c r="A2036" s="5">
        <v>1975</v>
      </c>
      <c r="B2036" s="1832">
        <f>'Cap Outlay Deprec 26'!H13</f>
        <v>110619</v>
      </c>
      <c r="D2036" s="2" t="str">
        <f t="shared" si="30"/>
        <v>Error?</v>
      </c>
    </row>
    <row r="2037" spans="1:4" x14ac:dyDescent="0.2">
      <c r="A2037" s="5">
        <v>1976</v>
      </c>
      <c r="B2037" s="1832">
        <f>'Cap Outlay Deprec 26'!H16</f>
        <v>19610224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626962</v>
      </c>
      <c r="D2039" s="2" t="str">
        <f t="shared" si="30"/>
        <v>Error?</v>
      </c>
    </row>
    <row r="2040" spans="1:4" x14ac:dyDescent="0.2">
      <c r="A2040" s="5">
        <v>1979</v>
      </c>
      <c r="B2040" s="1832">
        <f>'Cap Outlay Deprec 26'!I10</f>
        <v>76226</v>
      </c>
      <c r="D2040" s="2" t="str">
        <f t="shared" si="30"/>
        <v>Error?</v>
      </c>
    </row>
    <row r="2041" spans="1:4" x14ac:dyDescent="0.2">
      <c r="A2041" s="5">
        <v>1980</v>
      </c>
      <c r="B2041" s="1832">
        <f>'Cap Outlay Deprec 26'!I12</f>
        <v>191412</v>
      </c>
      <c r="D2041" s="2" t="str">
        <f t="shared" si="30"/>
        <v>Error?</v>
      </c>
    </row>
    <row r="2042" spans="1:4" x14ac:dyDescent="0.2">
      <c r="A2042" s="5">
        <v>1981</v>
      </c>
      <c r="B2042" s="1832">
        <f>'Cap Outlay Deprec 26'!I13</f>
        <v>13633</v>
      </c>
      <c r="D2042" s="2" t="str">
        <f t="shared" si="30"/>
        <v>Error?</v>
      </c>
    </row>
    <row r="2043" spans="1:4" x14ac:dyDescent="0.2">
      <c r="A2043" s="5">
        <v>1982</v>
      </c>
      <c r="B2043" s="1832">
        <f>'Cap Outlay Deprec 26'!I16</f>
        <v>1247022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53006</v>
      </c>
      <c r="D2048" s="2" t="str">
        <f t="shared" si="31"/>
        <v>Error?</v>
      </c>
    </row>
    <row r="2049" spans="1:4" x14ac:dyDescent="0.2">
      <c r="A2049" s="5">
        <v>1988</v>
      </c>
      <c r="B2049" s="1832">
        <f>'Cap Outlay Deprec 26'!J16</f>
        <v>268508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11339250</v>
      </c>
      <c r="C2051" s="2" t="s">
        <v>569</v>
      </c>
      <c r="D2051" s="2" t="str">
        <f t="shared" si="31"/>
        <v>Error?</v>
      </c>
    </row>
    <row r="2052" spans="1:4" x14ac:dyDescent="0.2">
      <c r="A2052" s="5">
        <v>1991</v>
      </c>
      <c r="B2052" s="1832">
        <f>'Cap Outlay Deprec 26'!K10</f>
        <v>1574492</v>
      </c>
      <c r="C2052" s="2" t="s">
        <v>569</v>
      </c>
      <c r="D2052" s="2" t="str">
        <f t="shared" si="31"/>
        <v>Error?</v>
      </c>
    </row>
    <row r="2053" spans="1:4" x14ac:dyDescent="0.2">
      <c r="A2053" s="5">
        <v>1992</v>
      </c>
      <c r="B2053" s="1832">
        <f>'Cap Outlay Deprec 26'!K12</f>
        <v>6164179</v>
      </c>
      <c r="C2053" s="2" t="s">
        <v>569</v>
      </c>
      <c r="D2053" s="2" t="str">
        <f t="shared" si="31"/>
        <v>Error?</v>
      </c>
    </row>
    <row r="2054" spans="1:4" x14ac:dyDescent="0.2">
      <c r="A2054" s="5">
        <v>1993</v>
      </c>
      <c r="B2054" s="1832">
        <f>'Cap Outlay Deprec 26'!K13</f>
        <v>71246</v>
      </c>
      <c r="C2054" s="2" t="s">
        <v>569</v>
      </c>
      <c r="D2054" s="2" t="str">
        <f t="shared" si="31"/>
        <v>Error?</v>
      </c>
    </row>
    <row r="2055" spans="1:4" x14ac:dyDescent="0.2">
      <c r="A2055" s="5">
        <v>1994</v>
      </c>
      <c r="B2055" s="1832">
        <f>'Cap Outlay Deprec 26'!K16</f>
        <v>20588738</v>
      </c>
      <c r="C2055" s="2" t="s">
        <v>569</v>
      </c>
      <c r="D2055" s="2" t="str">
        <f t="shared" si="31"/>
        <v>Error?</v>
      </c>
    </row>
    <row r="2056" spans="1:4" x14ac:dyDescent="0.2">
      <c r="A2056" s="5">
        <v>1995</v>
      </c>
      <c r="B2056" s="1832">
        <f>'Cap Outlay Deprec 26'!L5</f>
        <v>5381544</v>
      </c>
      <c r="C2056" s="2" t="s">
        <v>569</v>
      </c>
      <c r="D2056" s="2" t="str">
        <f t="shared" si="31"/>
        <v>Error?</v>
      </c>
    </row>
    <row r="2057" spans="1:4" x14ac:dyDescent="0.2">
      <c r="A2057" s="5">
        <v>1996</v>
      </c>
      <c r="B2057" s="1832">
        <f>'Cap Outlay Deprec 26'!L8</f>
        <v>19939096</v>
      </c>
      <c r="C2057" s="2" t="s">
        <v>569</v>
      </c>
      <c r="D2057" s="2" t="str">
        <f t="shared" si="31"/>
        <v>Error?</v>
      </c>
    </row>
    <row r="2058" spans="1:4" x14ac:dyDescent="0.2">
      <c r="A2058" s="5">
        <v>1997</v>
      </c>
      <c r="B2058" s="1832">
        <f>'Cap Outlay Deprec 26'!L10</f>
        <v>784182</v>
      </c>
      <c r="C2058" s="2" t="s">
        <v>569</v>
      </c>
      <c r="D2058" s="2" t="str">
        <f t="shared" si="31"/>
        <v>Error?</v>
      </c>
    </row>
    <row r="2059" spans="1:4" x14ac:dyDescent="0.2">
      <c r="A2059" s="5">
        <v>1998</v>
      </c>
      <c r="B2059" s="1832">
        <f>'Cap Outlay Deprec 26'!L12</f>
        <v>789997</v>
      </c>
      <c r="C2059" s="2" t="s">
        <v>569</v>
      </c>
      <c r="D2059" s="2" t="str">
        <f t="shared" si="31"/>
        <v>Error?</v>
      </c>
    </row>
    <row r="2060" spans="1:4" x14ac:dyDescent="0.2">
      <c r="A2060" s="5">
        <v>1999</v>
      </c>
      <c r="B2060" s="1832">
        <f>'Cap Outlay Deprec 26'!L13</f>
        <v>30206</v>
      </c>
      <c r="C2060" s="2" t="s">
        <v>569</v>
      </c>
      <c r="D2060" s="2" t="str">
        <f t="shared" si="31"/>
        <v>Error?</v>
      </c>
    </row>
    <row r="2061" spans="1:4" x14ac:dyDescent="0.2">
      <c r="A2061" s="5">
        <v>2000</v>
      </c>
      <c r="B2061" s="1832">
        <f>'Cap Outlay Deprec 26'!L16</f>
        <v>27630357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396108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396108</v>
      </c>
      <c r="C2088" s="2" t="s">
        <v>569</v>
      </c>
      <c r="D2088" s="2" t="str">
        <f t="shared" si="31"/>
        <v>Error?</v>
      </c>
    </row>
    <row r="2089" spans="1:4" x14ac:dyDescent="0.2">
      <c r="A2089" s="5">
        <v>2028</v>
      </c>
      <c r="B2089" s="1832">
        <f>'Expenditures 15-22'!K92</f>
        <v>11217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35944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12167659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7066361</v>
      </c>
      <c r="C2553" s="2" t="s">
        <v>569</v>
      </c>
      <c r="D2553" s="2" t="str">
        <f t="shared" si="38"/>
        <v>Error?</v>
      </c>
    </row>
    <row r="2554" spans="1:4" x14ac:dyDescent="0.2">
      <c r="A2554" s="5">
        <v>2493</v>
      </c>
      <c r="B2554" s="1832">
        <f>'Acct Summary 7-8'!C7</f>
        <v>1111400</v>
      </c>
      <c r="C2554" s="2" t="s">
        <v>569</v>
      </c>
      <c r="D2554" s="2" t="str">
        <f t="shared" si="38"/>
        <v>Error?</v>
      </c>
    </row>
    <row r="2555" spans="1:4" x14ac:dyDescent="0.2">
      <c r="A2555" s="5">
        <v>2494</v>
      </c>
      <c r="B2555" s="1832">
        <f>'Acct Summary 7-8'!C8</f>
        <v>20345420</v>
      </c>
      <c r="C2555" s="2" t="s">
        <v>569</v>
      </c>
      <c r="D2555" s="2" t="str">
        <f t="shared" si="38"/>
        <v>Error?</v>
      </c>
    </row>
    <row r="2556" spans="1:4" x14ac:dyDescent="0.2">
      <c r="A2556" s="5">
        <v>2495</v>
      </c>
      <c r="B2556" s="1832">
        <f>'Acct Summary 7-8'!C12</f>
        <v>13202759</v>
      </c>
      <c r="C2556" s="2" t="s">
        <v>569</v>
      </c>
      <c r="D2556" s="2" t="str">
        <f t="shared" si="38"/>
        <v>Error?</v>
      </c>
    </row>
    <row r="2557" spans="1:4" x14ac:dyDescent="0.2">
      <c r="A2557" s="5">
        <v>2496</v>
      </c>
      <c r="B2557" s="1832">
        <f>'Acct Summary 7-8'!C13</f>
        <v>5717573</v>
      </c>
      <c r="C2557" s="2" t="s">
        <v>569</v>
      </c>
      <c r="D2557" s="2" t="str">
        <f t="shared" si="38"/>
        <v>Error?</v>
      </c>
    </row>
    <row r="2558" spans="1:4" x14ac:dyDescent="0.2">
      <c r="A2558" s="5">
        <v>2497</v>
      </c>
      <c r="B2558" s="1832">
        <f>'Acct Summary 7-8'!C14</f>
        <v>143991</v>
      </c>
      <c r="C2558" s="2" t="s">
        <v>569</v>
      </c>
      <c r="D2558" s="2" t="str">
        <f t="shared" si="38"/>
        <v>Error?</v>
      </c>
    </row>
    <row r="2559" spans="1:4" x14ac:dyDescent="0.2">
      <c r="A2559" s="5">
        <v>2498</v>
      </c>
      <c r="B2559" s="1832">
        <f>'Acct Summary 7-8'!C15</f>
        <v>407325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19471648</v>
      </c>
      <c r="C2561" s="2" t="s">
        <v>569</v>
      </c>
      <c r="D2561" s="2" t="str">
        <f t="shared" si="39"/>
        <v>Error?</v>
      </c>
    </row>
    <row r="2562" spans="1:4" x14ac:dyDescent="0.2">
      <c r="A2562" s="5">
        <v>2501</v>
      </c>
      <c r="B2562" s="1832">
        <f>'Acct Summary 7-8'!C20</f>
        <v>873772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3160897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66487</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3227384</v>
      </c>
      <c r="C2568" s="2" t="s">
        <v>569</v>
      </c>
      <c r="D2568" s="2" t="str">
        <f t="shared" si="39"/>
        <v>Error?</v>
      </c>
    </row>
    <row r="2569" spans="1:4" x14ac:dyDescent="0.2">
      <c r="A2569" s="5">
        <v>2508</v>
      </c>
      <c r="B2569" s="1832">
        <f>'Acct Summary 7-8'!D13</f>
        <v>3118870</v>
      </c>
      <c r="C2569" s="2" t="s">
        <v>569</v>
      </c>
      <c r="D2569" s="2" t="str">
        <f t="shared" si="39"/>
        <v>Error?</v>
      </c>
    </row>
    <row r="2570" spans="1:4" x14ac:dyDescent="0.2">
      <c r="A2570" s="5">
        <v>2509</v>
      </c>
      <c r="B2570" s="1832">
        <f>'Acct Summary 7-8'!D14</f>
        <v>1056</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3119926</v>
      </c>
      <c r="C2573" s="2" t="s">
        <v>569</v>
      </c>
      <c r="D2573" s="2" t="str">
        <f t="shared" si="39"/>
        <v>Error?</v>
      </c>
    </row>
    <row r="2574" spans="1:4" x14ac:dyDescent="0.2">
      <c r="A2574" s="5">
        <v>2513</v>
      </c>
      <c r="B2574" s="1832">
        <f>'Acct Summary 7-8'!D20</f>
        <v>107458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1006270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687639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1693909</v>
      </c>
      <c r="C2595" s="2" t="s">
        <v>569</v>
      </c>
      <c r="D2595" s="2" t="str">
        <f t="shared" si="39"/>
        <v>Error?</v>
      </c>
    </row>
    <row r="2596" spans="1:4" x14ac:dyDescent="0.2">
      <c r="A2596" s="5">
        <v>2535</v>
      </c>
      <c r="B2596" s="1832">
        <f>'Acct Summary 7-8'!F13</f>
        <v>1452557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1452557</v>
      </c>
      <c r="C2600" s="2" t="s">
        <v>569</v>
      </c>
      <c r="D2600" s="2" t="str">
        <f t="shared" si="39"/>
        <v>Error?</v>
      </c>
    </row>
    <row r="2601" spans="1:4" x14ac:dyDescent="0.2">
      <c r="A2601" s="5">
        <v>2540</v>
      </c>
      <c r="B2601" s="1832">
        <f>'Acct Summary 7-8'!F20</f>
        <v>241352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254284</v>
      </c>
      <c r="C2603" s="2" t="s">
        <v>569</v>
      </c>
      <c r="D2603" s="2" t="str">
        <f t="shared" si="39"/>
        <v>Error?</v>
      </c>
    </row>
    <row r="2604" spans="1:4" x14ac:dyDescent="0.2">
      <c r="A2604" s="5">
        <v>2543</v>
      </c>
      <c r="B2604" s="1832">
        <f>'Acct Summary 7-8'!G6</f>
        <v>60000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314284</v>
      </c>
      <c r="C2606" s="2" t="s">
        <v>569</v>
      </c>
      <c r="D2606" s="2" t="str">
        <f t="shared" si="39"/>
        <v>Error?</v>
      </c>
    </row>
    <row r="2607" spans="1:4" x14ac:dyDescent="0.2">
      <c r="A2607" s="5">
        <v>2546</v>
      </c>
      <c r="B2607" s="1832">
        <f>'Acct Summary 7-8'!G12</f>
        <v>54433</v>
      </c>
      <c r="C2607" s="2" t="s">
        <v>569</v>
      </c>
      <c r="D2607" s="2" t="str">
        <f t="shared" si="39"/>
        <v>Error?</v>
      </c>
    </row>
    <row r="2608" spans="1:4" x14ac:dyDescent="0.2">
      <c r="A2608" s="5">
        <v>2547</v>
      </c>
      <c r="B2608" s="1832">
        <f>'Acct Summary 7-8'!G13</f>
        <v>203641</v>
      </c>
      <c r="C2608" s="2" t="s">
        <v>569</v>
      </c>
      <c r="D2608" s="2" t="str">
        <f t="shared" si="39"/>
        <v>Error?</v>
      </c>
    </row>
    <row r="2609" spans="1:4" x14ac:dyDescent="0.2">
      <c r="A2609" s="5">
        <v>2548</v>
      </c>
      <c r="B2609" s="1832">
        <f>'Acct Summary 7-8'!G14</f>
        <v>253</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258327</v>
      </c>
      <c r="C2612" s="2" t="s">
        <v>569</v>
      </c>
      <c r="D2612" s="2" t="str">
        <f t="shared" si="39"/>
        <v>Error?</v>
      </c>
    </row>
    <row r="2613" spans="1:4" x14ac:dyDescent="0.2">
      <c r="A2613" s="5">
        <v>2552</v>
      </c>
      <c r="B2613" s="1832">
        <f>'Acct Summary 7-8'!G20</f>
        <v>55957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595581</v>
      </c>
      <c r="C2630" s="2" t="s">
        <v>569</v>
      </c>
      <c r="D2630" s="2" t="str">
        <f t="shared" si="40"/>
        <v>Error?</v>
      </c>
    </row>
    <row r="2631" spans="1:4" x14ac:dyDescent="0.2">
      <c r="A2631" s="5">
        <v>2570</v>
      </c>
      <c r="B2631" s="1832">
        <f>'Acct Summary 7-8'!E6</f>
        <v>690000</v>
      </c>
      <c r="C2631" s="2" t="s">
        <v>569</v>
      </c>
      <c r="D2631" s="2" t="str">
        <f t="shared" si="40"/>
        <v>Error?</v>
      </c>
    </row>
    <row r="2632" spans="1:4" x14ac:dyDescent="0.2">
      <c r="A2632" s="5">
        <v>2571</v>
      </c>
      <c r="B2632" s="1832">
        <f>'Acct Summary 7-8'!E8</f>
        <v>1285581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1249487</v>
      </c>
      <c r="C2634" s="2" t="s">
        <v>569</v>
      </c>
      <c r="D2634" s="2" t="str">
        <f t="shared" si="40"/>
        <v>Error?</v>
      </c>
    </row>
    <row r="2635" spans="1:4" x14ac:dyDescent="0.2">
      <c r="A2635" s="5">
        <v>2574</v>
      </c>
      <c r="B2635" s="1832">
        <f>'Acct Summary 7-8'!E17</f>
        <v>1249487</v>
      </c>
      <c r="C2635" s="2" t="s">
        <v>569</v>
      </c>
      <c r="D2635" s="2" t="str">
        <f t="shared" si="40"/>
        <v>Error?</v>
      </c>
    </row>
    <row r="2636" spans="1:4" x14ac:dyDescent="0.2">
      <c r="A2636" s="5">
        <v>2575</v>
      </c>
      <c r="B2636" s="1832">
        <f>'Acct Summary 7-8'!E20</f>
        <v>36094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521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521</v>
      </c>
      <c r="C2658" s="2" t="s">
        <v>569</v>
      </c>
      <c r="D2658" s="2" t="str">
        <f t="shared" si="40"/>
        <v>Error?</v>
      </c>
    </row>
    <row r="2659" spans="1:4" x14ac:dyDescent="0.2">
      <c r="A2659" s="5">
        <v>2598</v>
      </c>
      <c r="B2659" s="1832">
        <f>'Acct Summary 7-8'!H13</f>
        <v>7010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7010</v>
      </c>
      <c r="C2661" s="2" t="s">
        <v>569</v>
      </c>
      <c r="D2661" s="2" t="str">
        <f t="shared" si="40"/>
        <v>Error?</v>
      </c>
    </row>
    <row r="2662" spans="1:4" x14ac:dyDescent="0.2">
      <c r="A2662" s="5">
        <v>2601</v>
      </c>
      <c r="B2662" s="1832">
        <f>'Acct Summary 7-8'!H20</f>
        <v>-6489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5529</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7243</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1056</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1056</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2920235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2920483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89660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477477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2920483</v>
      </c>
      <c r="D2912" s="2" t="str">
        <f t="shared" si="44"/>
        <v>Error?</v>
      </c>
    </row>
    <row r="2913" spans="1:4" x14ac:dyDescent="0.2">
      <c r="A2913" s="5">
        <v>2852</v>
      </c>
      <c r="B2913" s="1832">
        <f>'Assets-Liab 5-6'!I41</f>
        <v>2920483</v>
      </c>
      <c r="C2913" s="2" t="s">
        <v>569</v>
      </c>
      <c r="D2913" s="2" t="str">
        <f t="shared" si="44"/>
        <v>Error?</v>
      </c>
    </row>
    <row r="2914" spans="1:4" x14ac:dyDescent="0.2">
      <c r="A2914" s="5">
        <v>2853</v>
      </c>
      <c r="B2914" s="1832">
        <f>'Assets-Liab 5-6'!L33</f>
        <v>477477</v>
      </c>
      <c r="D2914" s="2" t="str">
        <f t="shared" si="44"/>
        <v>Error?</v>
      </c>
    </row>
    <row r="2915" spans="1:4" x14ac:dyDescent="0.2">
      <c r="A2915" s="10">
        <v>2854</v>
      </c>
      <c r="B2915" s="1832"/>
      <c r="D2915" s="2" t="str">
        <f t="shared" si="44"/>
        <v>OK</v>
      </c>
    </row>
    <row r="2916" spans="1:4" x14ac:dyDescent="0.2">
      <c r="A2916" s="5">
        <v>2855</v>
      </c>
      <c r="B2916" s="1832">
        <f>'Assets-Liab 5-6'!L34</f>
        <v>477477</v>
      </c>
      <c r="C2916" s="2" t="s">
        <v>569</v>
      </c>
      <c r="D2916" s="2" t="str">
        <f t="shared" si="44"/>
        <v>Error?</v>
      </c>
    </row>
    <row r="2917" spans="1:4" x14ac:dyDescent="0.2">
      <c r="A2917" s="5">
        <v>2856</v>
      </c>
      <c r="B2917" s="1832">
        <f>'Assets-Liab 5-6'!L41</f>
        <v>477477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776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333102</v>
      </c>
      <c r="D2958" s="2" t="str">
        <f t="shared" si="45"/>
        <v>Error?</v>
      </c>
    </row>
    <row r="2959" spans="1:4" x14ac:dyDescent="0.2">
      <c r="A2959" s="5">
        <v>2898</v>
      </c>
      <c r="B2959" s="1832">
        <f>'Expenditures 15-22'!H82</f>
        <v>15630</v>
      </c>
      <c r="D2959" s="2" t="str">
        <f t="shared" si="45"/>
        <v>Error?</v>
      </c>
    </row>
    <row r="2960" spans="1:4" x14ac:dyDescent="0.2">
      <c r="A2960" s="5">
        <v>2899</v>
      </c>
      <c r="B2960" s="1832">
        <f>'Expenditures 15-22'!H83</f>
        <v>46600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776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333102</v>
      </c>
      <c r="C2976" s="2" t="s">
        <v>569</v>
      </c>
      <c r="D2976" s="2" t="str">
        <f t="shared" si="45"/>
        <v>Error?</v>
      </c>
    </row>
    <row r="2977" spans="1:4" x14ac:dyDescent="0.2">
      <c r="A2977" s="5">
        <v>2916</v>
      </c>
      <c r="B2977" s="1832">
        <f>'Expenditures 15-22'!K82</f>
        <v>15630</v>
      </c>
      <c r="C2977" s="2" t="s">
        <v>569</v>
      </c>
      <c r="D2977" s="2" t="str">
        <f t="shared" si="45"/>
        <v>Error?</v>
      </c>
    </row>
    <row r="2978" spans="1:4" x14ac:dyDescent="0.2">
      <c r="A2978" s="5">
        <v>2917</v>
      </c>
      <c r="B2978" s="1832">
        <f>'Expenditures 15-22'!K83</f>
        <v>46600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73408</v>
      </c>
      <c r="D3055" s="2" t="str">
        <f t="shared" si="46"/>
        <v>Error?</v>
      </c>
    </row>
    <row r="3056" spans="1:4" x14ac:dyDescent="0.2">
      <c r="A3056" s="5">
        <v>2995</v>
      </c>
      <c r="B3056" s="1832">
        <f>'Expenditures 15-22'!D10</f>
        <v>25101</v>
      </c>
      <c r="D3056" s="2" t="str">
        <f t="shared" si="46"/>
        <v>Error?</v>
      </c>
    </row>
    <row r="3057" spans="1:4" x14ac:dyDescent="0.2">
      <c r="A3057" s="5">
        <v>2996</v>
      </c>
      <c r="B3057" s="1832">
        <f>'Expenditures 15-22'!E10</f>
        <v>50419</v>
      </c>
      <c r="D3057" s="2" t="str">
        <f t="shared" si="46"/>
        <v>Error?</v>
      </c>
    </row>
    <row r="3058" spans="1:4" x14ac:dyDescent="0.2">
      <c r="A3058" s="5">
        <v>2997</v>
      </c>
      <c r="B3058" s="1832">
        <f>'Expenditures 15-22'!F10</f>
        <v>918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149846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86825</v>
      </c>
      <c r="C3225" s="2" t="s">
        <v>569</v>
      </c>
      <c r="D3225" s="2" t="str">
        <f t="shared" si="49"/>
        <v>Error?</v>
      </c>
    </row>
    <row r="3226" spans="1:4" x14ac:dyDescent="0.2">
      <c r="A3226" s="5">
        <v>3165</v>
      </c>
      <c r="B3226" s="1832">
        <f>'Acct Summary 7-8'!I8</f>
        <v>86825</v>
      </c>
      <c r="C3226" s="2" t="s">
        <v>569</v>
      </c>
      <c r="D3226" s="2" t="str">
        <f t="shared" si="49"/>
        <v>Error?</v>
      </c>
    </row>
    <row r="3227" spans="1:4" x14ac:dyDescent="0.2">
      <c r="A3227" s="5">
        <v>3166</v>
      </c>
      <c r="B3227" s="1832">
        <f>'Acct Summary 7-8'!I20</f>
        <v>86825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873772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107458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241352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55957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36094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-6489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86825</v>
      </c>
      <c r="C3320" s="2" t="s">
        <v>569</v>
      </c>
      <c r="D3320" s="2" t="str">
        <f t="shared" si="50"/>
        <v>Error?</v>
      </c>
    </row>
    <row r="3321" spans="1:4" x14ac:dyDescent="0.2">
      <c r="A3321" s="5">
        <v>3260</v>
      </c>
      <c r="B3321" s="1832">
        <f>'Acct Summary 7-8'!I79</f>
        <v>2833658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2920483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2482376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536762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15784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120078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56452</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2388</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3213840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6026</v>
      </c>
      <c r="D3387" s="2" t="str">
        <f t="shared" si="51"/>
        <v>Error?</v>
      </c>
    </row>
    <row r="3388" spans="1:4" x14ac:dyDescent="0.2">
      <c r="A3388" s="5">
        <v>3327</v>
      </c>
      <c r="B3388" s="1832">
        <f>'Expenditures 15-22'!D217</f>
        <v>38930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6026</v>
      </c>
      <c r="C3390" s="2" t="s">
        <v>569</v>
      </c>
      <c r="D3390" s="2" t="str">
        <f t="shared" si="51"/>
        <v>Error?</v>
      </c>
    </row>
    <row r="3391" spans="1:4" x14ac:dyDescent="0.2">
      <c r="A3391" s="5">
        <v>3330</v>
      </c>
      <c r="B3391" s="1832">
        <f>'Expenditures 15-22'!K217</f>
        <v>38930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102548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500895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97941</v>
      </c>
      <c r="D3417" s="2" t="str">
        <f t="shared" si="52"/>
        <v>Error?</v>
      </c>
    </row>
    <row r="3418" spans="1:4" x14ac:dyDescent="0.2">
      <c r="A3418" s="10">
        <v>3357</v>
      </c>
      <c r="B3418" s="1832"/>
      <c r="D3418" s="2" t="str">
        <f t="shared" si="52"/>
        <v>OK</v>
      </c>
    </row>
    <row r="3419" spans="1:4" x14ac:dyDescent="0.2">
      <c r="A3419" s="5">
        <v>3358</v>
      </c>
      <c r="B3419" s="1832">
        <f>'Assets-Liab 5-6'!F4</f>
        <v>104160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26646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1780</v>
      </c>
      <c r="D3425" s="2" t="str">
        <f t="shared" si="52"/>
        <v>Error?</v>
      </c>
    </row>
    <row r="3426" spans="1:4" x14ac:dyDescent="0.2">
      <c r="A3426" s="10">
        <v>3365</v>
      </c>
      <c r="B3426" s="1832"/>
      <c r="D3426" s="2" t="str">
        <f t="shared" si="52"/>
        <v>OK</v>
      </c>
    </row>
    <row r="3427" spans="1:4" x14ac:dyDescent="0.2">
      <c r="A3427" s="5">
        <v>3366</v>
      </c>
      <c r="B3427" s="1832">
        <f>'Assets-Liab 5-6'!I4</f>
        <v>248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387817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t="str">
        <f>'Expenditures 15-22'!C125</f>
        <v xml:space="preserve"> </v>
      </c>
      <c r="D3482" s="2" t="e">
        <f t="shared" si="53"/>
        <v>#VALUE!</v>
      </c>
    </row>
    <row r="3483" spans="1:4" x14ac:dyDescent="0.2">
      <c r="A3483" s="5">
        <v>3422</v>
      </c>
      <c r="B3483" s="1832" t="str">
        <f>'Expenditures 15-22'!D125</f>
        <v xml:space="preserve"> </v>
      </c>
      <c r="D3483" s="2" t="e">
        <f t="shared" si="53"/>
        <v>#VALUE!</v>
      </c>
    </row>
    <row r="3484" spans="1:4" x14ac:dyDescent="0.2">
      <c r="A3484" s="5">
        <v>3423</v>
      </c>
      <c r="B3484" s="1832" t="str">
        <f>'Expenditures 15-22'!E125</f>
        <v xml:space="preserve"> </v>
      </c>
      <c r="D3484" s="2" t="e">
        <f t="shared" si="53"/>
        <v>#VALUE!</v>
      </c>
    </row>
    <row r="3485" spans="1:4" x14ac:dyDescent="0.2">
      <c r="A3485" s="5">
        <v>3424</v>
      </c>
      <c r="B3485" s="1832" t="str">
        <f>'Expenditures 15-22'!F125</f>
        <v xml:space="preserve"> </v>
      </c>
      <c r="D3485" s="2" t="e">
        <f t="shared" si="53"/>
        <v>#VALUE!</v>
      </c>
    </row>
    <row r="3486" spans="1:4" x14ac:dyDescent="0.2">
      <c r="A3486" s="5">
        <v>3425</v>
      </c>
      <c r="B3486" s="1832" t="str">
        <f>'Expenditures 15-22'!G125</f>
        <v xml:space="preserve"> </v>
      </c>
      <c r="D3486" s="2" t="e">
        <f t="shared" si="53"/>
        <v>#VALUE!</v>
      </c>
    </row>
    <row r="3487" spans="1:4" x14ac:dyDescent="0.2">
      <c r="A3487" s="5">
        <v>3426</v>
      </c>
      <c r="B3487" s="1832" t="str">
        <f>'Expenditures 15-22'!H125</f>
        <v xml:space="preserve"> </v>
      </c>
      <c r="D3487" s="2" t="e">
        <f t="shared" si="53"/>
        <v>#VALUE!</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1454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104092</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105546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105546</v>
      </c>
      <c r="D3567" s="2" t="str">
        <f t="shared" si="54"/>
        <v>Error?</v>
      </c>
    </row>
    <row r="3568" spans="1:4" x14ac:dyDescent="0.2">
      <c r="A3568" s="5">
        <v>3507</v>
      </c>
      <c r="B3568" s="1832">
        <f>'Assets-Liab 5-6'!K41</f>
        <v>105546</v>
      </c>
      <c r="C3568" s="2" t="s">
        <v>569</v>
      </c>
      <c r="D3568" s="2" t="str">
        <f t="shared" si="54"/>
        <v>Error?</v>
      </c>
    </row>
    <row r="3569" spans="1:4" x14ac:dyDescent="0.2">
      <c r="A3569" s="5">
        <v>3508</v>
      </c>
      <c r="B3569" s="1832">
        <f>'Acct Summary 7-8'!K4</f>
        <v>11983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11983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11983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11983</v>
      </c>
      <c r="C3588" s="2" t="s">
        <v>569</v>
      </c>
      <c r="D3588" s="2" t="str">
        <f t="shared" si="55"/>
        <v>Error?</v>
      </c>
    </row>
    <row r="3589" spans="1:4" x14ac:dyDescent="0.2">
      <c r="A3589" s="5">
        <v>3528</v>
      </c>
      <c r="B3589" s="1832">
        <f>'Acct Summary 7-8'!K79</f>
        <v>93563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105546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11983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8561054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28906474</v>
      </c>
      <c r="C4122" s="2" t="s">
        <v>569</v>
      </c>
      <c r="D4122" s="2" t="str">
        <f t="shared" si="63"/>
        <v>Error?</v>
      </c>
    </row>
    <row r="4123" spans="1:4" x14ac:dyDescent="0.2">
      <c r="A4123" s="5">
        <v>4062</v>
      </c>
      <c r="B4123" s="1832">
        <f>'Acct Summary 7-8'!D10</f>
        <v>3227384</v>
      </c>
      <c r="C4123" s="2" t="s">
        <v>569</v>
      </c>
      <c r="D4123" s="2" t="str">
        <f t="shared" si="63"/>
        <v>Error?</v>
      </c>
    </row>
    <row r="4124" spans="1:4" x14ac:dyDescent="0.2">
      <c r="A4124" s="5">
        <v>4063</v>
      </c>
      <c r="B4124" s="1832">
        <f>'Acct Summary 7-8'!E10</f>
        <v>1285581</v>
      </c>
      <c r="C4124" s="2" t="s">
        <v>569</v>
      </c>
      <c r="D4124" s="2" t="str">
        <f t="shared" si="63"/>
        <v>Error?</v>
      </c>
    </row>
    <row r="4125" spans="1:4" x14ac:dyDescent="0.2">
      <c r="A4125" s="5">
        <v>4064</v>
      </c>
      <c r="B4125" s="1832">
        <f>'Acct Summary 7-8'!F10</f>
        <v>1693909</v>
      </c>
      <c r="C4125" s="2" t="s">
        <v>569</v>
      </c>
      <c r="D4125" s="2" t="str">
        <f t="shared" si="63"/>
        <v>Error?</v>
      </c>
    </row>
    <row r="4126" spans="1:4" x14ac:dyDescent="0.2">
      <c r="A4126" s="5">
        <v>4065</v>
      </c>
      <c r="B4126" s="1832">
        <f>'Acct Summary 7-8'!G10</f>
        <v>314284</v>
      </c>
      <c r="C4126" s="2" t="s">
        <v>569</v>
      </c>
      <c r="D4126" s="2" t="str">
        <f t="shared" si="63"/>
        <v>Error?</v>
      </c>
    </row>
    <row r="4127" spans="1:4" x14ac:dyDescent="0.2">
      <c r="A4127" s="5">
        <v>4066</v>
      </c>
      <c r="B4127" s="1832">
        <f>'Acct Summary 7-8'!H10</f>
        <v>521</v>
      </c>
      <c r="C4127" s="2" t="s">
        <v>569</v>
      </c>
      <c r="D4127" s="2" t="str">
        <f t="shared" si="63"/>
        <v>Error?</v>
      </c>
    </row>
    <row r="4128" spans="1:4" x14ac:dyDescent="0.2">
      <c r="A4128" s="5">
        <v>4067</v>
      </c>
      <c r="B4128" s="1832">
        <f>'Acct Summary 7-8'!I10</f>
        <v>86825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11983</v>
      </c>
      <c r="C4130" s="2" t="s">
        <v>569</v>
      </c>
      <c r="D4130" s="2" t="str">
        <f t="shared" si="63"/>
        <v>Error?</v>
      </c>
    </row>
    <row r="4131" spans="1:4" x14ac:dyDescent="0.2">
      <c r="A4131" s="5">
        <v>4070</v>
      </c>
      <c r="B4131" s="1832">
        <f>'Acct Summary 7-8'!C18</f>
        <v>8561054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28032702</v>
      </c>
      <c r="C4136" s="2" t="s">
        <v>569</v>
      </c>
      <c r="D4136" s="2" t="str">
        <f t="shared" si="63"/>
        <v>Error?</v>
      </c>
    </row>
    <row r="4137" spans="1:4" x14ac:dyDescent="0.2">
      <c r="A4137" s="5">
        <v>4076</v>
      </c>
      <c r="B4137" s="1832">
        <f>'Acct Summary 7-8'!D19</f>
        <v>3119926</v>
      </c>
      <c r="C4137" s="2" t="s">
        <v>569</v>
      </c>
      <c r="D4137" s="2" t="str">
        <f t="shared" si="63"/>
        <v>Error?</v>
      </c>
    </row>
    <row r="4138" spans="1:4" x14ac:dyDescent="0.2">
      <c r="A4138" s="5">
        <v>4077</v>
      </c>
      <c r="B4138" s="1832">
        <f>'Acct Summary 7-8'!E19</f>
        <v>1249487</v>
      </c>
      <c r="C4138" s="2" t="s">
        <v>569</v>
      </c>
      <c r="D4138" s="2" t="str">
        <f t="shared" si="63"/>
        <v>Error?</v>
      </c>
    </row>
    <row r="4139" spans="1:4" x14ac:dyDescent="0.2">
      <c r="A4139" s="5">
        <v>4078</v>
      </c>
      <c r="B4139" s="1832">
        <f>'Acct Summary 7-8'!F19</f>
        <v>1452557</v>
      </c>
      <c r="C4139" s="2" t="s">
        <v>569</v>
      </c>
      <c r="D4139" s="2" t="str">
        <f t="shared" si="63"/>
        <v>Error?</v>
      </c>
    </row>
    <row r="4140" spans="1:4" x14ac:dyDescent="0.2">
      <c r="A4140" s="5">
        <v>4079</v>
      </c>
      <c r="B4140" s="1832">
        <f>'Acct Summary 7-8'!G19</f>
        <v>258327</v>
      </c>
      <c r="C4140" s="2" t="s">
        <v>569</v>
      </c>
      <c r="D4140" s="2" t="str">
        <f t="shared" si="63"/>
        <v>Error?</v>
      </c>
    </row>
    <row r="4141" spans="1:4" x14ac:dyDescent="0.2">
      <c r="A4141" s="5">
        <v>4080</v>
      </c>
      <c r="B4141" s="1832">
        <f>'Acct Summary 7-8'!H19</f>
        <v>7010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9870000</v>
      </c>
      <c r="C4171" s="2" t="s">
        <v>569</v>
      </c>
      <c r="D4171" s="2" t="str">
        <f t="shared" si="64"/>
        <v>Error?</v>
      </c>
    </row>
    <row r="4172" spans="1:4" x14ac:dyDescent="0.2">
      <c r="A4172" s="5">
        <v>4111</v>
      </c>
      <c r="B4172" s="1832">
        <f>'Short-Term Long-Term Debt 24'!J49</f>
        <v>9718781</v>
      </c>
      <c r="C4172" s="2" t="s">
        <v>569</v>
      </c>
      <c r="D4172" s="2" t="str">
        <f t="shared" si="64"/>
        <v>Error?</v>
      </c>
    </row>
    <row r="4173" spans="1:4" x14ac:dyDescent="0.2">
      <c r="A4173" s="5">
        <v>4112</v>
      </c>
      <c r="B4173" s="1832">
        <f>'Short-Term Long-Term Debt 24'!H49</f>
        <v>775000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1438.3999999999999</v>
      </c>
      <c r="C4265" s="2" t="s">
        <v>569</v>
      </c>
      <c r="D4265" s="2" t="str">
        <f t="shared" si="65"/>
        <v>Error?</v>
      </c>
      <c r="E4265" s="125"/>
    </row>
    <row r="4266" spans="1:5" x14ac:dyDescent="0.2">
      <c r="A4266" s="12">
        <v>4205</v>
      </c>
      <c r="B4266" s="1832">
        <f>('FP Info 3'!F10)*100000</f>
        <v>396.5</v>
      </c>
      <c r="C4266" s="2" t="s">
        <v>569</v>
      </c>
      <c r="D4266" s="2" t="str">
        <f t="shared" si="65"/>
        <v>Error?</v>
      </c>
      <c r="E4266" s="125"/>
    </row>
    <row r="4267" spans="1:5" x14ac:dyDescent="0.2">
      <c r="A4267" s="12">
        <v>4206</v>
      </c>
      <c r="B4267" s="1832">
        <f>('FP Info 3'!H10)*100000</f>
        <v>153.5</v>
      </c>
      <c r="C4267" s="2" t="s">
        <v>569</v>
      </c>
      <c r="D4267" s="2" t="str">
        <f t="shared" si="65"/>
        <v>Error?</v>
      </c>
      <c r="E4267" s="125"/>
    </row>
    <row r="4268" spans="1:5" x14ac:dyDescent="0.2">
      <c r="A4268" s="12">
        <v>4207</v>
      </c>
      <c r="B4268" s="1832">
        <f>('FP Info 3'!J10)*100000</f>
        <v>1987.9999999999998</v>
      </c>
      <c r="C4268" s="2" t="s">
        <v>569</v>
      </c>
      <c r="D4268" s="2" t="str">
        <f t="shared" si="65"/>
        <v>Error?</v>
      </c>
    </row>
    <row r="4269" spans="1:5" x14ac:dyDescent="0.2">
      <c r="A4269" s="12">
        <v>4208</v>
      </c>
      <c r="B4269" s="1832">
        <f>'FP Info 3'!J16</f>
        <v>17485646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5506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11788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3376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13388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16487</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73716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762091712</v>
      </c>
      <c r="D4995" s="2" t="str">
        <f t="shared" si="77"/>
        <v>Error?</v>
      </c>
    </row>
    <row r="4996" spans="1:4" x14ac:dyDescent="0.2">
      <c r="A4996" s="12">
        <v>4935</v>
      </c>
      <c r="B4996" s="1832">
        <f>'FP Info 3'!H31</f>
        <v>52584328.128000006</v>
      </c>
      <c r="D4996" s="2" t="str">
        <f t="shared" si="77"/>
        <v>Error?</v>
      </c>
    </row>
    <row r="4997" spans="1:4" x14ac:dyDescent="0.2">
      <c r="A4997" s="12">
        <v>4936</v>
      </c>
      <c r="B4997" s="1832">
        <f>'FP Info 3'!H37</f>
        <v>9870000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10783173</v>
      </c>
      <c r="D5061" s="2" t="str">
        <f t="shared" si="78"/>
        <v>Error?</v>
      </c>
    </row>
    <row r="5062" spans="1:4" x14ac:dyDescent="0.2">
      <c r="A5062" s="10">
        <v>5001</v>
      </c>
      <c r="B5062" s="1832"/>
      <c r="D5062" s="2" t="str">
        <f t="shared" si="78"/>
        <v>OK</v>
      </c>
    </row>
    <row r="5063" spans="1:4" x14ac:dyDescent="0.2">
      <c r="A5063" s="5">
        <v>5002</v>
      </c>
      <c r="B5063" s="1832">
        <f>'Revenues 9-14'!C7</f>
        <v>10397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10793570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632556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632556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182764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182764</v>
      </c>
      <c r="C5090" s="2" t="s">
        <v>569</v>
      </c>
      <c r="D5090" s="2" t="str">
        <f t="shared" si="78"/>
        <v>Error?</v>
      </c>
    </row>
    <row r="5091" spans="1:4" x14ac:dyDescent="0.2">
      <c r="A5091" s="5">
        <v>5030</v>
      </c>
      <c r="B5091" s="1832">
        <f>'Revenues 9-14'!C70</f>
        <v>6571</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3390</v>
      </c>
      <c r="D5094" s="2" t="str">
        <f t="shared" si="78"/>
        <v>Error?</v>
      </c>
    </row>
    <row r="5095" spans="1:4" x14ac:dyDescent="0.2">
      <c r="A5095" s="5">
        <v>5034</v>
      </c>
      <c r="B5095" s="1832">
        <f>'Revenues 9-14'!C74</f>
        <v>613</v>
      </c>
      <c r="D5095" s="2" t="str">
        <f t="shared" si="78"/>
        <v>Error?</v>
      </c>
    </row>
    <row r="5096" spans="1:4" x14ac:dyDescent="0.2">
      <c r="A5096" s="5">
        <v>5035</v>
      </c>
      <c r="B5096" s="1832">
        <f>'Revenues 9-14'!C75</f>
        <v>201283</v>
      </c>
      <c r="C5096" s="2" t="s">
        <v>569</v>
      </c>
      <c r="D5096" s="2" t="str">
        <f t="shared" si="78"/>
        <v>Error?</v>
      </c>
    </row>
    <row r="5097" spans="1:4" x14ac:dyDescent="0.2">
      <c r="A5097" s="5">
        <v>5036</v>
      </c>
      <c r="B5097" s="1832">
        <f>'Revenues 9-14'!C77</f>
        <v>31191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27179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58370</v>
      </c>
      <c r="C5102" s="2" t="s">
        <v>569</v>
      </c>
      <c r="D5102" s="2" t="str">
        <f t="shared" si="78"/>
        <v>Error?</v>
      </c>
    </row>
    <row r="5103" spans="1:4" x14ac:dyDescent="0.2">
      <c r="A5103" s="5">
        <v>5042</v>
      </c>
      <c r="B5103" s="1832">
        <f>'Revenues 9-14'!C84</f>
        <v>237044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237044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142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20715</v>
      </c>
      <c r="D5119" s="2" t="str">
        <f t="shared" ref="D5119:D5182" si="79">IF(ISBLANK(B5119),"OK",IF(A5119-B5119=0,"OK","Error?"))</f>
        <v>Error?</v>
      </c>
    </row>
    <row r="5120" spans="1:4" x14ac:dyDescent="0.2">
      <c r="A5120" s="5">
        <v>5059</v>
      </c>
      <c r="B5120" s="1832">
        <f>'Revenues 9-14'!C108</f>
        <v>62072</v>
      </c>
      <c r="C5120" s="2" t="s">
        <v>569</v>
      </c>
      <c r="D5120" s="2" t="str">
        <f t="shared" si="79"/>
        <v>Error?</v>
      </c>
    </row>
    <row r="5121" spans="1:4" x14ac:dyDescent="0.2">
      <c r="A5121" s="5">
        <v>5060</v>
      </c>
      <c r="B5121" s="1832">
        <f>'Revenues 9-14'!C109</f>
        <v>12167659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6630291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6630291</v>
      </c>
      <c r="C5132" s="2" t="s">
        <v>569</v>
      </c>
      <c r="D5132" s="2" t="str">
        <f t="shared" si="79"/>
        <v>Error?</v>
      </c>
    </row>
    <row r="5133" spans="1:4" x14ac:dyDescent="0.2">
      <c r="A5133" s="5">
        <v>5072</v>
      </c>
      <c r="B5133" s="1832">
        <f>'Revenues 9-14'!C125</f>
        <v>369792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15819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385611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3379</v>
      </c>
      <c r="D5167" s="2" t="str">
        <f t="shared" si="79"/>
        <v>Error?</v>
      </c>
    </row>
    <row r="5168" spans="1:4" x14ac:dyDescent="0.2">
      <c r="A5168" s="5">
        <v>5107</v>
      </c>
      <c r="B5168" s="1832">
        <f>'Revenues 9-14'!C148</f>
        <v>47080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436070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7066361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233542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25530</v>
      </c>
      <c r="D5241" s="2" t="str">
        <f t="shared" si="80"/>
        <v>Error?</v>
      </c>
    </row>
    <row r="5242" spans="1:4" x14ac:dyDescent="0.2">
      <c r="A5242" s="5">
        <v>5181</v>
      </c>
      <c r="B5242" s="1832">
        <f>'Revenues 9-14'!C194</f>
        <v>12644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271716</v>
      </c>
      <c r="C5246" s="2" t="s">
        <v>569</v>
      </c>
      <c r="D5246" s="2" t="str">
        <f t="shared" si="80"/>
        <v>Error?</v>
      </c>
    </row>
    <row r="5247" spans="1:4" x14ac:dyDescent="0.2">
      <c r="A5247" s="5">
        <v>5186</v>
      </c>
      <c r="B5247" s="1832">
        <f>'Revenues 9-14'!C200</f>
        <v>344229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3376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344229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387681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387681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1111400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1111400</v>
      </c>
      <c r="C5326" s="2" t="s">
        <v>569</v>
      </c>
      <c r="D5326" s="2" t="str">
        <f t="shared" si="82"/>
        <v>Error?</v>
      </c>
    </row>
    <row r="5327" spans="1:5" x14ac:dyDescent="0.2">
      <c r="A5327" s="5">
        <v>5266</v>
      </c>
      <c r="B5327" s="1832">
        <f>'Revenues 9-14'!C268</f>
        <v>20345420</v>
      </c>
      <c r="C5327" s="2" t="s">
        <v>569</v>
      </c>
      <c r="D5327" s="2" t="str">
        <f t="shared" si="82"/>
        <v>Error?</v>
      </c>
    </row>
    <row r="5328" spans="1:5" x14ac:dyDescent="0.2">
      <c r="A5328" s="5">
        <v>5267</v>
      </c>
      <c r="B5328" s="1832">
        <f>'Revenues 9-14'!D5</f>
        <v>3009341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3009341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74907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74907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41238</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5815</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13775</v>
      </c>
      <c r="D5354" s="2" t="str">
        <f t="shared" si="82"/>
        <v>Error?</v>
      </c>
    </row>
    <row r="5355" spans="1:4" x14ac:dyDescent="0.2">
      <c r="A5355" s="5">
        <v>5294</v>
      </c>
      <c r="B5355" s="1832">
        <f>'Revenues 9-14'!D108</f>
        <v>76649</v>
      </c>
      <c r="C5355" s="2" t="s">
        <v>569</v>
      </c>
      <c r="D5355" s="2" t="str">
        <f t="shared" si="82"/>
        <v>Error?</v>
      </c>
    </row>
    <row r="5356" spans="1:4" x14ac:dyDescent="0.2">
      <c r="A5356" s="5">
        <v>5295</v>
      </c>
      <c r="B5356" s="1832">
        <f>'Revenues 9-14'!D109</f>
        <v>3160897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66487</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66487</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3227384</v>
      </c>
      <c r="C5508" s="2" t="s">
        <v>569</v>
      </c>
      <c r="D5508" s="2" t="str">
        <f t="shared" si="85"/>
        <v>Error?</v>
      </c>
    </row>
    <row r="5509" spans="1:4" x14ac:dyDescent="0.2">
      <c r="A5509" s="5">
        <v>5448</v>
      </c>
      <c r="B5509" s="1832">
        <f>'Revenues 9-14'!E5</f>
        <v>545462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545462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7290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7290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42829</v>
      </c>
      <c r="D5525" s="2" t="str">
        <f t="shared" si="85"/>
        <v>Error?</v>
      </c>
    </row>
    <row r="5526" spans="1:4" x14ac:dyDescent="0.2">
      <c r="A5526" s="5">
        <v>5465</v>
      </c>
      <c r="B5526" s="1832">
        <f>'Revenues 9-14'!E108</f>
        <v>42829</v>
      </c>
      <c r="C5526" s="2" t="s">
        <v>569</v>
      </c>
      <c r="D5526" s="2" t="str">
        <f t="shared" si="85"/>
        <v>Error?</v>
      </c>
    </row>
    <row r="5527" spans="1:4" x14ac:dyDescent="0.2">
      <c r="A5527" s="5">
        <v>5466</v>
      </c>
      <c r="B5527" s="1832">
        <f>'Revenues 9-14'!E109</f>
        <v>595581</v>
      </c>
      <c r="C5527" s="2" t="s">
        <v>569</v>
      </c>
      <c r="D5527" s="2" t="str">
        <f t="shared" si="85"/>
        <v>Error?</v>
      </c>
    </row>
    <row r="5528" spans="1:4" x14ac:dyDescent="0.2">
      <c r="A5528" s="5">
        <v>5467</v>
      </c>
      <c r="B5528" s="1832">
        <f>'Revenues 9-14'!E117</f>
        <v>690000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690000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690000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1285581</v>
      </c>
      <c r="C5552" s="2" t="s">
        <v>569</v>
      </c>
      <c r="D5552" s="2" t="str">
        <f t="shared" si="85"/>
        <v>Error?</v>
      </c>
    </row>
    <row r="5553" spans="1:4" x14ac:dyDescent="0.2">
      <c r="A5553" s="5">
        <v>5492</v>
      </c>
      <c r="B5553" s="1832">
        <f>'Revenues 9-14'!F5</f>
        <v>981093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981093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24462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24462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715</v>
      </c>
      <c r="D5586" s="2" t="str">
        <f t="shared" si="86"/>
        <v>Error?</v>
      </c>
    </row>
    <row r="5587" spans="1:4" x14ac:dyDescent="0.2">
      <c r="A5587" s="5">
        <v>5526</v>
      </c>
      <c r="B5587" s="1832">
        <f>'Revenues 9-14'!F108</f>
        <v>715</v>
      </c>
      <c r="C5587" s="2" t="s">
        <v>569</v>
      </c>
      <c r="D5587" s="2" t="str">
        <f t="shared" si="86"/>
        <v>Error?</v>
      </c>
    </row>
    <row r="5588" spans="1:4" x14ac:dyDescent="0.2">
      <c r="A5588" s="5">
        <v>5527</v>
      </c>
      <c r="B5588" s="1832">
        <f>'Revenues 9-14'!F109</f>
        <v>1006270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200000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57504</v>
      </c>
      <c r="D5615" s="2" t="str">
        <f t="shared" si="86"/>
        <v>Error?</v>
      </c>
    </row>
    <row r="5616" spans="1:4" x14ac:dyDescent="0.2">
      <c r="A5616" s="10">
        <v>5555</v>
      </c>
      <c r="B5616" s="1832"/>
      <c r="D5616" s="2" t="str">
        <f t="shared" si="86"/>
        <v>OK</v>
      </c>
    </row>
    <row r="5617" spans="1:5" x14ac:dyDescent="0.2">
      <c r="A5617" s="5">
        <v>5556</v>
      </c>
      <c r="B5617" s="1832">
        <f>'Revenues 9-14'!F153</f>
        <v>430135</v>
      </c>
      <c r="D5617" s="2" t="str">
        <f t="shared" si="86"/>
        <v>Error?</v>
      </c>
    </row>
    <row r="5618" spans="1:5" x14ac:dyDescent="0.2">
      <c r="A5618" s="5">
        <v>5557</v>
      </c>
      <c r="B5618" s="1832">
        <f>'Revenues 9-14'!F155</f>
        <v>487639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487639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687639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1693909</v>
      </c>
      <c r="C5720" s="2" t="s">
        <v>569</v>
      </c>
      <c r="D5720" s="2" t="str">
        <f t="shared" si="88"/>
        <v>Error?</v>
      </c>
    </row>
    <row r="5721" spans="1:4" x14ac:dyDescent="0.2">
      <c r="A5721" s="5">
        <v>5660</v>
      </c>
      <c r="B5721" s="1832">
        <f>'Revenues 9-14'!G5</f>
        <v>227098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227098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24031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24031</v>
      </c>
      <c r="C5730" s="2" t="s">
        <v>569</v>
      </c>
      <c r="D5730" s="2" t="str">
        <f t="shared" si="88"/>
        <v>Error?</v>
      </c>
    </row>
    <row r="5731" spans="1:4" x14ac:dyDescent="0.2">
      <c r="A5731" s="5">
        <v>5670</v>
      </c>
      <c r="B5731" s="1832">
        <f>'Revenues 9-14'!G65</f>
        <v>3155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3155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60000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60000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60000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314284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521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521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521</v>
      </c>
      <c r="C5915" s="2" t="s">
        <v>569</v>
      </c>
      <c r="D5915" s="2" t="str">
        <f t="shared" si="91"/>
        <v>Error?</v>
      </c>
    </row>
    <row r="5916" spans="1:4" x14ac:dyDescent="0.2">
      <c r="A5916" s="5">
        <v>5855</v>
      </c>
      <c r="B5916" s="1832">
        <f>'Revenues 9-14'!I5</f>
        <v>10397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10397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76428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76428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86825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10397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10397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1586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1586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11983</v>
      </c>
      <c r="C6023" s="2" t="s">
        <v>569</v>
      </c>
      <c r="D6023" s="2" t="str">
        <f t="shared" si="93"/>
        <v>Error?</v>
      </c>
    </row>
    <row r="6024" spans="1:5" x14ac:dyDescent="0.2">
      <c r="A6024" s="5">
        <v>5963</v>
      </c>
      <c r="B6024" s="1832">
        <f>'Revenues 9-14'!G109</f>
        <v>254284</v>
      </c>
      <c r="C6024" s="2" t="s">
        <v>569</v>
      </c>
      <c r="D6024" s="2" t="str">
        <f t="shared" si="93"/>
        <v>Error?</v>
      </c>
    </row>
    <row r="6025" spans="1:5" x14ac:dyDescent="0.2">
      <c r="A6025" s="5">
        <v>5964</v>
      </c>
      <c r="B6025" s="1832">
        <f>'Revenues 9-14'!H109</f>
        <v>521</v>
      </c>
      <c r="C6025" s="2" t="s">
        <v>569</v>
      </c>
      <c r="D6025" s="2" t="str">
        <f t="shared" si="93"/>
        <v>Error?</v>
      </c>
    </row>
    <row r="6026" spans="1:5" x14ac:dyDescent="0.2">
      <c r="A6026" s="5">
        <v>5965</v>
      </c>
      <c r="B6026" s="1832">
        <f>'Revenues 9-14'!I109</f>
        <v>86825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11983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190709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44903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1868.74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65678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65678</v>
      </c>
      <c r="D6215" s="2" t="str">
        <f t="shared" si="96"/>
        <v>Error?</v>
      </c>
      <c r="E6215" s="2" t="s">
        <v>189</v>
      </c>
    </row>
    <row r="6216" spans="1:5" x14ac:dyDescent="0.2">
      <c r="A6216">
        <v>6155</v>
      </c>
      <c r="B6216" s="1832">
        <f>'Assets-Liab 5-6'!J41</f>
        <v>65678</v>
      </c>
      <c r="D6216" s="2" t="str">
        <f t="shared" si="96"/>
        <v>Error?</v>
      </c>
      <c r="E6216" s="2" t="s">
        <v>189</v>
      </c>
    </row>
    <row r="6217" spans="1:5" x14ac:dyDescent="0.2">
      <c r="A6217">
        <v>6156</v>
      </c>
      <c r="B6217" s="1832">
        <f>'Assets-Liab 5-6'!J4</f>
        <v>23</v>
      </c>
      <c r="D6217" s="2" t="str">
        <f t="shared" si="96"/>
        <v>Error?</v>
      </c>
      <c r="E6217" s="2" t="s">
        <v>189</v>
      </c>
    </row>
    <row r="6218" spans="1:5" x14ac:dyDescent="0.2">
      <c r="A6218">
        <v>6157</v>
      </c>
      <c r="B6218" s="1832">
        <f>'Assets-Liab 5-6'!J5</f>
        <v>65655</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11379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11379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11379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11379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11379</v>
      </c>
      <c r="D6263" s="2" t="str">
        <f t="shared" si="96"/>
        <v>Error?</v>
      </c>
      <c r="E6263" s="2" t="s">
        <v>189</v>
      </c>
    </row>
    <row r="6264" spans="1:5" x14ac:dyDescent="0.2">
      <c r="A6264">
        <v>6203</v>
      </c>
      <c r="B6264" s="1832">
        <f>'Acct Summary 7-8'!J79</f>
        <v>54299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65678</v>
      </c>
      <c r="D6266" s="2" t="str">
        <f t="shared" si="96"/>
        <v>Error?</v>
      </c>
      <c r="E6266" s="2" t="s">
        <v>189</v>
      </c>
    </row>
    <row r="6267" spans="1:5" x14ac:dyDescent="0.2">
      <c r="A6267">
        <v>6206</v>
      </c>
      <c r="B6267" s="1832">
        <f>'Acct Summary 7-8'!C82</f>
        <v>873772</v>
      </c>
      <c r="D6267" s="2" t="str">
        <f t="shared" si="96"/>
        <v>Error?</v>
      </c>
      <c r="E6267" s="2" t="s">
        <v>189</v>
      </c>
    </row>
    <row r="6268" spans="1:5" x14ac:dyDescent="0.2">
      <c r="A6268">
        <v>6207</v>
      </c>
      <c r="B6268" s="1832">
        <f>'Acct Summary 7-8'!D82</f>
        <v>107458</v>
      </c>
      <c r="D6268" s="2" t="str">
        <f t="shared" si="96"/>
        <v>Error?</v>
      </c>
      <c r="E6268" s="2" t="s">
        <v>189</v>
      </c>
    </row>
    <row r="6269" spans="1:5" x14ac:dyDescent="0.2">
      <c r="A6269">
        <v>6208</v>
      </c>
      <c r="B6269" s="1832">
        <f>'Acct Summary 7-8'!E82</f>
        <v>36094</v>
      </c>
      <c r="D6269" s="2" t="str">
        <f t="shared" si="96"/>
        <v>Error?</v>
      </c>
      <c r="E6269" s="2" t="s">
        <v>189</v>
      </c>
    </row>
    <row r="6270" spans="1:5" x14ac:dyDescent="0.2">
      <c r="A6270">
        <v>6209</v>
      </c>
      <c r="B6270" s="1832">
        <f>'Acct Summary 7-8'!F82</f>
        <v>241352</v>
      </c>
      <c r="D6270" s="2" t="str">
        <f t="shared" si="96"/>
        <v>Error?</v>
      </c>
      <c r="E6270" s="2" t="s">
        <v>189</v>
      </c>
    </row>
    <row r="6271" spans="1:5" x14ac:dyDescent="0.2">
      <c r="A6271">
        <v>6210</v>
      </c>
      <c r="B6271" s="1832">
        <f>'Acct Summary 7-8'!G82</f>
        <v>55957</v>
      </c>
      <c r="D6271" s="2" t="str">
        <f t="shared" ref="D6271:D6334" si="97">IF(ISBLANK(B6271),"OK",IF(A6271-B6271=0,"OK","Error?"))</f>
        <v>Error?</v>
      </c>
      <c r="E6271" s="2" t="s">
        <v>189</v>
      </c>
    </row>
    <row r="6272" spans="1:5" x14ac:dyDescent="0.2">
      <c r="A6272">
        <v>6211</v>
      </c>
      <c r="B6272" s="1832">
        <f>'Acct Summary 7-8'!H82</f>
        <v>-6489</v>
      </c>
      <c r="D6272" s="2" t="str">
        <f t="shared" si="97"/>
        <v>Error?</v>
      </c>
      <c r="E6272" s="2" t="s">
        <v>189</v>
      </c>
    </row>
    <row r="6273" spans="1:5" x14ac:dyDescent="0.2">
      <c r="A6273">
        <v>6212</v>
      </c>
      <c r="B6273" s="1832">
        <f>'Acct Summary 7-8'!I82</f>
        <v>86825</v>
      </c>
      <c r="D6273" s="2" t="str">
        <f t="shared" si="97"/>
        <v>Error?</v>
      </c>
      <c r="E6273" s="2" t="s">
        <v>189</v>
      </c>
    </row>
    <row r="6274" spans="1:5" x14ac:dyDescent="0.2">
      <c r="A6274">
        <v>6213</v>
      </c>
      <c r="B6274" s="1832">
        <f>'Acct Summary 7-8'!J82</f>
        <v>11379</v>
      </c>
      <c r="D6274" s="2" t="str">
        <f t="shared" si="97"/>
        <v>Error?</v>
      </c>
      <c r="E6274" s="2" t="s">
        <v>189</v>
      </c>
    </row>
    <row r="6275" spans="1:5" x14ac:dyDescent="0.2">
      <c r="A6275">
        <v>6214</v>
      </c>
      <c r="B6275" s="1832">
        <f>'Acct Summary 7-8'!K82</f>
        <v>11983</v>
      </c>
      <c r="D6275" s="2" t="str">
        <f t="shared" si="97"/>
        <v>Error?</v>
      </c>
      <c r="E6275" s="2" t="s">
        <v>189</v>
      </c>
    </row>
    <row r="6276" spans="1:5" x14ac:dyDescent="0.2">
      <c r="A6276">
        <v>6215</v>
      </c>
      <c r="B6276" s="1832">
        <f>'Acct Summary 7-8'!C83</f>
        <v>9.7620935747545823E-2</v>
      </c>
      <c r="D6276" s="2" t="str">
        <f t="shared" si="97"/>
        <v>Error?</v>
      </c>
      <c r="E6276" s="2" t="s">
        <v>189</v>
      </c>
    </row>
    <row r="6277" spans="1:5" x14ac:dyDescent="0.2">
      <c r="A6277">
        <v>6216</v>
      </c>
      <c r="B6277" s="1832">
        <f>'Acct Summary 7-8'!D83</f>
        <v>2.5967360165482779E-2</v>
      </c>
      <c r="D6277" s="2" t="str">
        <f t="shared" si="97"/>
        <v>Error?</v>
      </c>
      <c r="E6277" s="2" t="s">
        <v>189</v>
      </c>
    </row>
    <row r="6278" spans="1:5" x14ac:dyDescent="0.2">
      <c r="A6278">
        <v>6217</v>
      </c>
      <c r="B6278" s="1832">
        <f>'Acct Summary 7-8'!E83</f>
        <v>0.23868693748801406</v>
      </c>
      <c r="D6278" s="2" t="str">
        <f t="shared" si="97"/>
        <v>Error?</v>
      </c>
      <c r="E6278" s="2" t="s">
        <v>189</v>
      </c>
    </row>
    <row r="6279" spans="1:5" x14ac:dyDescent="0.2">
      <c r="A6279">
        <v>6218</v>
      </c>
      <c r="B6279" s="1832">
        <f>'Acct Summary 7-8'!F83</f>
        <v>0.16348372220935226</v>
      </c>
      <c r="D6279" s="2" t="str">
        <f t="shared" si="97"/>
        <v>Error?</v>
      </c>
      <c r="E6279" s="2" t="s">
        <v>189</v>
      </c>
    </row>
    <row r="6280" spans="1:5" x14ac:dyDescent="0.2">
      <c r="A6280">
        <v>6219</v>
      </c>
      <c r="B6280" s="1832">
        <f>'Acct Summary 7-8'!G83</f>
        <v>0.17593553295981185</v>
      </c>
      <c r="D6280" s="2" t="str">
        <f t="shared" si="97"/>
        <v>Error?</v>
      </c>
      <c r="E6280" s="2" t="s">
        <v>189</v>
      </c>
    </row>
    <row r="6281" spans="1:5" x14ac:dyDescent="0.2">
      <c r="A6281">
        <v>6220</v>
      </c>
      <c r="B6281" s="1832">
        <f>'Acct Summary 7-8'!H83</f>
        <v>-0.22076684924982137</v>
      </c>
      <c r="D6281" s="2" t="str">
        <f t="shared" si="97"/>
        <v>Error?</v>
      </c>
      <c r="E6281" s="2" t="s">
        <v>189</v>
      </c>
    </row>
    <row r="6282" spans="1:5" x14ac:dyDescent="0.2">
      <c r="A6282">
        <v>6221</v>
      </c>
      <c r="B6282" s="1832">
        <f>'Acct Summary 7-8'!I83</f>
        <v>2.972967142763714E-2</v>
      </c>
      <c r="D6282" s="2" t="str">
        <f t="shared" si="97"/>
        <v>Error?</v>
      </c>
      <c r="E6282" s="2" t="s">
        <v>189</v>
      </c>
    </row>
    <row r="6283" spans="1:5" x14ac:dyDescent="0.2">
      <c r="A6283">
        <v>6222</v>
      </c>
      <c r="B6283" s="1832">
        <f>'Acct Summary 7-8'!J83</f>
        <v>0.17325436219129695</v>
      </c>
      <c r="D6283" s="2" t="str">
        <f t="shared" si="97"/>
        <v>Error?</v>
      </c>
      <c r="E6283" s="2" t="s">
        <v>189</v>
      </c>
    </row>
    <row r="6284" spans="1:5" x14ac:dyDescent="0.2">
      <c r="A6284">
        <v>6223</v>
      </c>
      <c r="B6284" s="1832">
        <f>'Acct Summary 7-8'!K83</f>
        <v>0.11353343565838592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10397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10397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982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982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41215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11379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148286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680650</v>
      </c>
      <c r="D6880" s="2" t="str">
        <f t="shared" si="106"/>
        <v>Error?</v>
      </c>
    </row>
    <row r="6881" spans="1:4" x14ac:dyDescent="0.2">
      <c r="A6881">
        <v>6820</v>
      </c>
      <c r="B6881" s="1832">
        <f>'Expenditures 15-22'!K22</f>
        <v>680650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375</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375</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472</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466</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938</v>
      </c>
      <c r="D6924" s="2" t="str">
        <f t="shared" si="107"/>
        <v>Error?</v>
      </c>
    </row>
    <row r="6925" spans="1:4" x14ac:dyDescent="0.2">
      <c r="A6925">
        <v>6864</v>
      </c>
      <c r="B6925" s="1832">
        <f>'Expenditures 15-22'!J47</f>
        <v>0</v>
      </c>
      <c r="D6925" s="2" t="str">
        <f t="shared" si="107"/>
        <v>Error?</v>
      </c>
    </row>
    <row r="6926" spans="1:4" x14ac:dyDescent="0.2">
      <c r="A6926">
        <v>6865</v>
      </c>
      <c r="B6926" s="1832" t="str">
        <f>'Expenditures 15-22'!I49</f>
        <v xml:space="preserve"> </v>
      </c>
      <c r="D6926" s="2" t="e">
        <f t="shared" si="107"/>
        <v>#VALUE!</v>
      </c>
    </row>
    <row r="6927" spans="1:4" x14ac:dyDescent="0.2">
      <c r="A6927">
        <v>6866</v>
      </c>
      <c r="B6927" s="1832">
        <f>'Expenditures 15-22'!J49</f>
        <v>0</v>
      </c>
      <c r="D6927" s="2" t="str">
        <f t="shared" si="107"/>
        <v>Error?</v>
      </c>
    </row>
    <row r="6928" spans="1:4" x14ac:dyDescent="0.2">
      <c r="A6928">
        <v>6867</v>
      </c>
      <c r="B6928" s="1832">
        <f>'Expenditures 15-22'!I50</f>
        <v>53</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1714</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219281</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219281</v>
      </c>
      <c r="D6940" s="2" t="str">
        <f t="shared" si="107"/>
        <v>Error?</v>
      </c>
    </row>
    <row r="6941" spans="1:4" x14ac:dyDescent="0.2">
      <c r="A6941" s="126">
        <v>6880</v>
      </c>
      <c r="B6941" s="1832"/>
      <c r="D6941" s="2" t="str">
        <f t="shared" si="107"/>
        <v>OK</v>
      </c>
    </row>
    <row r="6942" spans="1:4" x14ac:dyDescent="0.2">
      <c r="A6942">
        <v>6881</v>
      </c>
      <c r="B6942" s="1832">
        <f>'Expenditures 15-22'!I53</f>
        <v>1767</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3080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11217</v>
      </c>
      <c r="D6991" s="2" t="str">
        <f t="shared" si="108"/>
        <v>Error?</v>
      </c>
    </row>
    <row r="6992" spans="1:4" x14ac:dyDescent="0.2">
      <c r="A6992">
        <v>6931</v>
      </c>
      <c r="B6992" s="1832">
        <f>'Expenditures 15-22'!K90</f>
        <v>11217</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11217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3080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15821</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11379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11379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128577</v>
      </c>
      <c r="D7263" s="2" t="str">
        <f t="shared" si="112"/>
        <v>Error?</v>
      </c>
    </row>
    <row r="7264" spans="1:4" x14ac:dyDescent="0.2">
      <c r="A7264">
        <f t="shared" si="113"/>
        <v>7203</v>
      </c>
      <c r="B7264" s="1832">
        <f>'Expenditures 15-22'!D17</f>
        <v>13134</v>
      </c>
      <c r="D7264" s="2" t="str">
        <f t="shared" si="112"/>
        <v>Error?</v>
      </c>
    </row>
    <row r="7265" spans="1:5" x14ac:dyDescent="0.2">
      <c r="A7265">
        <f t="shared" si="113"/>
        <v>7204</v>
      </c>
      <c r="B7265" s="1832">
        <f>'Expenditures 15-22'!E17</f>
        <v>3969</v>
      </c>
      <c r="D7265" s="2" t="str">
        <f t="shared" si="112"/>
        <v>Error?</v>
      </c>
    </row>
    <row r="7266" spans="1:5" x14ac:dyDescent="0.2">
      <c r="A7266">
        <f t="shared" si="113"/>
        <v>7205</v>
      </c>
      <c r="B7266" s="1832">
        <f>'Expenditures 15-22'!F17</f>
        <v>2606</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463943</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463943</v>
      </c>
      <c r="D7609" s="2" t="str">
        <f t="shared" si="122"/>
        <v>Error?</v>
      </c>
      <c r="E7609" s="2" t="s">
        <v>19</v>
      </c>
    </row>
    <row r="7610" spans="1:5" x14ac:dyDescent="0.2">
      <c r="A7610">
        <f t="shared" si="123"/>
        <v>7549</v>
      </c>
      <c r="B7610" s="1832">
        <f>'Cap Outlay Deprec 26'!H9</f>
        <v>213507</v>
      </c>
      <c r="D7610" s="2" t="str">
        <f t="shared" si="122"/>
        <v>Error?</v>
      </c>
      <c r="E7610" s="2" t="s">
        <v>19</v>
      </c>
    </row>
    <row r="7611" spans="1:5" x14ac:dyDescent="0.2">
      <c r="A7611">
        <f t="shared" si="123"/>
        <v>7550</v>
      </c>
      <c r="B7611" s="1832">
        <f>'Cap Outlay Deprec 26'!I9</f>
        <v>23197</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236704</v>
      </c>
      <c r="D7613" s="2" t="str">
        <f t="shared" si="122"/>
        <v>Error?</v>
      </c>
      <c r="E7613" s="2" t="s">
        <v>19</v>
      </c>
    </row>
    <row r="7614" spans="1:5" x14ac:dyDescent="0.2">
      <c r="A7614">
        <f t="shared" si="123"/>
        <v>7553</v>
      </c>
      <c r="B7614" s="1832">
        <f>'Cap Outlay Deprec 26'!L9</f>
        <v>227239</v>
      </c>
      <c r="D7614" s="2" t="str">
        <f t="shared" si="122"/>
        <v>Error?</v>
      </c>
      <c r="E7614" s="2" t="s">
        <v>19</v>
      </c>
    </row>
    <row r="7615" spans="1:5" x14ac:dyDescent="0.2">
      <c r="A7615">
        <f t="shared" si="123"/>
        <v>7554</v>
      </c>
      <c r="B7615" s="1832">
        <f>'Cap Outlay Deprec 26'!C14</f>
        <v>1692370</v>
      </c>
      <c r="D7615" s="2" t="str">
        <f t="shared" ref="D7615:D7678" si="124">IF(ISBLANK(B7615),"OK",IF(A7615-B7615=0,"OK","Error?"))</f>
        <v>Error?</v>
      </c>
      <c r="E7615" s="2" t="s">
        <v>19</v>
      </c>
    </row>
    <row r="7616" spans="1:5" x14ac:dyDescent="0.2">
      <c r="A7616">
        <f t="shared" si="123"/>
        <v>7555</v>
      </c>
      <c r="B7616" s="1832">
        <f>'Cap Outlay Deprec 26'!D14</f>
        <v>204092</v>
      </c>
      <c r="D7616" s="2" t="str">
        <f t="shared" si="124"/>
        <v>Error?</v>
      </c>
      <c r="E7616" s="2" t="s">
        <v>19</v>
      </c>
    </row>
    <row r="7617" spans="1:5" x14ac:dyDescent="0.2">
      <c r="A7617">
        <f t="shared" si="123"/>
        <v>7556</v>
      </c>
      <c r="B7617" s="1832">
        <f>'Cap Outlay Deprec 26'!E14</f>
        <v>215502</v>
      </c>
      <c r="D7617" s="2" t="str">
        <f t="shared" si="124"/>
        <v>Error?</v>
      </c>
      <c r="E7617" s="2" t="s">
        <v>19</v>
      </c>
    </row>
    <row r="7618" spans="1:5" x14ac:dyDescent="0.2">
      <c r="A7618">
        <f t="shared" si="123"/>
        <v>7557</v>
      </c>
      <c r="B7618" s="1832">
        <f>'Cap Outlay Deprec 26'!F14</f>
        <v>1680960</v>
      </c>
      <c r="D7618" s="2" t="str">
        <f t="shared" si="124"/>
        <v>Error?</v>
      </c>
      <c r="E7618" s="2" t="s">
        <v>19</v>
      </c>
    </row>
    <row r="7619" spans="1:5" x14ac:dyDescent="0.2">
      <c r="A7619">
        <f t="shared" si="123"/>
        <v>7558</v>
      </c>
      <c r="B7619" s="1832">
        <f>'Cap Outlay Deprec 26'!H14</f>
        <v>1102777</v>
      </c>
      <c r="D7619" s="2" t="str">
        <f t="shared" si="124"/>
        <v>Error?</v>
      </c>
      <c r="E7619" s="2" t="s">
        <v>19</v>
      </c>
    </row>
    <row r="7620" spans="1:5" x14ac:dyDescent="0.2">
      <c r="A7620">
        <f t="shared" si="123"/>
        <v>7559</v>
      </c>
      <c r="B7620" s="1832">
        <f>'Cap Outlay Deprec 26'!I14</f>
        <v>315592</v>
      </c>
      <c r="D7620" s="2" t="str">
        <f t="shared" si="124"/>
        <v>Error?</v>
      </c>
      <c r="E7620" s="2" t="s">
        <v>19</v>
      </c>
    </row>
    <row r="7621" spans="1:5" x14ac:dyDescent="0.2">
      <c r="A7621">
        <f t="shared" si="123"/>
        <v>7560</v>
      </c>
      <c r="B7621" s="1832">
        <f>'Cap Outlay Deprec 26'!J14</f>
        <v>215502</v>
      </c>
      <c r="D7621" s="2" t="str">
        <f t="shared" si="124"/>
        <v>Error?</v>
      </c>
      <c r="E7621" s="2" t="s">
        <v>19</v>
      </c>
    </row>
    <row r="7622" spans="1:5" x14ac:dyDescent="0.2">
      <c r="A7622">
        <f t="shared" si="123"/>
        <v>7561</v>
      </c>
      <c r="B7622" s="1832">
        <f>'Cap Outlay Deprec 26'!K14</f>
        <v>1202867</v>
      </c>
      <c r="D7622" s="2" t="str">
        <f t="shared" si="124"/>
        <v>Error?</v>
      </c>
      <c r="E7622" s="2" t="s">
        <v>19</v>
      </c>
    </row>
    <row r="7623" spans="1:5" x14ac:dyDescent="0.2">
      <c r="A7623">
        <f t="shared" si="123"/>
        <v>7562</v>
      </c>
      <c r="B7623" s="1832">
        <f>'Cap Outlay Deprec 26'!L14</f>
        <v>478093</v>
      </c>
      <c r="D7623" s="2" t="str">
        <f t="shared" si="124"/>
        <v>Error?</v>
      </c>
      <c r="E7623" s="2" t="s">
        <v>19</v>
      </c>
    </row>
    <row r="7624" spans="1:5" x14ac:dyDescent="0.2">
      <c r="A7624">
        <f t="shared" si="123"/>
        <v>7563</v>
      </c>
      <c r="B7624" s="1832">
        <f>'Cap Outlay Deprec 26'!F17</f>
        <v>3080</v>
      </c>
      <c r="D7624" s="2" t="str">
        <f t="shared" si="124"/>
        <v>Error?</v>
      </c>
      <c r="E7624" s="2" t="s">
        <v>19</v>
      </c>
    </row>
    <row r="7625" spans="1:5" x14ac:dyDescent="0.2">
      <c r="A7625">
        <f t="shared" si="123"/>
        <v>7564</v>
      </c>
      <c r="B7625" s="1832">
        <f>'Cap Outlay Deprec 26'!I17</f>
        <v>308</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1247330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41215</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47080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88295</v>
      </c>
      <c r="D7719" s="2" t="str">
        <f t="shared" si="126"/>
        <v>Error?</v>
      </c>
      <c r="E7719" s="2" t="s">
        <v>822</v>
      </c>
    </row>
    <row r="7720" spans="1:6" x14ac:dyDescent="0.2">
      <c r="A7720">
        <v>7659</v>
      </c>
      <c r="B7720" s="1832">
        <f>'Rest Tax Levies-Tort Im 25'!H14</f>
        <v>10397</v>
      </c>
      <c r="D7720" s="2" t="str">
        <f t="shared" si="126"/>
        <v>Error?</v>
      </c>
      <c r="E7720" s="2" t="s">
        <v>822</v>
      </c>
    </row>
    <row r="7721" spans="1:6" x14ac:dyDescent="0.2">
      <c r="A7721">
        <v>7660</v>
      </c>
      <c r="B7721" s="1832">
        <f>'Rest Tax Levies-Tort Im 25'!K14</f>
        <v>88295</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88295</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18355000</v>
      </c>
      <c r="D7817" s="2" t="str">
        <f t="shared" si="128"/>
        <v>Error?</v>
      </c>
      <c r="E7817" s="4" t="s">
        <v>1963</v>
      </c>
    </row>
    <row r="7818" spans="1:5" x14ac:dyDescent="0.2">
      <c r="A7818">
        <v>7757</v>
      </c>
      <c r="B7818" s="1832">
        <f>'PCTC-OEPP 27-28'!F172</f>
        <v>766640</v>
      </c>
      <c r="D7818" s="2" t="str">
        <f t="shared" si="128"/>
        <v>Error?</v>
      </c>
      <c r="E7818" s="4" t="s">
        <v>1977</v>
      </c>
    </row>
    <row r="7819" spans="1:5" x14ac:dyDescent="0.2">
      <c r="A7819">
        <v>7758</v>
      </c>
      <c r="B7819" s="1832">
        <f>'PCTC-OEPP 27-28'!F173</f>
        <v>16194</v>
      </c>
      <c r="D7819" s="2" t="str">
        <f t="shared" si="128"/>
        <v>Error?</v>
      </c>
      <c r="E7819" s="4" t="s">
        <v>1977</v>
      </c>
    </row>
    <row r="7820" spans="1:5" x14ac:dyDescent="0.2">
      <c r="A7820">
        <v>7759</v>
      </c>
      <c r="B7820" s="1832">
        <f>'ICR Computation 30'!E40</f>
        <v>-71861</v>
      </c>
      <c r="D7820" s="2" t="str">
        <f t="shared" si="128"/>
        <v>Error?</v>
      </c>
    </row>
    <row r="7821" spans="1:5" x14ac:dyDescent="0.2">
      <c r="A7821">
        <v>7760</v>
      </c>
      <c r="B7821" s="1832">
        <f>'ICR Computation 30'!G40</f>
        <v>-71861</v>
      </c>
      <c r="D7821" s="2" t="str">
        <f t="shared" si="128"/>
        <v>Error?</v>
      </c>
    </row>
    <row r="7822" spans="1:5" x14ac:dyDescent="0.2">
      <c r="A7822" s="1">
        <v>7761</v>
      </c>
      <c r="B7822" s="1832">
        <f>'PCTC-OEPP 27-28'!F14</f>
        <v>25551945</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136985</v>
      </c>
      <c r="D7831" s="2" t="str">
        <f t="shared" si="129"/>
        <v>Error?</v>
      </c>
      <c r="E7831" s="4" t="s">
        <v>1995</v>
      </c>
    </row>
    <row r="7832" spans="1:5" x14ac:dyDescent="0.2">
      <c r="A7832">
        <v>7771</v>
      </c>
      <c r="B7832" s="1832">
        <f>'PCTC-OEPP 27-28'!F56</f>
        <v>1056</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3672814</v>
      </c>
      <c r="D7834" s="2" t="str">
        <f t="shared" si="129"/>
        <v>Error?</v>
      </c>
      <c r="E7834" s="4" t="s">
        <v>1995</v>
      </c>
    </row>
    <row r="7835" spans="1:5" x14ac:dyDescent="0.2">
      <c r="A7835">
        <v>7774</v>
      </c>
      <c r="B7835" s="1832">
        <f>'PCTC-OEPP 27-28'!F78</f>
        <v>21879131</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11707.958838575725</v>
      </c>
      <c r="D7837" s="2" t="str">
        <f t="shared" si="129"/>
        <v>Error?</v>
      </c>
      <c r="E7837" s="4" t="s">
        <v>1995</v>
      </c>
    </row>
    <row r="7838" spans="1:5" x14ac:dyDescent="0.2">
      <c r="A7838">
        <v>7777</v>
      </c>
      <c r="B7838" s="1832">
        <f>'PCTC-OEPP 27-28'!F96</f>
        <v>58370</v>
      </c>
      <c r="D7838" s="2" t="str">
        <f t="shared" si="129"/>
        <v>Error?</v>
      </c>
      <c r="E7838" s="4" t="s">
        <v>1995</v>
      </c>
    </row>
    <row r="7839" spans="1:5" x14ac:dyDescent="0.2">
      <c r="A7839">
        <v>7778</v>
      </c>
      <c r="B7839" s="1832">
        <f>'PCTC-OEPP 27-28'!F102</f>
        <v>41238</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385611</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47080</v>
      </c>
      <c r="D7846" s="2" t="str">
        <f t="shared" si="129"/>
        <v>Error?</v>
      </c>
      <c r="E7846" s="4" t="s">
        <v>1995</v>
      </c>
    </row>
    <row r="7847" spans="1:5" x14ac:dyDescent="0.2">
      <c r="A7847">
        <v>7786</v>
      </c>
      <c r="B7847" s="1832">
        <f>'PCTC-OEPP 27-28'!F112</f>
        <v>487639</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16487</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271716</v>
      </c>
      <c r="D7858" s="2" t="str">
        <f t="shared" si="129"/>
        <v>Error?</v>
      </c>
      <c r="E7858" s="4" t="s">
        <v>1995</v>
      </c>
    </row>
    <row r="7859" spans="1:5" x14ac:dyDescent="0.2">
      <c r="A7859">
        <v>7798</v>
      </c>
      <c r="B7859" s="1832">
        <f>'PCTC-OEPP 27-28'!F127</f>
        <v>344229</v>
      </c>
      <c r="D7859" s="2" t="str">
        <f t="shared" si="129"/>
        <v>Error?</v>
      </c>
      <c r="E7859" s="4" t="s">
        <v>1995</v>
      </c>
    </row>
    <row r="7860" spans="1:5" x14ac:dyDescent="0.2">
      <c r="A7860">
        <v>7799</v>
      </c>
      <c r="B7860" s="1832">
        <f>'PCTC-OEPP 27-28'!F128</f>
        <v>3376</v>
      </c>
      <c r="D7860" s="2" t="str">
        <f t="shared" si="129"/>
        <v>Error?</v>
      </c>
      <c r="E7860" s="4" t="s">
        <v>1995</v>
      </c>
    </row>
    <row r="7861" spans="1:5" x14ac:dyDescent="0.2">
      <c r="A7861">
        <v>7800</v>
      </c>
      <c r="B7861" s="1832">
        <f>'PCTC-OEPP 27-28'!F129</f>
        <v>387681</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13388</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5506</v>
      </c>
      <c r="D7874" s="2" t="str">
        <f t="shared" si="129"/>
        <v>Error?</v>
      </c>
      <c r="E7874" s="4" t="s">
        <v>1995</v>
      </c>
    </row>
    <row r="7875" spans="1:5" x14ac:dyDescent="0.2">
      <c r="A7875">
        <v>7814</v>
      </c>
      <c r="B7875" s="1832">
        <f>'PCTC-OEPP 27-28'!F170</f>
        <v>11788</v>
      </c>
      <c r="D7875" s="2" t="str">
        <f t="shared" si="129"/>
        <v>Error?</v>
      </c>
      <c r="E7875" s="4" t="s">
        <v>1995</v>
      </c>
    </row>
    <row r="7876" spans="1:5" x14ac:dyDescent="0.2">
      <c r="A7876">
        <v>7815</v>
      </c>
      <c r="B7876" s="1832">
        <f>'PCTC-OEPP 27-28'!F171</f>
        <v>73716</v>
      </c>
      <c r="D7876" s="2" t="str">
        <f t="shared" si="129"/>
        <v>Error?</v>
      </c>
      <c r="E7876" s="4" t="s">
        <v>1995</v>
      </c>
    </row>
    <row r="7877" spans="1:5" x14ac:dyDescent="0.2">
      <c r="A7877">
        <v>7816</v>
      </c>
      <c r="B7877" s="1832">
        <f>'PCTC-OEPP 27-28'!F175</f>
        <v>3422365</v>
      </c>
      <c r="D7877" s="2" t="str">
        <f t="shared" si="129"/>
        <v>Error?</v>
      </c>
      <c r="E7877" s="4" t="s">
        <v>1995</v>
      </c>
    </row>
    <row r="7878" spans="1:5" x14ac:dyDescent="0.2">
      <c r="A7878">
        <v>7817</v>
      </c>
      <c r="B7878" s="1832">
        <f>'PCTC-OEPP 27-28'!F176</f>
        <v>18456766</v>
      </c>
      <c r="D7878" s="2" t="str">
        <f t="shared" si="129"/>
        <v>Error?</v>
      </c>
      <c r="E7878" s="4" t="s">
        <v>1995</v>
      </c>
    </row>
    <row r="7879" spans="1:5" x14ac:dyDescent="0.2">
      <c r="A7879">
        <v>7818</v>
      </c>
      <c r="B7879" s="1832">
        <f>'PCTC-OEPP 27-28'!F178</f>
        <v>19704096</v>
      </c>
      <c r="D7879" s="2" t="str">
        <f t="shared" si="129"/>
        <v>Error?</v>
      </c>
      <c r="E7879" s="4" t="s">
        <v>1995</v>
      </c>
    </row>
    <row r="7880" spans="1:5" x14ac:dyDescent="0.2">
      <c r="A7880">
        <v>7819</v>
      </c>
      <c r="B7880" s="1832">
        <f>'PCTC-OEPP 27-28'!F180</f>
        <v>10544.054282564723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election activeCell="E28" sqref="E2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 xml:space="preserve">   Bradley-Bourbannais CHSD 307</v>
      </c>
      <c r="B7" s="2515"/>
      <c r="C7" s="2515"/>
      <c r="D7" s="2553"/>
      <c r="E7" s="2554">
        <f>COVER!A13</f>
        <v>32046307016</v>
      </c>
      <c r="F7" s="2555"/>
      <c r="G7" s="2521" t="str">
        <f>COVER!T23</f>
        <v>065-018319</v>
      </c>
      <c r="H7" s="2522"/>
      <c r="I7" s="2522"/>
      <c r="J7" s="2522"/>
      <c r="K7" s="2522"/>
      <c r="L7" s="252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4"/>
      <c r="B9" s="2525"/>
      <c r="C9" s="2525"/>
      <c r="D9" s="2525"/>
      <c r="E9" s="2525"/>
      <c r="F9" s="2526"/>
      <c r="G9" s="2527" t="str">
        <f>COVER!T13</f>
        <v>Russell Leigh &amp; Assiciates LLC</v>
      </c>
      <c r="H9" s="2528"/>
      <c r="I9" s="2528"/>
      <c r="J9" s="2528"/>
      <c r="K9" s="2528"/>
      <c r="L9" s="2529"/>
    </row>
    <row r="10" spans="1:29" ht="13.5" customHeight="1" x14ac:dyDescent="0.2">
      <c r="A10" s="2511" t="str">
        <f>COVER!A38</f>
        <v>Dr Scott Wakeley</v>
      </c>
      <c r="B10" s="2512"/>
      <c r="C10" s="2512"/>
      <c r="D10" s="2512"/>
      <c r="E10" s="2512"/>
      <c r="F10" s="2513"/>
      <c r="G10" s="2527" t="str">
        <f>COVER!T17</f>
        <v xml:space="preserve">228 East Main </v>
      </c>
      <c r="H10" s="2540"/>
      <c r="I10" s="2540"/>
      <c r="J10" s="2540"/>
      <c r="K10" s="2540"/>
      <c r="L10" s="2541"/>
    </row>
    <row r="11" spans="1:29" ht="13.5" customHeight="1" x14ac:dyDescent="0.2">
      <c r="A11" s="963" t="s">
        <v>1502</v>
      </c>
      <c r="B11" s="964"/>
      <c r="C11" s="965"/>
      <c r="D11" s="970"/>
      <c r="E11" s="965"/>
      <c r="F11" s="969"/>
      <c r="G11" s="2527" t="str">
        <f>COVER!T19</f>
        <v>Hoopeston</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admin@russleigh.com</v>
      </c>
      <c r="J13" s="2549"/>
      <c r="K13" s="2549"/>
      <c r="L13" s="2550"/>
    </row>
    <row r="14" spans="1:29" ht="13.5" customHeight="1" x14ac:dyDescent="0.2">
      <c r="A14" s="2527" t="str">
        <f>COVER!A19</f>
        <v>700 North Street</v>
      </c>
      <c r="B14" s="2540"/>
      <c r="C14" s="2540"/>
      <c r="D14" s="2540"/>
      <c r="E14" s="2540"/>
      <c r="F14" s="2541"/>
      <c r="G14" s="974" t="s">
        <v>1175</v>
      </c>
      <c r="H14" s="972"/>
      <c r="I14" s="972"/>
      <c r="J14" s="972"/>
      <c r="K14" s="972"/>
      <c r="L14" s="973"/>
    </row>
    <row r="15" spans="1:29" ht="13.5" customHeight="1" x14ac:dyDescent="0.2">
      <c r="A15" s="2527" t="str">
        <f>COVER!A21</f>
        <v xml:space="preserve">Bradley  </v>
      </c>
      <c r="B15" s="2540"/>
      <c r="C15" s="2540"/>
      <c r="D15" s="2540"/>
      <c r="E15" s="2540"/>
      <c r="F15" s="2541"/>
      <c r="G15" s="2537" t="str">
        <f>COVER!T15</f>
        <v>Russ Leigh</v>
      </c>
      <c r="H15" s="2538"/>
      <c r="I15" s="2538"/>
      <c r="J15" s="2538"/>
      <c r="K15" s="2538"/>
      <c r="L15" s="2539"/>
    </row>
    <row r="16" spans="1:29" ht="12.2" customHeight="1" x14ac:dyDescent="0.2">
      <c r="A16" s="2517">
        <f>COVER!A25</f>
        <v>60915</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1174</v>
      </c>
      <c r="H17" s="972"/>
      <c r="I17" s="972"/>
      <c r="J17" s="972"/>
      <c r="K17" s="976" t="s">
        <v>1173</v>
      </c>
      <c r="L17" s="969"/>
      <c r="M17" s="962"/>
    </row>
    <row r="18" spans="1:13" ht="12.2" customHeight="1" x14ac:dyDescent="0.2">
      <c r="A18" s="2511"/>
      <c r="B18" s="2512"/>
      <c r="C18" s="2512"/>
      <c r="D18" s="2512"/>
      <c r="E18" s="2512"/>
      <c r="F18" s="2513"/>
      <c r="G18" s="2514" t="str">
        <f>COVER!T21</f>
        <v>217-283-9336</v>
      </c>
      <c r="H18" s="2515"/>
      <c r="I18" s="2515"/>
      <c r="J18" s="2515"/>
      <c r="K18" s="2514" t="str">
        <f>COVER!X21</f>
        <v>217-283-9736</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 zoomScale="125" zoomScaleNormal="125" workbookViewId="0">
      <selection activeCell="E28" sqref="E2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Bradley-Bourbannais CHSD 307</v>
      </c>
      <c r="B1" s="2557"/>
      <c r="C1" s="2557"/>
      <c r="D1" s="2557"/>
    </row>
    <row r="2" spans="1:11" s="991" customFormat="1" ht="12.75" x14ac:dyDescent="0.2">
      <c r="A2" s="2558">
        <f>'Single Audit Cover'!E7</f>
        <v>32046307016</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Bradley-Bourbannais CHSD 307</v>
      </c>
      <c r="B1" s="2561"/>
      <c r="C1" s="2561"/>
      <c r="D1" s="2561"/>
      <c r="E1" s="2561"/>
    </row>
    <row r="2" spans="1:5" x14ac:dyDescent="0.2">
      <c r="A2" s="2562">
        <f>'Single Audit Cover'!E7</f>
        <v>32046307016</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1111400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44903</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-11788</v>
      </c>
    </row>
    <row r="19" spans="1:4" ht="13.5" thickBot="1" x14ac:dyDescent="0.25">
      <c r="A19" s="1041" t="s">
        <v>1224</v>
      </c>
      <c r="D19" s="1042">
        <f>SUM(D10:D17)</f>
        <v>1144515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1144515</v>
      </c>
    </row>
    <row r="33" spans="1:4" x14ac:dyDescent="0.2">
      <c r="D33" s="1045"/>
    </row>
    <row r="34" spans="1:4" x14ac:dyDescent="0.2">
      <c r="A34" s="295" t="s">
        <v>1221</v>
      </c>
    </row>
    <row r="35" spans="1:4" x14ac:dyDescent="0.2">
      <c r="A35" s="295" t="s">
        <v>1220</v>
      </c>
      <c r="B35" s="1034" t="s">
        <v>1219</v>
      </c>
      <c r="D35" s="1046">
        <v>1144515</v>
      </c>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1144515</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7" zoomScaleNormal="100" workbookViewId="0">
      <selection activeCell="B27" sqref="B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Bradley-Bourbannais CHSD 307</v>
      </c>
      <c r="C1" s="2565"/>
      <c r="D1" s="2565"/>
      <c r="E1" s="2565"/>
      <c r="F1" s="2565"/>
      <c r="G1" s="2565"/>
      <c r="H1" s="2565"/>
      <c r="I1" s="2565"/>
      <c r="J1" s="2565"/>
      <c r="K1" s="2565"/>
      <c r="L1" s="2565"/>
      <c r="M1" s="2565"/>
    </row>
    <row r="2" spans="2:14" ht="15" x14ac:dyDescent="0.2">
      <c r="B2" s="2566">
        <f>'Single Audit Cover'!E7</f>
        <v>32046307016</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2077</v>
      </c>
      <c r="C11" s="1821"/>
      <c r="D11" s="1822"/>
      <c r="E11" s="1823"/>
      <c r="F11" s="1823"/>
      <c r="G11" s="1823" t="s">
        <v>1159</v>
      </c>
      <c r="H11" s="1823"/>
      <c r="I11" s="1823"/>
      <c r="J11" s="1823"/>
      <c r="K11" s="1823"/>
      <c r="L11" s="1823">
        <v>0</v>
      </c>
      <c r="M11" s="1823"/>
    </row>
    <row r="12" spans="2:14" ht="20.100000000000001" customHeight="1" x14ac:dyDescent="0.2">
      <c r="B12" s="1113" t="s">
        <v>2078</v>
      </c>
      <c r="C12" s="1824">
        <v>10.555</v>
      </c>
      <c r="D12" s="1825">
        <v>4210</v>
      </c>
      <c r="E12" s="1826">
        <v>245992</v>
      </c>
      <c r="F12" s="1826">
        <v>56173</v>
      </c>
      <c r="G12" s="1826">
        <v>245992</v>
      </c>
      <c r="H12" s="1826"/>
      <c r="I12" s="1826">
        <v>56173</v>
      </c>
      <c r="J12" s="1826"/>
      <c r="K12" s="1826"/>
      <c r="L12" s="1823">
        <f t="shared" ref="L12:L27" si="0">+G12+I12+K12</f>
        <v>302165</v>
      </c>
      <c r="M12" s="1826" t="s">
        <v>2079</v>
      </c>
    </row>
    <row r="13" spans="2:14" ht="20.100000000000001" customHeight="1" x14ac:dyDescent="0.2">
      <c r="B13" s="1113" t="s">
        <v>2080</v>
      </c>
      <c r="C13" s="1824">
        <v>10.555</v>
      </c>
      <c r="D13" s="1825">
        <v>4210</v>
      </c>
      <c r="E13" s="1826">
        <v>0</v>
      </c>
      <c r="F13" s="1826">
        <v>177369</v>
      </c>
      <c r="G13" s="1826">
        <v>0</v>
      </c>
      <c r="H13" s="1826"/>
      <c r="I13" s="1826">
        <v>177369</v>
      </c>
      <c r="J13" s="1826"/>
      <c r="K13" s="1826"/>
      <c r="L13" s="1823">
        <f t="shared" si="0"/>
        <v>177369</v>
      </c>
      <c r="M13" s="1826" t="s">
        <v>2079</v>
      </c>
    </row>
    <row r="14" spans="2:14" ht="20.100000000000001" customHeight="1" x14ac:dyDescent="0.2">
      <c r="B14" s="1113" t="s">
        <v>2081</v>
      </c>
      <c r="C14" s="1824">
        <v>10.553000000000001</v>
      </c>
      <c r="D14" s="1825">
        <v>4220</v>
      </c>
      <c r="E14" s="1826">
        <v>29343</v>
      </c>
      <c r="F14" s="1826">
        <v>5614</v>
      </c>
      <c r="G14" s="1826">
        <v>29343</v>
      </c>
      <c r="H14" s="1826"/>
      <c r="I14" s="1826">
        <v>5614</v>
      </c>
      <c r="J14" s="1826"/>
      <c r="K14" s="1826"/>
      <c r="L14" s="1823">
        <f t="shared" si="0"/>
        <v>34957</v>
      </c>
      <c r="M14" s="1826" t="s">
        <v>2079</v>
      </c>
    </row>
    <row r="15" spans="2:14" ht="20.100000000000001" customHeight="1" x14ac:dyDescent="0.2">
      <c r="B15" s="1113" t="s">
        <v>2082</v>
      </c>
      <c r="C15" s="1824">
        <v>10.553000000000001</v>
      </c>
      <c r="D15" s="1825">
        <v>4220</v>
      </c>
      <c r="E15" s="1826">
        <v>0</v>
      </c>
      <c r="F15" s="1826">
        <v>19916</v>
      </c>
      <c r="G15" s="1826">
        <v>0</v>
      </c>
      <c r="H15" s="1826"/>
      <c r="I15" s="1826">
        <v>19916</v>
      </c>
      <c r="J15" s="1826"/>
      <c r="K15" s="1826"/>
      <c r="L15" s="1823">
        <f t="shared" si="0"/>
        <v>19916</v>
      </c>
      <c r="M15" s="1826" t="s">
        <v>2079</v>
      </c>
    </row>
    <row r="16" spans="2:14" ht="20.100000000000001" customHeight="1" x14ac:dyDescent="0.2">
      <c r="B16" s="1113" t="s">
        <v>2083</v>
      </c>
      <c r="C16" s="1824"/>
      <c r="D16" s="1825">
        <v>4225</v>
      </c>
      <c r="E16" s="1826">
        <v>0</v>
      </c>
      <c r="F16" s="1826">
        <v>12644</v>
      </c>
      <c r="G16" s="1826">
        <v>0</v>
      </c>
      <c r="H16" s="1826"/>
      <c r="I16" s="1826">
        <v>12644</v>
      </c>
      <c r="J16" s="1826"/>
      <c r="K16" s="1826"/>
      <c r="L16" s="1823">
        <f t="shared" si="0"/>
        <v>12644</v>
      </c>
      <c r="M16" s="1826" t="s">
        <v>2079</v>
      </c>
    </row>
    <row r="17" spans="2:14" ht="20.100000000000001" customHeight="1" x14ac:dyDescent="0.2">
      <c r="B17" s="1113" t="s">
        <v>2084</v>
      </c>
      <c r="C17" s="1824">
        <v>10.555</v>
      </c>
      <c r="D17" s="1825">
        <v>4250</v>
      </c>
      <c r="E17" s="1826">
        <v>0</v>
      </c>
      <c r="F17" s="1826">
        <v>20878</v>
      </c>
      <c r="G17" s="1826">
        <v>0</v>
      </c>
      <c r="H17" s="1826"/>
      <c r="I17" s="1826">
        <v>20878</v>
      </c>
      <c r="J17" s="1826"/>
      <c r="K17" s="1826"/>
      <c r="L17" s="1823">
        <f t="shared" si="0"/>
        <v>20878</v>
      </c>
      <c r="M17" s="1826" t="s">
        <v>2079</v>
      </c>
    </row>
    <row r="18" spans="2:14" ht="20.100000000000001" customHeight="1" x14ac:dyDescent="0.2">
      <c r="B18" s="1113" t="s">
        <v>2085</v>
      </c>
      <c r="C18" s="1824">
        <v>10.555</v>
      </c>
      <c r="D18" s="1825">
        <v>4250</v>
      </c>
      <c r="E18" s="1826">
        <v>0</v>
      </c>
      <c r="F18" s="1826">
        <v>24025</v>
      </c>
      <c r="G18" s="1826">
        <v>0</v>
      </c>
      <c r="H18" s="1826"/>
      <c r="I18" s="1826">
        <v>24025</v>
      </c>
      <c r="J18" s="1826"/>
      <c r="K18" s="1826"/>
      <c r="L18" s="1823">
        <f t="shared" si="0"/>
        <v>24025</v>
      </c>
      <c r="M18" s="1826" t="s">
        <v>2079</v>
      </c>
    </row>
    <row r="19" spans="2:14" ht="20.100000000000001" customHeight="1" x14ac:dyDescent="0.2">
      <c r="B19" s="1113" t="s">
        <v>2086</v>
      </c>
      <c r="C19" s="1824"/>
      <c r="D19" s="1825"/>
      <c r="E19" s="1826">
        <v>275335</v>
      </c>
      <c r="F19" s="1826">
        <v>316619</v>
      </c>
      <c r="G19" s="1826">
        <v>275335</v>
      </c>
      <c r="H19" s="1826"/>
      <c r="I19" s="1826">
        <v>316619</v>
      </c>
      <c r="J19" s="1826"/>
      <c r="K19" s="1826"/>
      <c r="L19" s="1823">
        <f t="shared" si="0"/>
        <v>591954</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2087</v>
      </c>
      <c r="C21" s="1824"/>
      <c r="D21" s="1825"/>
      <c r="E21" s="1826"/>
      <c r="F21" s="1826"/>
      <c r="G21" s="1826"/>
      <c r="H21" s="1826"/>
      <c r="I21" s="1826"/>
      <c r="J21" s="1826"/>
      <c r="K21" s="1826"/>
      <c r="L21" s="1823">
        <f t="shared" si="0"/>
        <v>0</v>
      </c>
      <c r="M21" s="1826"/>
    </row>
    <row r="22" spans="2:14" ht="20.100000000000001" customHeight="1" x14ac:dyDescent="0.2">
      <c r="B22" s="1113" t="s">
        <v>2115</v>
      </c>
      <c r="C22" s="1824" t="s">
        <v>2088</v>
      </c>
      <c r="D22" s="1825">
        <v>4300</v>
      </c>
      <c r="E22" s="1826">
        <v>172712</v>
      </c>
      <c r="F22" s="1826">
        <v>248758</v>
      </c>
      <c r="G22" s="1826">
        <v>285748</v>
      </c>
      <c r="H22" s="1826"/>
      <c r="I22" s="1826">
        <v>135722</v>
      </c>
      <c r="J22" s="1826"/>
      <c r="K22" s="1826"/>
      <c r="L22" s="1823">
        <f t="shared" si="0"/>
        <v>421470</v>
      </c>
      <c r="M22" s="1826">
        <v>455801</v>
      </c>
    </row>
    <row r="23" spans="2:14" ht="20.100000000000001" customHeight="1" x14ac:dyDescent="0.2">
      <c r="B23" s="1113" t="s">
        <v>2116</v>
      </c>
      <c r="C23" s="1824" t="s">
        <v>2088</v>
      </c>
      <c r="D23" s="1825">
        <v>4300</v>
      </c>
      <c r="E23" s="1826">
        <v>0</v>
      </c>
      <c r="F23" s="1826">
        <v>95471</v>
      </c>
      <c r="G23" s="1826">
        <v>0</v>
      </c>
      <c r="H23" s="1826"/>
      <c r="I23" s="1826">
        <v>254556</v>
      </c>
      <c r="J23" s="1826"/>
      <c r="K23" s="1826"/>
      <c r="L23" s="1823">
        <f t="shared" si="0"/>
        <v>254556</v>
      </c>
      <c r="M23" s="1826">
        <v>326664</v>
      </c>
    </row>
    <row r="24" spans="2:14" ht="20.100000000000001" customHeight="1" x14ac:dyDescent="0.2">
      <c r="B24" s="1113" t="s">
        <v>2091</v>
      </c>
      <c r="C24" s="1824" t="s">
        <v>2089</v>
      </c>
      <c r="D24" s="1825">
        <v>4400</v>
      </c>
      <c r="E24" s="1826">
        <v>350</v>
      </c>
      <c r="F24" s="1826">
        <v>3028</v>
      </c>
      <c r="G24" s="1826">
        <v>3378</v>
      </c>
      <c r="H24" s="1826"/>
      <c r="I24" s="1826">
        <v>0</v>
      </c>
      <c r="J24" s="1826"/>
      <c r="K24" s="1826"/>
      <c r="L24" s="1823">
        <f t="shared" si="0"/>
        <v>3378</v>
      </c>
      <c r="M24" s="1826">
        <v>7391</v>
      </c>
    </row>
    <row r="25" spans="2:14" ht="20.100000000000001" customHeight="1" x14ac:dyDescent="0.2">
      <c r="B25" s="1113" t="s">
        <v>2092</v>
      </c>
      <c r="C25" s="1824" t="s">
        <v>2089</v>
      </c>
      <c r="D25" s="1825">
        <v>4400</v>
      </c>
      <c r="E25" s="1826">
        <v>0</v>
      </c>
      <c r="F25" s="1826">
        <v>348</v>
      </c>
      <c r="G25" s="1826">
        <v>0</v>
      </c>
      <c r="H25" s="1826"/>
      <c r="I25" s="1826">
        <v>6166</v>
      </c>
      <c r="J25" s="1826"/>
      <c r="K25" s="1826"/>
      <c r="L25" s="1823">
        <f t="shared" si="0"/>
        <v>6166</v>
      </c>
      <c r="M25" s="1826">
        <v>26131</v>
      </c>
    </row>
    <row r="26" spans="2:14" ht="20.100000000000001" customHeight="1" x14ac:dyDescent="0.2">
      <c r="B26" s="1113" t="s">
        <v>2117</v>
      </c>
      <c r="C26" s="1824" t="s">
        <v>2090</v>
      </c>
      <c r="D26" s="1825">
        <v>4620</v>
      </c>
      <c r="E26" s="1826">
        <v>347118</v>
      </c>
      <c r="F26" s="1826">
        <v>81789</v>
      </c>
      <c r="G26" s="1826">
        <v>428907</v>
      </c>
      <c r="H26" s="1826"/>
      <c r="I26" s="1826">
        <v>0</v>
      </c>
      <c r="J26" s="1826"/>
      <c r="K26" s="1826"/>
      <c r="L26" s="1823">
        <f t="shared" si="0"/>
        <v>428907</v>
      </c>
      <c r="M26" s="1826">
        <v>549204</v>
      </c>
    </row>
    <row r="27" spans="2:14" ht="20.100000000000001" customHeight="1" x14ac:dyDescent="0.2">
      <c r="B27" s="1113" t="s">
        <v>2118</v>
      </c>
      <c r="C27" s="1824" t="s">
        <v>2090</v>
      </c>
      <c r="D27" s="1825">
        <v>4620</v>
      </c>
      <c r="E27" s="1826">
        <v>0</v>
      </c>
      <c r="F27" s="1826">
        <v>305892</v>
      </c>
      <c r="G27" s="1826">
        <v>0</v>
      </c>
      <c r="H27" s="1826"/>
      <c r="I27" s="1826">
        <v>512612</v>
      </c>
      <c r="J27" s="1826"/>
      <c r="K27" s="1826"/>
      <c r="L27" s="1823">
        <f t="shared" si="0"/>
        <v>512612</v>
      </c>
      <c r="M27" s="1826">
        <v>599169</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K23" sqref="K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Bradley-Bourbannais CHSD 307</v>
      </c>
      <c r="C1" s="2565"/>
      <c r="D1" s="2565"/>
      <c r="E1" s="2565"/>
      <c r="F1" s="2565"/>
      <c r="G1" s="2565"/>
      <c r="H1" s="2565"/>
      <c r="I1" s="2565"/>
      <c r="J1" s="2565"/>
      <c r="K1" s="2565"/>
      <c r="L1" s="2565"/>
      <c r="M1" s="2565"/>
    </row>
    <row r="2" spans="2:14" ht="15" x14ac:dyDescent="0.2">
      <c r="B2" s="2566">
        <f>'Single Audit Cover'!E7</f>
        <v>32046307016</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2101</v>
      </c>
      <c r="C11" s="1821" t="s">
        <v>2100</v>
      </c>
      <c r="D11" s="1822">
        <v>4932</v>
      </c>
      <c r="E11" s="1823">
        <v>0</v>
      </c>
      <c r="F11" s="1823">
        <v>6820</v>
      </c>
      <c r="G11" s="1823">
        <v>4000</v>
      </c>
      <c r="H11" s="1823"/>
      <c r="I11" s="1823">
        <v>2820</v>
      </c>
      <c r="J11" s="1823"/>
      <c r="K11" s="1823"/>
      <c r="L11" s="1823">
        <f>+G11+I11+K11</f>
        <v>6820</v>
      </c>
      <c r="M11" s="1823">
        <v>33672</v>
      </c>
    </row>
    <row r="12" spans="2:14" ht="20.100000000000001" customHeight="1" x14ac:dyDescent="0.2">
      <c r="B12" s="1113" t="s">
        <v>2102</v>
      </c>
      <c r="C12" s="1824" t="s">
        <v>2100</v>
      </c>
      <c r="D12" s="1825">
        <v>4932</v>
      </c>
      <c r="E12" s="1826">
        <v>0</v>
      </c>
      <c r="F12" s="1826">
        <v>6568</v>
      </c>
      <c r="G12" s="1826">
        <v>0</v>
      </c>
      <c r="H12" s="1826"/>
      <c r="I12" s="1826">
        <v>30101</v>
      </c>
      <c r="J12" s="1826"/>
      <c r="K12" s="1826"/>
      <c r="L12" s="1823">
        <v>30101</v>
      </c>
      <c r="M12" s="1826">
        <v>65969</v>
      </c>
    </row>
    <row r="13" spans="2:14" ht="20.100000000000001" customHeight="1" x14ac:dyDescent="0.2">
      <c r="B13" s="1113" t="s">
        <v>2103</v>
      </c>
      <c r="C13" s="1824" t="s">
        <v>2060</v>
      </c>
      <c r="D13" s="1825" t="s">
        <v>1159</v>
      </c>
      <c r="E13" s="1826">
        <v>519830</v>
      </c>
      <c r="F13" s="1826">
        <v>748674</v>
      </c>
      <c r="G13" s="1826">
        <v>722033</v>
      </c>
      <c r="H13" s="1826"/>
      <c r="I13" s="1826">
        <v>941977</v>
      </c>
      <c r="J13" s="1826"/>
      <c r="K13" s="1826"/>
      <c r="L13" s="1823">
        <f t="shared" ref="L13:L24" si="0">+G13+I13+K13</f>
        <v>1664010</v>
      </c>
      <c r="M13" s="1826" t="s">
        <v>1159</v>
      </c>
    </row>
    <row r="14" spans="2:14" ht="20.100000000000001" customHeight="1" x14ac:dyDescent="0.2">
      <c r="B14" s="1113" t="s">
        <v>1159</v>
      </c>
      <c r="C14" s="1824" t="s">
        <v>1159</v>
      </c>
      <c r="D14" s="1825" t="s">
        <v>1159</v>
      </c>
      <c r="E14" s="1826" t="s">
        <v>1159</v>
      </c>
      <c r="F14" s="1826" t="s">
        <v>1159</v>
      </c>
      <c r="G14" s="1826" t="s">
        <v>1159</v>
      </c>
      <c r="H14" s="1826"/>
      <c r="I14" s="1826" t="s">
        <v>1159</v>
      </c>
      <c r="J14" s="1826"/>
      <c r="K14" s="1826"/>
      <c r="L14" s="1823" t="s">
        <v>1159</v>
      </c>
      <c r="M14" s="1826" t="s">
        <v>1159</v>
      </c>
    </row>
    <row r="15" spans="2:14" ht="20.100000000000001" customHeight="1" x14ac:dyDescent="0.2">
      <c r="B15" s="1113" t="s">
        <v>2109</v>
      </c>
      <c r="C15" s="1824" t="s">
        <v>1159</v>
      </c>
      <c r="D15" s="1825" t="s">
        <v>2060</v>
      </c>
      <c r="E15" s="1826" t="s">
        <v>1159</v>
      </c>
      <c r="F15" s="1826" t="s">
        <v>1159</v>
      </c>
      <c r="G15" s="1826" t="s">
        <v>1159</v>
      </c>
      <c r="H15" s="1826"/>
      <c r="I15" s="1826" t="s">
        <v>1159</v>
      </c>
      <c r="J15" s="1826"/>
      <c r="K15" s="1826"/>
      <c r="L15" s="1823" t="s">
        <v>1159</v>
      </c>
      <c r="M15" s="1826" t="s">
        <v>1159</v>
      </c>
    </row>
    <row r="16" spans="2:14" ht="20.100000000000001" customHeight="1" x14ac:dyDescent="0.2">
      <c r="B16" s="1113" t="s">
        <v>2104</v>
      </c>
      <c r="C16" s="1824">
        <v>84.126000000000005</v>
      </c>
      <c r="D16" s="1825" t="s">
        <v>2106</v>
      </c>
      <c r="E16" s="1826">
        <v>43800</v>
      </c>
      <c r="F16" s="1826">
        <v>9291</v>
      </c>
      <c r="G16" s="1826">
        <v>53091</v>
      </c>
      <c r="H16" s="1826"/>
      <c r="I16" s="1826">
        <v>0</v>
      </c>
      <c r="J16" s="1826"/>
      <c r="K16" s="1826"/>
      <c r="L16" s="1823">
        <f t="shared" si="0"/>
        <v>53091</v>
      </c>
      <c r="M16" s="1826">
        <v>53091</v>
      </c>
    </row>
    <row r="17" spans="2:14" ht="20.100000000000001" customHeight="1" x14ac:dyDescent="0.2">
      <c r="B17" s="1113" t="s">
        <v>2105</v>
      </c>
      <c r="C17" s="1824" t="s">
        <v>1159</v>
      </c>
      <c r="D17" s="1825" t="s">
        <v>2107</v>
      </c>
      <c r="E17" s="1826">
        <v>0</v>
      </c>
      <c r="F17" s="1826">
        <v>64425</v>
      </c>
      <c r="G17" s="1826">
        <v>0</v>
      </c>
      <c r="H17" s="1826"/>
      <c r="I17" s="1826">
        <v>67825</v>
      </c>
      <c r="J17" s="1826"/>
      <c r="K17" s="1826"/>
      <c r="L17" s="1823">
        <f t="shared" si="0"/>
        <v>67825</v>
      </c>
      <c r="M17" s="1826">
        <v>67825</v>
      </c>
    </row>
    <row r="18" spans="2:14" ht="20.100000000000001" customHeight="1" x14ac:dyDescent="0.2">
      <c r="B18" s="1113" t="s">
        <v>2108</v>
      </c>
      <c r="C18" s="1824" t="s">
        <v>1159</v>
      </c>
      <c r="D18" s="1825" t="s">
        <v>1159</v>
      </c>
      <c r="E18" s="1826">
        <v>43800</v>
      </c>
      <c r="F18" s="1826">
        <v>73716</v>
      </c>
      <c r="G18" s="1826">
        <v>53091</v>
      </c>
      <c r="H18" s="1826"/>
      <c r="I18" s="1826">
        <v>67825</v>
      </c>
      <c r="J18" s="1826"/>
      <c r="K18" s="1826"/>
      <c r="L18" s="1823">
        <f t="shared" si="0"/>
        <v>120916</v>
      </c>
      <c r="M18" s="1826" t="s">
        <v>1159</v>
      </c>
    </row>
    <row r="19" spans="2:14" ht="20.100000000000001" customHeight="1" x14ac:dyDescent="0.2">
      <c r="B19" s="1113" t="s">
        <v>1159</v>
      </c>
      <c r="C19" s="1824"/>
      <c r="D19" s="1825"/>
      <c r="E19" s="1826" t="s">
        <v>1159</v>
      </c>
      <c r="F19" s="1826" t="s">
        <v>1159</v>
      </c>
      <c r="G19" s="1826" t="s">
        <v>1159</v>
      </c>
      <c r="H19" s="1826"/>
      <c r="I19" s="1826" t="s">
        <v>1159</v>
      </c>
      <c r="J19" s="1826"/>
      <c r="K19" s="1826"/>
      <c r="L19" s="1823" t="s">
        <v>1159</v>
      </c>
      <c r="M19" s="1826"/>
    </row>
    <row r="20" spans="2:14" ht="20.100000000000001" customHeight="1" x14ac:dyDescent="0.2">
      <c r="B20" s="1113" t="s">
        <v>2110</v>
      </c>
      <c r="C20" s="1824"/>
      <c r="D20" s="1825"/>
      <c r="E20" s="1826"/>
      <c r="F20" s="1826"/>
      <c r="G20" s="1826"/>
      <c r="H20" s="1826"/>
      <c r="I20" s="1826" t="s">
        <v>1159</v>
      </c>
      <c r="J20" s="1826"/>
      <c r="K20" s="1826"/>
      <c r="L20" s="1823" t="s">
        <v>1159</v>
      </c>
      <c r="M20" s="1826"/>
    </row>
    <row r="21" spans="2:14" ht="20.100000000000001" customHeight="1" x14ac:dyDescent="0.2">
      <c r="B21" s="1113" t="s">
        <v>2111</v>
      </c>
      <c r="C21" s="1824">
        <v>93.778000000000006</v>
      </c>
      <c r="D21" s="1825">
        <v>4992</v>
      </c>
      <c r="E21" s="1826">
        <v>0</v>
      </c>
      <c r="F21" s="1826">
        <v>5506</v>
      </c>
      <c r="G21" s="1826">
        <v>0</v>
      </c>
      <c r="H21" s="1826"/>
      <c r="I21" s="1826">
        <v>5506</v>
      </c>
      <c r="J21" s="1826"/>
      <c r="K21" s="1826"/>
      <c r="L21" s="1823">
        <v>5506</v>
      </c>
      <c r="M21" s="1826" t="s">
        <v>2079</v>
      </c>
    </row>
    <row r="22" spans="2:14" ht="20.100000000000001" customHeight="1" x14ac:dyDescent="0.2">
      <c r="B22" s="1113" t="s">
        <v>1159</v>
      </c>
      <c r="C22" s="1824" t="s">
        <v>2060</v>
      </c>
      <c r="D22" s="1825" t="s">
        <v>1159</v>
      </c>
      <c r="E22" s="1826" t="s">
        <v>1159</v>
      </c>
      <c r="F22" s="1826" t="s">
        <v>1159</v>
      </c>
      <c r="G22" s="1826" t="s">
        <v>1159</v>
      </c>
      <c r="H22" s="1826"/>
      <c r="I22" s="1826" t="s">
        <v>1159</v>
      </c>
      <c r="J22" s="1826"/>
      <c r="K22" s="1826"/>
      <c r="L22" s="1823" t="s">
        <v>1159</v>
      </c>
      <c r="M22" s="1826" t="s">
        <v>1159</v>
      </c>
    </row>
    <row r="23" spans="2:14" ht="20.100000000000001" customHeight="1" x14ac:dyDescent="0.2">
      <c r="B23" s="1113" t="s">
        <v>1159</v>
      </c>
      <c r="C23" s="1824" t="s">
        <v>1159</v>
      </c>
      <c r="D23" s="1825" t="s">
        <v>1159</v>
      </c>
      <c r="E23" s="1826" t="s">
        <v>1159</v>
      </c>
      <c r="F23" s="1826" t="s">
        <v>1159</v>
      </c>
      <c r="G23" s="1826" t="s">
        <v>1159</v>
      </c>
      <c r="H23" s="1826"/>
      <c r="I23" s="1826" t="s">
        <v>1159</v>
      </c>
      <c r="J23" s="1826"/>
      <c r="K23" s="1826"/>
      <c r="L23" s="1823" t="s">
        <v>1159</v>
      </c>
      <c r="M23" s="1826" t="s">
        <v>1159</v>
      </c>
    </row>
    <row r="24" spans="2:14" ht="20.100000000000001" customHeight="1" x14ac:dyDescent="0.2">
      <c r="B24" s="1113" t="s">
        <v>2112</v>
      </c>
      <c r="C24" s="1824" t="s">
        <v>1159</v>
      </c>
      <c r="D24" s="1825" t="s">
        <v>1159</v>
      </c>
      <c r="E24" s="1826">
        <v>838965</v>
      </c>
      <c r="F24" s="1826">
        <v>1144515</v>
      </c>
      <c r="G24" s="1826">
        <v>1050459</v>
      </c>
      <c r="H24" s="1826"/>
      <c r="I24" s="1826">
        <v>1331927</v>
      </c>
      <c r="J24" s="1826"/>
      <c r="K24" s="1826"/>
      <c r="L24" s="1823">
        <f t="shared" si="0"/>
        <v>2382386</v>
      </c>
      <c r="M24" s="1826" t="s">
        <v>1159</v>
      </c>
    </row>
    <row r="25" spans="2:14" ht="20.100000000000001" customHeight="1" x14ac:dyDescent="0.2">
      <c r="B25" s="1113" t="s">
        <v>1159</v>
      </c>
      <c r="C25" s="1824" t="s">
        <v>1159</v>
      </c>
      <c r="D25" s="1825" t="s">
        <v>1159</v>
      </c>
      <c r="E25" s="1826" t="s">
        <v>1159</v>
      </c>
      <c r="F25" s="1826" t="s">
        <v>1159</v>
      </c>
      <c r="G25" s="1826" t="s">
        <v>1159</v>
      </c>
      <c r="H25" s="1826"/>
      <c r="I25" s="1826" t="s">
        <v>1159</v>
      </c>
      <c r="J25" s="1826"/>
      <c r="K25" s="1826"/>
      <c r="L25" s="1823" t="s">
        <v>1159</v>
      </c>
      <c r="M25" s="1826" t="s">
        <v>1159</v>
      </c>
    </row>
    <row r="26" spans="2:14" ht="20.100000000000001" customHeight="1" x14ac:dyDescent="0.2">
      <c r="B26" s="1113" t="s">
        <v>1159</v>
      </c>
      <c r="C26" s="1824" t="s">
        <v>1159</v>
      </c>
      <c r="D26" s="1825" t="s">
        <v>1159</v>
      </c>
      <c r="E26" s="1826" t="s">
        <v>1159</v>
      </c>
      <c r="F26" s="1826" t="s">
        <v>1159</v>
      </c>
      <c r="G26" s="1826" t="s">
        <v>1159</v>
      </c>
      <c r="H26" s="1826"/>
      <c r="I26" s="1826" t="s">
        <v>1159</v>
      </c>
      <c r="J26" s="1826"/>
      <c r="K26" s="1826"/>
      <c r="L26" s="1823" t="s">
        <v>1159</v>
      </c>
      <c r="M26" s="1826" t="s">
        <v>1159</v>
      </c>
    </row>
    <row r="27" spans="2:14" ht="20.100000000000001" customHeight="1" x14ac:dyDescent="0.2">
      <c r="B27" s="1113" t="s">
        <v>1159</v>
      </c>
      <c r="C27" s="1824" t="s">
        <v>2060</v>
      </c>
      <c r="D27" s="1825" t="s">
        <v>1159</v>
      </c>
      <c r="E27" s="1826" t="s">
        <v>1159</v>
      </c>
      <c r="F27" s="1826" t="s">
        <v>1159</v>
      </c>
      <c r="G27" s="1826" t="s">
        <v>1159</v>
      </c>
      <c r="H27" s="1826"/>
      <c r="I27" s="1826" t="s">
        <v>1159</v>
      </c>
      <c r="J27" s="1826"/>
      <c r="K27" s="1826"/>
      <c r="L27" s="1823" t="s">
        <v>1159</v>
      </c>
      <c r="M27" s="1826" t="s">
        <v>2060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E28" sqref="E2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1986</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1986</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2058</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t="s">
        <v>2059</v>
      </c>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9" zoomScale="120" zoomScaleNormal="120" workbookViewId="0">
      <selection activeCell="J28" sqref="J2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Bradley-Bourbannais CHSD 307</v>
      </c>
      <c r="B1" s="2570"/>
      <c r="C1" s="2570"/>
      <c r="D1" s="2570"/>
      <c r="E1" s="2570"/>
      <c r="F1" s="2570"/>
    </row>
    <row r="2" spans="1:7" ht="13.5" customHeight="1" x14ac:dyDescent="0.2">
      <c r="A2" s="2566">
        <f>'Single Audit Cover'!E7</f>
        <v>32046307016</v>
      </c>
      <c r="B2" s="2566"/>
      <c r="C2" s="2566"/>
      <c r="D2" s="2566"/>
      <c r="E2" s="2566"/>
      <c r="F2" s="2566"/>
      <c r="G2" s="1051"/>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1705</v>
      </c>
      <c r="C6" s="295"/>
      <c r="D6" s="295"/>
    </row>
    <row r="7" spans="1:7" ht="60.95" customHeight="1" x14ac:dyDescent="0.2">
      <c r="A7" s="2569" t="s">
        <v>2098</v>
      </c>
      <c r="B7" s="2569"/>
      <c r="C7" s="2569"/>
      <c r="D7" s="2569"/>
      <c r="E7" s="2569"/>
      <c r="F7" s="256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2070</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9" t="s">
        <v>2097</v>
      </c>
      <c r="B13" s="2569"/>
      <c r="C13" s="2569"/>
      <c r="D13" s="2569"/>
      <c r="E13" s="2569"/>
      <c r="F13" s="2569"/>
    </row>
    <row r="14" spans="1:7" ht="9.75" customHeight="1" x14ac:dyDescent="0.2">
      <c r="C14" s="1036"/>
      <c r="D14" s="1036"/>
    </row>
    <row r="15" spans="1:7" ht="13.5" customHeight="1" x14ac:dyDescent="0.2">
      <c r="C15" s="1476" t="s">
        <v>1259</v>
      </c>
      <c r="D15" s="2574" t="s">
        <v>1258</v>
      </c>
      <c r="E15" s="2574"/>
      <c r="F15" s="2574"/>
    </row>
    <row r="16" spans="1:7" ht="13.5" customHeight="1" x14ac:dyDescent="0.2">
      <c r="A16" s="1058"/>
      <c r="B16" s="1052" t="s">
        <v>1257</v>
      </c>
      <c r="C16" s="1476" t="s">
        <v>1256</v>
      </c>
      <c r="D16" s="2575" t="s">
        <v>1571</v>
      </c>
      <c r="E16" s="2575"/>
      <c r="F16" s="2575"/>
    </row>
    <row r="17" spans="1:6" ht="20.45" customHeight="1" x14ac:dyDescent="0.2">
      <c r="A17" s="1059"/>
      <c r="B17" s="1060" t="s">
        <v>2093</v>
      </c>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7" t="s">
        <v>2099</v>
      </c>
      <c r="B32" s="2577"/>
      <c r="C32" s="2577"/>
      <c r="D32" s="2577"/>
      <c r="E32" s="2577"/>
      <c r="F32" s="2577"/>
    </row>
    <row r="33" spans="1:6" ht="13.5" customHeight="1" x14ac:dyDescent="0.2">
      <c r="A33" s="306" t="s">
        <v>1417</v>
      </c>
      <c r="B33" s="306"/>
      <c r="C33" s="1064">
        <v>20878</v>
      </c>
      <c r="D33" s="1526"/>
      <c r="E33" s="1062"/>
    </row>
    <row r="34" spans="1:6" ht="13.5" customHeight="1" x14ac:dyDescent="0.2">
      <c r="A34" s="306" t="s">
        <v>1808</v>
      </c>
      <c r="B34" s="306"/>
      <c r="C34" s="1065">
        <v>24025</v>
      </c>
      <c r="D34" s="1526" t="s">
        <v>1572</v>
      </c>
      <c r="E34" s="2578">
        <f>+C33+C34</f>
        <v>44903</v>
      </c>
      <c r="F34" s="257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568</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3" zoomScale="110" zoomScaleNormal="110" workbookViewId="0">
      <selection activeCell="S41" sqref="S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Bradley-Bourbannais CHSD 307</v>
      </c>
      <c r="C1" s="2586"/>
      <c r="D1" s="2586"/>
      <c r="E1" s="2586"/>
      <c r="F1" s="2586"/>
      <c r="G1" s="2586"/>
      <c r="H1" s="2586"/>
      <c r="I1" s="2586"/>
      <c r="J1" s="1178"/>
    </row>
    <row r="2" spans="2:10" s="295" customFormat="1" ht="12.75" customHeight="1" x14ac:dyDescent="0.2">
      <c r="B2" s="2587">
        <f>'Single Audit Cover'!E7</f>
        <v>32046307016</v>
      </c>
      <c r="C2" s="2588"/>
      <c r="D2" s="2588"/>
      <c r="E2" s="2588"/>
      <c r="F2" s="2588"/>
      <c r="G2" s="2588"/>
      <c r="H2" s="2588"/>
      <c r="I2" s="2588"/>
      <c r="J2" s="1178"/>
    </row>
    <row r="3" spans="2:10" s="295" customFormat="1" ht="12.75" customHeight="1" x14ac:dyDescent="0.2">
      <c r="B3" s="2589" t="s">
        <v>1274</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1273</v>
      </c>
      <c r="C7" s="2590"/>
      <c r="D7" s="2590"/>
      <c r="E7" s="2590"/>
      <c r="F7" s="2590"/>
      <c r="G7" s="2590"/>
      <c r="H7" s="2590"/>
      <c r="I7" s="259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1" t="s">
        <v>2094</v>
      </c>
      <c r="D11" s="259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2070</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2070</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2070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2070</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2070</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2" t="s">
        <v>2095</v>
      </c>
      <c r="E29" s="2592"/>
      <c r="F29" s="2592"/>
      <c r="G29" s="2592"/>
      <c r="H29" s="2592"/>
      <c r="I29" s="2592"/>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2070</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3" t="s">
        <v>1725</v>
      </c>
      <c r="D37" s="2594"/>
      <c r="E37" s="2594"/>
      <c r="F37" s="2595"/>
      <c r="G37" s="2593" t="s">
        <v>1575</v>
      </c>
      <c r="H37" s="2594"/>
      <c r="I37" s="2595"/>
    </row>
    <row r="38" spans="2:9" ht="16.5" customHeight="1" x14ac:dyDescent="0.2">
      <c r="B38" s="1200" t="s">
        <v>2088</v>
      </c>
      <c r="C38" s="2581" t="s">
        <v>2113</v>
      </c>
      <c r="D38" s="2582"/>
      <c r="E38" s="2582"/>
      <c r="F38" s="2583"/>
      <c r="G38" s="2596">
        <v>390278</v>
      </c>
      <c r="H38" s="2597"/>
      <c r="I38" s="2598"/>
    </row>
    <row r="39" spans="2:9" ht="16.5" customHeight="1" x14ac:dyDescent="0.2">
      <c r="B39" s="1200" t="s">
        <v>2090</v>
      </c>
      <c r="C39" s="2581" t="s">
        <v>2114</v>
      </c>
      <c r="D39" s="2582"/>
      <c r="E39" s="2582"/>
      <c r="F39" s="2583"/>
      <c r="G39" s="2584">
        <v>512612</v>
      </c>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1576</v>
      </c>
      <c r="D43" s="2600"/>
      <c r="E43" s="2600"/>
      <c r="F43" s="2601"/>
      <c r="G43" s="2602">
        <f>SUM(G38:I42)</f>
        <v>902890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1331967</v>
      </c>
      <c r="E45" s="2604"/>
    </row>
    <row r="46" spans="2:9" ht="5.25" customHeight="1" x14ac:dyDescent="0.2">
      <c r="B46" s="1201"/>
      <c r="D46" s="1202"/>
      <c r="E46" s="1203"/>
    </row>
    <row r="47" spans="2:9" ht="12.75" customHeight="1" x14ac:dyDescent="0.2">
      <c r="B47" s="1076" t="s">
        <v>1577</v>
      </c>
      <c r="C47" s="1076"/>
      <c r="D47" s="1204">
        <f>+G43/D45</f>
        <v>0.67786213922717309</v>
      </c>
      <c r="E47" s="1205"/>
      <c r="F47" s="1206"/>
      <c r="I47" s="1207"/>
    </row>
    <row r="48" spans="2:9" ht="9.9499999999999993" customHeight="1" x14ac:dyDescent="0.2"/>
    <row r="49" spans="1:9" x14ac:dyDescent="0.2">
      <c r="B49" s="1138" t="s">
        <v>1262</v>
      </c>
      <c r="C49" s="1058"/>
      <c r="D49" s="1058"/>
      <c r="E49" s="2605">
        <v>750000</v>
      </c>
      <c r="F49" s="2605"/>
      <c r="G49" s="2605"/>
      <c r="H49" s="300"/>
    </row>
    <row r="51" spans="1:9" ht="13.5" customHeight="1" x14ac:dyDescent="0.2">
      <c r="B51" s="1138" t="s">
        <v>1261</v>
      </c>
      <c r="C51" s="1058"/>
      <c r="E51" s="1194"/>
      <c r="F51" s="1076" t="s">
        <v>879</v>
      </c>
      <c r="G51" s="1194" t="s">
        <v>2070</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E28" sqref="E2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Bradley-Bourbannais CHSD 307</v>
      </c>
      <c r="C1" s="2585"/>
      <c r="D1" s="2585"/>
      <c r="E1" s="2585"/>
      <c r="F1" s="2585"/>
      <c r="G1" s="2585"/>
      <c r="H1" s="2585"/>
      <c r="I1" s="2585"/>
      <c r="J1" s="2585"/>
      <c r="K1" s="2585"/>
      <c r="L1" s="1144"/>
      <c r="M1" s="1144"/>
    </row>
    <row r="2" spans="1:13" ht="12" customHeight="1" x14ac:dyDescent="0.2">
      <c r="B2" s="2587">
        <f>'Single Audit Cover'!E7</f>
        <v>32046307016</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7"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topLeftCell="A4" zoomScale="110" zoomScaleNormal="110" workbookViewId="0">
      <selection activeCell="E28" sqref="E2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Bradley-Bourbannais CHSD 307</v>
      </c>
      <c r="C1" s="2612"/>
      <c r="D1" s="2612"/>
      <c r="E1" s="2612"/>
      <c r="F1" s="2612"/>
      <c r="G1" s="2612"/>
      <c r="H1" s="2612"/>
      <c r="I1" s="2612"/>
      <c r="J1" s="2612"/>
      <c r="K1" s="2612"/>
      <c r="L1" s="1221"/>
    </row>
    <row r="2" spans="1:12" ht="12.75" customHeight="1" x14ac:dyDescent="0.2">
      <c r="B2" s="2613">
        <f>'Single Audit Cover'!E7</f>
        <v>32046307016</v>
      </c>
      <c r="C2" s="2613"/>
      <c r="D2" s="2613"/>
      <c r="E2" s="2613"/>
      <c r="F2" s="2613"/>
      <c r="G2" s="2613"/>
      <c r="H2" s="2613"/>
      <c r="I2" s="2613"/>
      <c r="J2" s="2613"/>
      <c r="K2" s="2613"/>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E28" sqref="E2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 xml:space="preserve">   Bradley-Bourbannais CHSD 307</v>
      </c>
      <c r="C1" s="2585"/>
      <c r="D1" s="2585"/>
      <c r="E1" s="1240"/>
    </row>
    <row r="2" spans="2:5" s="1058" customFormat="1" ht="12.75" customHeight="1" x14ac:dyDescent="0.2">
      <c r="B2" s="2587">
        <f>'Single Audit Cover'!E7</f>
        <v>32046307016</v>
      </c>
      <c r="C2" s="2587"/>
      <c r="D2" s="2587"/>
      <c r="E2" s="1241"/>
    </row>
    <row r="3" spans="2:5" ht="12.75" customHeight="1" x14ac:dyDescent="0.2">
      <c r="B3" s="2608" t="s">
        <v>1740</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2096</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E28" sqref="E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762091712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1.4383999999999999E-2</v>
      </c>
      <c r="E10" s="333" t="s">
        <v>998</v>
      </c>
      <c r="F10" s="332">
        <v>3.9649999999999998E-3</v>
      </c>
      <c r="G10" s="333" t="s">
        <v>998</v>
      </c>
      <c r="H10" s="332">
        <v>1.5349999999999999E-3</v>
      </c>
      <c r="I10" s="333" t="s">
        <v>999</v>
      </c>
      <c r="J10" s="1424">
        <f>ROUND(D10+F10+H10,5)</f>
        <v>1.9879999999999998E-2</v>
      </c>
      <c r="K10" s="217"/>
      <c r="L10" s="332">
        <v>1.4E-5</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25353538</v>
      </c>
      <c r="E16" s="1547"/>
      <c r="F16" s="1546">
        <f>SUM('Acct Summary 7-8'!C17,'Acct Summary 7-8'!D17,'Acct Summary 7-8'!F17)</f>
        <v>24044131</v>
      </c>
      <c r="G16" s="1547"/>
      <c r="H16" s="1546">
        <f>SUM(D16-F16)</f>
        <v>1309407</v>
      </c>
      <c r="I16" s="1548"/>
      <c r="J16" s="1546">
        <f>SUM('Acct Summary 7-8'!C81,'Acct Summary 7-8'!D81,'Acct Summary 7-8'!F81,'Acct Summary 7-8'!I81)</f>
        <v>17485646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582</v>
      </c>
      <c r="D31" s="232" t="s">
        <v>1063</v>
      </c>
      <c r="E31" s="217"/>
      <c r="F31" s="217"/>
      <c r="G31" s="340"/>
      <c r="H31" s="1425">
        <f>IF(B31="X",(J7*0.069),IF(B32="X",(J7*0.138),"Enter x in a.or b."))</f>
        <v>52584328.128000006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9870000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E28" sqref="E2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Bradley-Bourbannais CHSD 307</v>
      </c>
      <c r="E7" s="368"/>
      <c r="G7" s="247"/>
      <c r="H7" s="364"/>
      <c r="I7" s="364"/>
      <c r="J7" s="364"/>
      <c r="K7" s="364"/>
      <c r="L7" s="307"/>
      <c r="M7" s="307"/>
      <c r="N7" s="307"/>
      <c r="O7" s="307"/>
      <c r="P7" s="307"/>
    </row>
    <row r="8" spans="1:18" ht="12.75" x14ac:dyDescent="0.2">
      <c r="A8" s="307"/>
      <c r="B8" s="307"/>
      <c r="C8" s="366" t="s">
        <v>1115</v>
      </c>
      <c r="D8" s="369">
        <f>COVER!A13</f>
        <v>32046307016</v>
      </c>
      <c r="E8" s="370"/>
      <c r="G8" s="307"/>
      <c r="H8" s="307"/>
      <c r="I8" s="307"/>
      <c r="J8" s="307"/>
      <c r="K8" s="307"/>
      <c r="L8" s="307"/>
      <c r="M8" s="307"/>
      <c r="N8" s="307"/>
      <c r="O8" s="307"/>
      <c r="P8" s="307"/>
    </row>
    <row r="9" spans="1:18" ht="12.75" x14ac:dyDescent="0.2">
      <c r="A9" s="307"/>
      <c r="B9" s="307"/>
      <c r="C9" s="366" t="s">
        <v>708</v>
      </c>
      <c r="D9" s="371" t="str">
        <f>COVER!A15</f>
        <v xml:space="preserve">Kankakee </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17485646</v>
      </c>
      <c r="I12" s="380"/>
      <c r="J12" s="380"/>
      <c r="K12" s="1559">
        <f>TRUNC((H12/H13*100000),5)/100000</f>
        <v>0.68967281800000002</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25353538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24044131</v>
      </c>
      <c r="I17" s="380"/>
      <c r="J17" s="389"/>
      <c r="K17" s="1559">
        <f>TRUNC((H17/H18*100000),5)/100000</f>
        <v>0.94835407189999998</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25353538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17485646</v>
      </c>
      <c r="I24" s="394"/>
      <c r="J24" s="394"/>
      <c r="K24" s="1555">
        <f>TRUNC(((H24/H25*100000)/100000),2)</f>
        <v>261.8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66789.252779999995</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12877825.74938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9870000</v>
      </c>
      <c r="I32" s="392"/>
      <c r="J32" s="392"/>
      <c r="K32" s="1555">
        <f>TRUNC(100-((((H32/H33*100))*100)/100),2)</f>
        <v>81.23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52584328.128000006</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E28" sqref="E28"/>
      <selection pane="bottomLeft" activeCell="E28" sqref="E2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102548</v>
      </c>
      <c r="D4" s="1573">
        <v>500895</v>
      </c>
      <c r="E4" s="1573">
        <v>97941</v>
      </c>
      <c r="F4" s="1573">
        <v>104160</v>
      </c>
      <c r="G4" s="1573">
        <v>26646</v>
      </c>
      <c r="H4" s="1573">
        <v>1780</v>
      </c>
      <c r="I4" s="1573">
        <v>248</v>
      </c>
      <c r="J4" s="1574">
        <v>23</v>
      </c>
      <c r="K4" s="1573">
        <v>1454</v>
      </c>
      <c r="L4" s="1573">
        <v>387817</v>
      </c>
      <c r="M4" s="1575"/>
      <c r="N4" s="1576"/>
    </row>
    <row r="5" spans="1:14" x14ac:dyDescent="0.2">
      <c r="A5" s="427" t="s">
        <v>985</v>
      </c>
      <c r="B5" s="429">
        <v>120</v>
      </c>
      <c r="C5" s="1572">
        <v>8848114</v>
      </c>
      <c r="D5" s="1573">
        <v>3637300</v>
      </c>
      <c r="E5" s="1573">
        <v>53278</v>
      </c>
      <c r="F5" s="1573">
        <v>1372146</v>
      </c>
      <c r="G5" s="1573">
        <v>291408</v>
      </c>
      <c r="H5" s="1573">
        <v>27613</v>
      </c>
      <c r="I5" s="1573">
        <v>2920235</v>
      </c>
      <c r="J5" s="1574">
        <v>65655</v>
      </c>
      <c r="K5" s="1577">
        <v>104092</v>
      </c>
      <c r="L5" s="1578">
        <v>89660</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8950662</v>
      </c>
      <c r="D13" s="1587">
        <f t="shared" ref="D13:L13" si="0">SUM(D4:D12)</f>
        <v>4138195</v>
      </c>
      <c r="E13" s="1587">
        <f t="shared" si="0"/>
        <v>151219</v>
      </c>
      <c r="F13" s="1587">
        <f t="shared" si="0"/>
        <v>1476306</v>
      </c>
      <c r="G13" s="1587">
        <f t="shared" si="0"/>
        <v>318054</v>
      </c>
      <c r="H13" s="1587">
        <f t="shared" si="0"/>
        <v>29393</v>
      </c>
      <c r="I13" s="1587">
        <f t="shared" si="0"/>
        <v>2920483</v>
      </c>
      <c r="J13" s="1587">
        <f t="shared" si="0"/>
        <v>65678</v>
      </c>
      <c r="K13" s="1587">
        <f t="shared" si="0"/>
        <v>105546</v>
      </c>
      <c r="L13" s="1587">
        <f t="shared" si="0"/>
        <v>477477</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5381544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31742289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2358674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8736588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151219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9718781</v>
      </c>
    </row>
    <row r="23" spans="1:14" ht="13.5" customHeight="1" thickBot="1" x14ac:dyDescent="0.25">
      <c r="A23" s="1426" t="s">
        <v>638</v>
      </c>
      <c r="B23" s="1429"/>
      <c r="C23" s="1575"/>
      <c r="D23" s="1575"/>
      <c r="E23" s="1575"/>
      <c r="F23" s="1575"/>
      <c r="G23" s="1575"/>
      <c r="H23" s="1575"/>
      <c r="I23" s="1575"/>
      <c r="J23" s="1575"/>
      <c r="K23" s="1575"/>
      <c r="L23" s="1575"/>
      <c r="M23" s="1594">
        <f>SUM(M15:M22)</f>
        <v>48219095</v>
      </c>
      <c r="N23" s="1594">
        <f>SUM(N21:N22)</f>
        <v>9870000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477477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477477</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9870000</v>
      </c>
    </row>
    <row r="37" spans="1:14" ht="13.5" thickBot="1" x14ac:dyDescent="0.25">
      <c r="A37" s="1426" t="s">
        <v>648</v>
      </c>
      <c r="B37" s="1429"/>
      <c r="C37" s="1582"/>
      <c r="D37" s="1582"/>
      <c r="E37" s="1582"/>
      <c r="F37" s="1582"/>
      <c r="G37" s="1582"/>
      <c r="H37" s="1582"/>
      <c r="I37" s="1582"/>
      <c r="J37" s="1582"/>
      <c r="K37" s="1582"/>
      <c r="L37" s="1585"/>
      <c r="M37" s="1575"/>
      <c r="N37" s="1594">
        <f>SUM(N36:N36)</f>
        <v>9870000</v>
      </c>
    </row>
    <row r="38" spans="1:14" s="307" customFormat="1" ht="13.5" customHeight="1" thickTop="1" x14ac:dyDescent="0.2">
      <c r="A38" s="438" t="s">
        <v>417</v>
      </c>
      <c r="B38" s="432">
        <v>714</v>
      </c>
      <c r="C38" s="1573">
        <v>0</v>
      </c>
      <c r="D38" s="1573"/>
      <c r="E38" s="1573"/>
      <c r="F38" s="1573"/>
      <c r="G38" s="1573">
        <v>35944</v>
      </c>
      <c r="H38" s="1573"/>
      <c r="I38" s="1573"/>
      <c r="J38" s="1574"/>
      <c r="K38" s="1573"/>
      <c r="L38" s="1586"/>
      <c r="M38" s="1604"/>
      <c r="N38" s="1604"/>
    </row>
    <row r="39" spans="1:14" s="307" customFormat="1" ht="13.5" customHeight="1" x14ac:dyDescent="0.2">
      <c r="A39" s="438" t="s">
        <v>339</v>
      </c>
      <c r="B39" s="432">
        <v>730</v>
      </c>
      <c r="C39" s="1573">
        <v>8950662</v>
      </c>
      <c r="D39" s="1573">
        <v>4138195</v>
      </c>
      <c r="E39" s="1573">
        <v>151219</v>
      </c>
      <c r="F39" s="1573">
        <v>1476306</v>
      </c>
      <c r="G39" s="1573">
        <v>282110</v>
      </c>
      <c r="H39" s="1573">
        <v>29393</v>
      </c>
      <c r="I39" s="1573">
        <v>2920483</v>
      </c>
      <c r="J39" s="1574">
        <v>65678</v>
      </c>
      <c r="K39" s="1573">
        <v>105546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48219095</v>
      </c>
      <c r="N40" s="1604"/>
    </row>
    <row r="41" spans="1:14" ht="13.5" customHeight="1" thickBot="1" x14ac:dyDescent="0.25">
      <c r="A41" s="1426" t="s">
        <v>650</v>
      </c>
      <c r="B41" s="1405"/>
      <c r="C41" s="1594">
        <f>(SUM(C34,C37,C38,C39))</f>
        <v>8950662</v>
      </c>
      <c r="D41" s="1594">
        <f t="shared" ref="D41:L41" si="2">SUM(D34,D37,D38:D39)</f>
        <v>4138195</v>
      </c>
      <c r="E41" s="1594">
        <f t="shared" si="2"/>
        <v>151219</v>
      </c>
      <c r="F41" s="1594">
        <f t="shared" si="2"/>
        <v>1476306</v>
      </c>
      <c r="G41" s="1594">
        <f t="shared" si="2"/>
        <v>318054</v>
      </c>
      <c r="H41" s="1594">
        <f t="shared" si="2"/>
        <v>29393</v>
      </c>
      <c r="I41" s="1594">
        <f t="shared" si="2"/>
        <v>2920483</v>
      </c>
      <c r="J41" s="1594">
        <f t="shared" si="2"/>
        <v>65678</v>
      </c>
      <c r="K41" s="1594">
        <f t="shared" si="2"/>
        <v>105546</v>
      </c>
      <c r="L41" s="1594">
        <f t="shared" si="2"/>
        <v>477477</v>
      </c>
      <c r="M41" s="1594">
        <f>SUM(M40)</f>
        <v>48219095</v>
      </c>
      <c r="N41" s="1594">
        <f>SUM(N37)</f>
        <v>9870000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9" activePane="bottomLeft" state="frozen"/>
      <selection activeCell="E28" sqref="E28"/>
      <selection pane="bottomLeft" activeCell="E28" sqref="E2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12167659</v>
      </c>
      <c r="D4" s="1606">
        <f>'Revenues 9-14'!D109</f>
        <v>3160897</v>
      </c>
      <c r="E4" s="1606">
        <f>'Revenues 9-14'!E109</f>
        <v>595581</v>
      </c>
      <c r="F4" s="1606">
        <f>'Revenues 9-14'!F109</f>
        <v>1006270</v>
      </c>
      <c r="G4" s="1606">
        <f>'Revenues 9-14'!G109</f>
        <v>254284</v>
      </c>
      <c r="H4" s="1606">
        <f>'Revenues 9-14'!H109</f>
        <v>521</v>
      </c>
      <c r="I4" s="1606">
        <f>'Revenues 9-14'!I109</f>
        <v>86825</v>
      </c>
      <c r="J4" s="1606">
        <f>'Revenues 9-14'!J109</f>
        <v>11379</v>
      </c>
      <c r="K4" s="1606">
        <f>'Revenues 9-14'!K109</f>
        <v>11983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7066361</v>
      </c>
      <c r="D6" s="1607">
        <f>'Revenues 9-14'!D170</f>
        <v>66487</v>
      </c>
      <c r="E6" s="1607">
        <f>'Revenues 9-14'!E170</f>
        <v>690000</v>
      </c>
      <c r="F6" s="1607">
        <f>'Revenues 9-14'!F170</f>
        <v>687639</v>
      </c>
      <c r="G6" s="1607">
        <f>'Revenues 9-14'!G170</f>
        <v>60000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1111400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20345420</v>
      </c>
      <c r="D8" s="1594">
        <f t="shared" ref="D8:K8" si="0">SUM(D4:D7)</f>
        <v>3227384</v>
      </c>
      <c r="E8" s="1594">
        <f t="shared" si="0"/>
        <v>1285581</v>
      </c>
      <c r="F8" s="1594">
        <f t="shared" si="0"/>
        <v>1693909</v>
      </c>
      <c r="G8" s="1594">
        <f t="shared" si="0"/>
        <v>314284</v>
      </c>
      <c r="H8" s="1594">
        <f t="shared" si="0"/>
        <v>521</v>
      </c>
      <c r="I8" s="1594">
        <f t="shared" si="0"/>
        <v>86825</v>
      </c>
      <c r="J8" s="1594">
        <f t="shared" si="0"/>
        <v>11379</v>
      </c>
      <c r="K8" s="1594">
        <f t="shared" si="0"/>
        <v>11983</v>
      </c>
      <c r="L8" s="325"/>
    </row>
    <row r="9" spans="1:13" ht="15.75" thickTop="1" x14ac:dyDescent="0.2">
      <c r="A9" s="449" t="s">
        <v>1634</v>
      </c>
      <c r="B9" s="450">
        <v>3998</v>
      </c>
      <c r="C9" s="1586">
        <v>8561054</v>
      </c>
      <c r="D9" s="1613"/>
      <c r="E9" s="1586"/>
      <c r="F9" s="1586"/>
      <c r="G9" s="1614"/>
      <c r="H9" s="1586"/>
      <c r="I9" s="1609" t="s">
        <v>1159</v>
      </c>
      <c r="J9" s="1583"/>
      <c r="K9" s="1586"/>
      <c r="L9" s="325"/>
    </row>
    <row r="10" spans="1:13" s="452" customFormat="1" ht="13.5" thickBot="1" x14ac:dyDescent="0.25">
      <c r="A10" s="1426" t="s">
        <v>1163</v>
      </c>
      <c r="B10" s="1407"/>
      <c r="C10" s="1594">
        <f>SUM(C8:C9)</f>
        <v>28906474</v>
      </c>
      <c r="D10" s="1594">
        <f t="shared" ref="D10:K10" si="1">SUM(D8:D9)</f>
        <v>3227384</v>
      </c>
      <c r="E10" s="1594">
        <f t="shared" si="1"/>
        <v>1285581</v>
      </c>
      <c r="F10" s="1594">
        <f t="shared" si="1"/>
        <v>1693909</v>
      </c>
      <c r="G10" s="1594">
        <f t="shared" si="1"/>
        <v>314284</v>
      </c>
      <c r="H10" s="1594">
        <f t="shared" si="1"/>
        <v>521</v>
      </c>
      <c r="I10" s="1594">
        <f t="shared" si="1"/>
        <v>86825</v>
      </c>
      <c r="J10" s="1594">
        <f t="shared" si="1"/>
        <v>11379</v>
      </c>
      <c r="K10" s="1594">
        <f t="shared" si="1"/>
        <v>11983</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13202759</v>
      </c>
      <c r="D12" s="1616" t="s">
        <v>1159</v>
      </c>
      <c r="E12" s="1575" t="s">
        <v>1159</v>
      </c>
      <c r="F12" s="1575" t="s">
        <v>1159</v>
      </c>
      <c r="G12" s="1606">
        <f>'Expenditures 15-22'!K229</f>
        <v>54433</v>
      </c>
      <c r="H12" s="1617"/>
      <c r="I12" s="1575" t="s">
        <v>1159</v>
      </c>
      <c r="J12" s="1575" t="s">
        <v>1159</v>
      </c>
      <c r="K12" s="1617" t="s">
        <v>1159</v>
      </c>
      <c r="L12" s="325"/>
    </row>
    <row r="13" spans="1:13" ht="15.75" customHeight="1" x14ac:dyDescent="0.2">
      <c r="A13" s="1314" t="s">
        <v>454</v>
      </c>
      <c r="B13" s="1316">
        <v>2000</v>
      </c>
      <c r="C13" s="1607">
        <f>'Expenditures 15-22'!K74</f>
        <v>5717573</v>
      </c>
      <c r="D13" s="1607">
        <f>'Expenditures 15-22'!K129</f>
        <v>3118870</v>
      </c>
      <c r="E13" s="1576" t="s">
        <v>1159</v>
      </c>
      <c r="F13" s="1607">
        <f>'Expenditures 15-22'!K184</f>
        <v>1452557</v>
      </c>
      <c r="G13" s="1607">
        <f>'Expenditures 15-22'!K279</f>
        <v>203641</v>
      </c>
      <c r="H13" s="1607">
        <f>'Expenditures 15-22'!K303</f>
        <v>7010</v>
      </c>
      <c r="I13" s="1575" t="s">
        <v>1159</v>
      </c>
      <c r="J13" s="1607">
        <f>'Expenditures 15-22'!K330</f>
        <v>0</v>
      </c>
      <c r="K13" s="1618">
        <f>'Expenditures 15-22'!K352</f>
        <v>0</v>
      </c>
      <c r="L13" s="325"/>
    </row>
    <row r="14" spans="1:13" ht="15.75" customHeight="1" x14ac:dyDescent="0.2">
      <c r="A14" s="1314" t="s">
        <v>446</v>
      </c>
      <c r="B14" s="1316">
        <v>3000</v>
      </c>
      <c r="C14" s="1607">
        <f>'Expenditures 15-22'!K75</f>
        <v>143991</v>
      </c>
      <c r="D14" s="1607">
        <f>'Expenditures 15-22'!K130</f>
        <v>1056</v>
      </c>
      <c r="E14" s="1616" t="s">
        <v>1159</v>
      </c>
      <c r="F14" s="1607">
        <f>'Expenditures 15-22'!K185</f>
        <v>0</v>
      </c>
      <c r="G14" s="1607">
        <f>'Expenditures 15-22'!K280</f>
        <v>253</v>
      </c>
      <c r="H14" s="1612"/>
      <c r="I14" s="1575" t="s">
        <v>1159</v>
      </c>
      <c r="J14" s="1575" t="s">
        <v>1159</v>
      </c>
      <c r="K14" s="1612" t="s">
        <v>1159</v>
      </c>
      <c r="L14" s="325"/>
    </row>
    <row r="15" spans="1:13" ht="15.75" customHeight="1" x14ac:dyDescent="0.2">
      <c r="A15" s="1314" t="s">
        <v>107</v>
      </c>
      <c r="B15" s="1316">
        <v>4000</v>
      </c>
      <c r="C15" s="1607">
        <f>'Expenditures 15-22'!K102</f>
        <v>407325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1249487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19471648</v>
      </c>
      <c r="D17" s="1594">
        <f t="shared" si="2"/>
        <v>3119926</v>
      </c>
      <c r="E17" s="1594">
        <f t="shared" si="2"/>
        <v>1249487</v>
      </c>
      <c r="F17" s="1594">
        <f t="shared" si="2"/>
        <v>1452557</v>
      </c>
      <c r="G17" s="1594">
        <f t="shared" si="2"/>
        <v>258327</v>
      </c>
      <c r="H17" s="1594">
        <f t="shared" si="2"/>
        <v>7010</v>
      </c>
      <c r="I17" s="1575"/>
      <c r="J17" s="1594">
        <f>SUM(J12:J16)</f>
        <v>0</v>
      </c>
      <c r="K17" s="1594">
        <f>SUM(K12:K16)</f>
        <v>0</v>
      </c>
      <c r="L17" s="325"/>
    </row>
    <row r="18" spans="1:12" ht="15" customHeight="1" thickTop="1" x14ac:dyDescent="0.2">
      <c r="A18" s="1430" t="s">
        <v>1635</v>
      </c>
      <c r="B18" s="1431">
        <v>4180</v>
      </c>
      <c r="C18" s="1606">
        <f t="shared" ref="C18:H18" si="3">C9</f>
        <v>8561054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28032702</v>
      </c>
      <c r="D19" s="1594">
        <f t="shared" si="4"/>
        <v>3119926</v>
      </c>
      <c r="E19" s="1594">
        <f t="shared" si="4"/>
        <v>1249487</v>
      </c>
      <c r="F19" s="1594">
        <f t="shared" si="4"/>
        <v>1452557</v>
      </c>
      <c r="G19" s="1594">
        <f t="shared" si="4"/>
        <v>258327</v>
      </c>
      <c r="H19" s="1594">
        <f t="shared" si="4"/>
        <v>7010</v>
      </c>
      <c r="I19" s="1575"/>
      <c r="J19" s="1594">
        <f>SUM(J17:J18)</f>
        <v>0</v>
      </c>
      <c r="K19" s="1594">
        <f>SUM(K17:K18)</f>
        <v>0</v>
      </c>
      <c r="L19" s="325"/>
    </row>
    <row r="20" spans="1:12" ht="16.5" thickTop="1" thickBot="1" x14ac:dyDescent="0.25">
      <c r="A20" s="2230" t="s">
        <v>1636</v>
      </c>
      <c r="B20" s="2231"/>
      <c r="C20" s="1622">
        <f>C8-C17</f>
        <v>873772</v>
      </c>
      <c r="D20" s="1622">
        <f t="shared" ref="D20:K20" si="5">D8-D17</f>
        <v>107458</v>
      </c>
      <c r="E20" s="1622">
        <f t="shared" si="5"/>
        <v>36094</v>
      </c>
      <c r="F20" s="1622">
        <f t="shared" si="5"/>
        <v>241352</v>
      </c>
      <c r="G20" s="1622">
        <f t="shared" si="5"/>
        <v>55957</v>
      </c>
      <c r="H20" s="1622">
        <f t="shared" si="5"/>
        <v>-6489</v>
      </c>
      <c r="I20" s="1622">
        <f t="shared" si="5"/>
        <v>86825</v>
      </c>
      <c r="J20" s="1622">
        <f t="shared" si="5"/>
        <v>11379</v>
      </c>
      <c r="K20" s="1622">
        <f t="shared" si="5"/>
        <v>11983</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1167</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593</v>
      </c>
      <c r="B78" s="2227"/>
      <c r="C78" s="1629">
        <f t="shared" ref="C78:K78" si="9">C20+C77</f>
        <v>873772</v>
      </c>
      <c r="D78" s="1629">
        <f t="shared" si="9"/>
        <v>107458</v>
      </c>
      <c r="E78" s="1629">
        <f t="shared" si="9"/>
        <v>36094</v>
      </c>
      <c r="F78" s="1629">
        <f t="shared" si="9"/>
        <v>241352</v>
      </c>
      <c r="G78" s="1629">
        <f t="shared" si="9"/>
        <v>55957</v>
      </c>
      <c r="H78" s="1629">
        <f t="shared" si="9"/>
        <v>-6489</v>
      </c>
      <c r="I78" s="1629">
        <f t="shared" si="9"/>
        <v>86825</v>
      </c>
      <c r="J78" s="1629">
        <f t="shared" si="9"/>
        <v>11379</v>
      </c>
      <c r="K78" s="1629">
        <f t="shared" si="9"/>
        <v>11983</v>
      </c>
      <c r="L78" s="457"/>
    </row>
    <row r="79" spans="1:12" ht="13.5" thickTop="1" x14ac:dyDescent="0.2">
      <c r="A79" s="1844" t="str">
        <f>"Fund Balances - July 1, "&amp;'AFR20'!E2-1</f>
        <v>Fund Balances - July 1, 2019</v>
      </c>
      <c r="B79" s="458"/>
      <c r="C79" s="1583">
        <v>8076890</v>
      </c>
      <c r="D79" s="1630">
        <v>4030737</v>
      </c>
      <c r="E79" s="1630">
        <v>115125</v>
      </c>
      <c r="F79" s="1630">
        <v>1234954</v>
      </c>
      <c r="G79" s="1630">
        <v>262097</v>
      </c>
      <c r="H79" s="1630">
        <v>35882</v>
      </c>
      <c r="I79" s="1630">
        <v>2833658</v>
      </c>
      <c r="J79" s="1630">
        <v>54299</v>
      </c>
      <c r="K79" s="1630">
        <v>93563</v>
      </c>
      <c r="L79" s="325"/>
    </row>
    <row r="80" spans="1:12" x14ac:dyDescent="0.2">
      <c r="A80" s="2232" t="s">
        <v>1769</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8950662</v>
      </c>
      <c r="D81" s="1594">
        <f>SUM(D78:D80)</f>
        <v>4138195</v>
      </c>
      <c r="E81" s="1594">
        <f t="shared" ref="E81:K81" si="10">SUM(E78:E80)</f>
        <v>151219</v>
      </c>
      <c r="F81" s="1594">
        <f t="shared" si="10"/>
        <v>1476306</v>
      </c>
      <c r="G81" s="1594">
        <f t="shared" si="10"/>
        <v>318054</v>
      </c>
      <c r="H81" s="1594">
        <f t="shared" si="10"/>
        <v>29393</v>
      </c>
      <c r="I81" s="1594">
        <f t="shared" si="10"/>
        <v>2920483</v>
      </c>
      <c r="J81" s="1594">
        <f t="shared" si="10"/>
        <v>65678</v>
      </c>
      <c r="K81" s="1594">
        <f t="shared" si="10"/>
        <v>105546</v>
      </c>
      <c r="L81" s="325"/>
    </row>
    <row r="82" spans="1:12" ht="0.75" customHeight="1" thickTop="1" thickBot="1" x14ac:dyDescent="0.25">
      <c r="A82" s="459" t="s">
        <v>340</v>
      </c>
      <c r="B82" s="460"/>
      <c r="C82" s="461">
        <f>(C81-C79)</f>
        <v>873772</v>
      </c>
      <c r="D82" s="461">
        <f t="shared" ref="D82:K82" si="11">(D81-D79)</f>
        <v>107458</v>
      </c>
      <c r="E82" s="461">
        <f t="shared" si="11"/>
        <v>36094</v>
      </c>
      <c r="F82" s="461">
        <f t="shared" si="11"/>
        <v>241352</v>
      </c>
      <c r="G82" s="461">
        <f t="shared" si="11"/>
        <v>55957</v>
      </c>
      <c r="H82" s="461">
        <f t="shared" si="11"/>
        <v>-6489</v>
      </c>
      <c r="I82" s="461">
        <f t="shared" si="11"/>
        <v>86825</v>
      </c>
      <c r="J82" s="461">
        <f t="shared" si="11"/>
        <v>11379</v>
      </c>
      <c r="K82" s="461">
        <f t="shared" si="11"/>
        <v>11983</v>
      </c>
    </row>
    <row r="83" spans="1:12" ht="14.25" hidden="1" thickTop="1" thickBot="1" x14ac:dyDescent="0.25">
      <c r="A83" s="462" t="s">
        <v>341</v>
      </c>
      <c r="B83" s="428"/>
      <c r="C83" s="463">
        <f>C82/C81</f>
        <v>9.7620935747545823E-2</v>
      </c>
      <c r="D83" s="463">
        <f t="shared" ref="D83:K83" si="12">D82/D81</f>
        <v>2.5967360165482779E-2</v>
      </c>
      <c r="E83" s="463">
        <f t="shared" si="12"/>
        <v>0.23868693748801406</v>
      </c>
      <c r="F83" s="463">
        <f t="shared" si="12"/>
        <v>0.16348372220935226</v>
      </c>
      <c r="G83" s="463">
        <f t="shared" si="12"/>
        <v>0.17593553295981185</v>
      </c>
      <c r="H83" s="463">
        <f t="shared" si="12"/>
        <v>-0.22076684924982137</v>
      </c>
      <c r="I83" s="463">
        <f t="shared" si="12"/>
        <v>2.972967142763714E-2</v>
      </c>
      <c r="J83" s="463">
        <f t="shared" si="12"/>
        <v>0.17325436219129695</v>
      </c>
      <c r="K83" s="463">
        <f t="shared" si="12"/>
        <v>0.11353343565838592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1" activePane="bottomLeft" state="frozen"/>
      <selection activeCell="E28" sqref="E28"/>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1776</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10783173</v>
      </c>
      <c r="D5" s="1586">
        <v>3009341</v>
      </c>
      <c r="E5" s="1573">
        <v>545462</v>
      </c>
      <c r="F5" s="1631">
        <v>981093</v>
      </c>
      <c r="G5" s="1573">
        <v>227098</v>
      </c>
      <c r="H5" s="1573"/>
      <c r="I5" s="1573">
        <v>10397</v>
      </c>
      <c r="J5" s="1574">
        <v>10397</v>
      </c>
      <c r="K5" s="1573">
        <v>10397</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10397</v>
      </c>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10793570</v>
      </c>
      <c r="D12" s="1633">
        <f t="shared" si="0"/>
        <v>3009341</v>
      </c>
      <c r="E12" s="1633">
        <f t="shared" si="0"/>
        <v>545462</v>
      </c>
      <c r="F12" s="1633">
        <f t="shared" si="0"/>
        <v>981093</v>
      </c>
      <c r="G12" s="1633">
        <f t="shared" si="0"/>
        <v>227098</v>
      </c>
      <c r="H12" s="1633">
        <f t="shared" si="0"/>
        <v>0</v>
      </c>
      <c r="I12" s="1633">
        <f t="shared" si="0"/>
        <v>10397</v>
      </c>
      <c r="J12" s="1633">
        <f t="shared" si="0"/>
        <v>10397</v>
      </c>
      <c r="K12" s="1594">
        <f t="shared" si="0"/>
        <v>10397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632556</v>
      </c>
      <c r="D16" s="1573"/>
      <c r="E16" s="1573"/>
      <c r="F16" s="1573"/>
      <c r="G16" s="1573">
        <v>24031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632556</v>
      </c>
      <c r="D18" s="1635">
        <f t="shared" ref="D18:K18" si="1">SUM(D14:D17)</f>
        <v>0</v>
      </c>
      <c r="E18" s="1635">
        <f t="shared" si="1"/>
        <v>0</v>
      </c>
      <c r="F18" s="1635">
        <f t="shared" si="1"/>
        <v>0</v>
      </c>
      <c r="G18" s="1635">
        <f t="shared" si="1"/>
        <v>24031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182764</v>
      </c>
      <c r="D65" s="1573">
        <v>74907</v>
      </c>
      <c r="E65" s="1573">
        <v>7290</v>
      </c>
      <c r="F65" s="1574">
        <v>24462</v>
      </c>
      <c r="G65" s="1573">
        <v>3155</v>
      </c>
      <c r="H65" s="1573">
        <v>521</v>
      </c>
      <c r="I65" s="1573">
        <v>76428</v>
      </c>
      <c r="J65" s="1574">
        <v>982</v>
      </c>
      <c r="K65" s="1573">
        <v>1586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182764</v>
      </c>
      <c r="D67" s="1594">
        <f t="shared" ref="D67:K67" si="2">SUM(D65:D66)</f>
        <v>74907</v>
      </c>
      <c r="E67" s="1594">
        <f t="shared" si="2"/>
        <v>7290</v>
      </c>
      <c r="F67" s="1594">
        <f t="shared" si="2"/>
        <v>24462</v>
      </c>
      <c r="G67" s="1594">
        <f t="shared" si="2"/>
        <v>3155</v>
      </c>
      <c r="H67" s="1594">
        <f t="shared" si="2"/>
        <v>521</v>
      </c>
      <c r="I67" s="1594">
        <f t="shared" si="2"/>
        <v>76428</v>
      </c>
      <c r="J67" s="1594">
        <f t="shared" si="2"/>
        <v>982</v>
      </c>
      <c r="K67" s="1594">
        <f t="shared" si="2"/>
        <v>1586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190709</v>
      </c>
      <c r="D69" s="1575"/>
      <c r="E69" s="1575"/>
      <c r="F69" s="1575"/>
      <c r="G69" s="1575"/>
      <c r="H69" s="1575"/>
      <c r="I69" s="1575"/>
      <c r="J69" s="1575"/>
      <c r="K69" s="1575"/>
    </row>
    <row r="70" spans="1:11" ht="12.75" customHeight="1" x14ac:dyDescent="0.2">
      <c r="A70" s="427" t="s">
        <v>990</v>
      </c>
      <c r="B70" s="429">
        <v>1612</v>
      </c>
      <c r="C70" s="1632">
        <v>6571</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3390</v>
      </c>
      <c r="D73" s="1575"/>
      <c r="E73" s="1575"/>
      <c r="F73" s="1575"/>
      <c r="G73" s="1575"/>
      <c r="H73" s="1575"/>
      <c r="I73" s="1575"/>
      <c r="J73" s="1575"/>
      <c r="K73" s="1575"/>
    </row>
    <row r="74" spans="1:11" ht="12.75" customHeight="1" x14ac:dyDescent="0.2">
      <c r="A74" s="427" t="s">
        <v>25</v>
      </c>
      <c r="B74" s="429">
        <v>1690</v>
      </c>
      <c r="C74" s="1632">
        <v>613</v>
      </c>
      <c r="D74" s="1575"/>
      <c r="E74" s="1575"/>
      <c r="F74" s="1575"/>
      <c r="G74" s="1575"/>
      <c r="H74" s="1575"/>
      <c r="I74" s="1575"/>
      <c r="J74" s="1575"/>
      <c r="K74" s="1575"/>
    </row>
    <row r="75" spans="1:11" ht="12.75" customHeight="1" thickBot="1" x14ac:dyDescent="0.25">
      <c r="A75" s="1406" t="s">
        <v>544</v>
      </c>
      <c r="B75" s="1407"/>
      <c r="C75" s="1594">
        <f>SUM(C69:C74)</f>
        <v>201283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31191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27179</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58370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237044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237044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41238</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142</v>
      </c>
      <c r="D99" s="1573">
        <v>5815</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41215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v>15821</v>
      </c>
      <c r="E106" s="1574"/>
      <c r="F106" s="1574"/>
      <c r="G106" s="1574"/>
      <c r="H106" s="1574"/>
      <c r="I106" s="1617"/>
      <c r="J106" s="1574"/>
      <c r="K106" s="1574"/>
    </row>
    <row r="107" spans="1:12" ht="12.75" customHeight="1" x14ac:dyDescent="0.2">
      <c r="A107" s="427" t="s">
        <v>78</v>
      </c>
      <c r="B107" s="429">
        <v>1999</v>
      </c>
      <c r="C107" s="1632">
        <v>20715</v>
      </c>
      <c r="D107" s="1573">
        <v>13775</v>
      </c>
      <c r="E107" s="1573">
        <v>42829</v>
      </c>
      <c r="F107" s="1573">
        <v>715</v>
      </c>
      <c r="G107" s="1573"/>
      <c r="H107" s="1573"/>
      <c r="I107" s="1573"/>
      <c r="J107" s="1574"/>
      <c r="K107" s="1573"/>
    </row>
    <row r="108" spans="1:12" ht="12.75" customHeight="1" thickBot="1" x14ac:dyDescent="0.25">
      <c r="A108" s="1406" t="s">
        <v>484</v>
      </c>
      <c r="B108" s="1408"/>
      <c r="C108" s="1633">
        <f>SUM(C95:C107)</f>
        <v>62072</v>
      </c>
      <c r="D108" s="1633">
        <f t="shared" ref="D108:K108" si="3">SUM(D95:D107)</f>
        <v>76649</v>
      </c>
      <c r="E108" s="1633">
        <f t="shared" si="3"/>
        <v>42829</v>
      </c>
      <c r="F108" s="1633">
        <f t="shared" si="3"/>
        <v>715</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12167659</v>
      </c>
      <c r="D109" s="1641">
        <f t="shared" si="4"/>
        <v>3160897</v>
      </c>
      <c r="E109" s="1641">
        <f t="shared" si="4"/>
        <v>595581</v>
      </c>
      <c r="F109" s="1641">
        <f t="shared" si="4"/>
        <v>1006270</v>
      </c>
      <c r="G109" s="1641">
        <f t="shared" si="4"/>
        <v>254284</v>
      </c>
      <c r="H109" s="1641">
        <f t="shared" si="4"/>
        <v>521</v>
      </c>
      <c r="I109" s="1641">
        <f t="shared" si="4"/>
        <v>86825</v>
      </c>
      <c r="J109" s="1641">
        <f t="shared" si="4"/>
        <v>11379</v>
      </c>
      <c r="K109" s="1629">
        <f t="shared" si="4"/>
        <v>11983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6630291</v>
      </c>
      <c r="D117" s="1586"/>
      <c r="E117" s="1573">
        <v>690000</v>
      </c>
      <c r="F117" s="1586">
        <v>200000</v>
      </c>
      <c r="G117" s="1586">
        <v>60000</v>
      </c>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6630291</v>
      </c>
      <c r="D122" s="1633">
        <f t="shared" si="5"/>
        <v>0</v>
      </c>
      <c r="E122" s="1633">
        <f t="shared" si="5"/>
        <v>690000</v>
      </c>
      <c r="F122" s="1633">
        <f t="shared" si="5"/>
        <v>200000</v>
      </c>
      <c r="G122" s="1633">
        <f t="shared" si="5"/>
        <v>60000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369792</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15819</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385611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3379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47080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57504</v>
      </c>
      <c r="G152" s="1574"/>
      <c r="H152" s="1575"/>
      <c r="I152" s="1575"/>
      <c r="J152" s="1575"/>
      <c r="K152" s="1575"/>
    </row>
    <row r="153" spans="1:11" ht="12.75" customHeight="1" x14ac:dyDescent="0.2">
      <c r="A153" s="427" t="s">
        <v>1048</v>
      </c>
      <c r="B153" s="478">
        <v>3510</v>
      </c>
      <c r="C153" s="1632"/>
      <c r="D153" s="1573"/>
      <c r="E153" s="1640"/>
      <c r="F153" s="1573">
        <v>430135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487639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v>16487</v>
      </c>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436070</v>
      </c>
      <c r="D169" s="1658">
        <f t="shared" si="6"/>
        <v>66487</v>
      </c>
      <c r="E169" s="1658">
        <f t="shared" si="6"/>
        <v>0</v>
      </c>
      <c r="F169" s="1658">
        <f t="shared" si="6"/>
        <v>487639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7066361</v>
      </c>
      <c r="D170" s="1641">
        <f t="shared" si="7"/>
        <v>66487</v>
      </c>
      <c r="E170" s="1641">
        <f t="shared" si="7"/>
        <v>690000</v>
      </c>
      <c r="F170" s="1641">
        <f t="shared" si="7"/>
        <v>687639</v>
      </c>
      <c r="G170" s="1641">
        <f t="shared" si="7"/>
        <v>60000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1777</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233542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25530</v>
      </c>
      <c r="D193" s="1575"/>
      <c r="E193" s="1640"/>
      <c r="F193" s="1575"/>
      <c r="G193" s="1664"/>
      <c r="H193" s="1575"/>
      <c r="I193" s="1575"/>
      <c r="J193" s="1575"/>
      <c r="K193" s="1575"/>
    </row>
    <row r="194" spans="1:11" ht="12.75" customHeight="1" x14ac:dyDescent="0.2">
      <c r="A194" s="427" t="s">
        <v>1434</v>
      </c>
      <c r="B194" s="429">
        <v>4225</v>
      </c>
      <c r="C194" s="1632">
        <v>12644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271716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344229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344229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3376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3376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387681</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387681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13388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5506</v>
      </c>
      <c r="D263" s="1651"/>
      <c r="E263" s="1575"/>
      <c r="F263" s="1651"/>
      <c r="G263" s="1651"/>
      <c r="H263" s="1575"/>
      <c r="I263" s="1575"/>
      <c r="J263" s="1575"/>
      <c r="K263" s="1575"/>
    </row>
    <row r="264" spans="1:11" ht="12.75" customHeight="1" thickTop="1" thickBot="1" x14ac:dyDescent="0.25">
      <c r="A264" s="427" t="s">
        <v>374</v>
      </c>
      <c r="B264" s="429">
        <v>4992</v>
      </c>
      <c r="C264" s="1650">
        <v>11788</v>
      </c>
      <c r="D264" s="1651"/>
      <c r="E264" s="1575"/>
      <c r="F264" s="1651"/>
      <c r="G264" s="1651"/>
      <c r="H264" s="1575"/>
      <c r="I264" s="1575"/>
      <c r="J264" s="1575"/>
      <c r="K264" s="1575"/>
    </row>
    <row r="265" spans="1:11" s="489" customFormat="1" ht="12.75" customHeight="1" thickTop="1" thickBot="1" x14ac:dyDescent="0.25">
      <c r="A265" s="479" t="s">
        <v>75</v>
      </c>
      <c r="B265" s="475">
        <v>4998</v>
      </c>
      <c r="C265" s="1650">
        <v>73716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1111400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1111400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20345420</v>
      </c>
      <c r="D268" s="1641">
        <f t="shared" si="12"/>
        <v>3227384</v>
      </c>
      <c r="E268" s="1641">
        <f t="shared" si="12"/>
        <v>1285581</v>
      </c>
      <c r="F268" s="1641">
        <f t="shared" si="12"/>
        <v>1693909</v>
      </c>
      <c r="G268" s="1641">
        <f t="shared" si="12"/>
        <v>314284</v>
      </c>
      <c r="H268" s="1641">
        <f t="shared" si="12"/>
        <v>521</v>
      </c>
      <c r="I268" s="1641">
        <f t="shared" si="12"/>
        <v>86825</v>
      </c>
      <c r="J268" s="1641">
        <f t="shared" si="12"/>
        <v>11379</v>
      </c>
      <c r="K268" s="1629">
        <f t="shared" si="12"/>
        <v>11983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6" activePane="bottomLeft" state="frozen"/>
      <selection activeCell="E28" sqref="E28"/>
      <selection pane="bottomLeft" activeCell="E28" sqref="E2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6186482</v>
      </c>
      <c r="D5" s="1573">
        <v>1100558</v>
      </c>
      <c r="E5" s="1573">
        <v>139420</v>
      </c>
      <c r="F5" s="1573">
        <v>232624</v>
      </c>
      <c r="G5" s="1573">
        <v>4361</v>
      </c>
      <c r="H5" s="1573">
        <v>57865</v>
      </c>
      <c r="I5" s="1574"/>
      <c r="J5" s="1574"/>
      <c r="K5" s="1672">
        <f>SUM(C5:J5)</f>
        <v>7721310</v>
      </c>
      <c r="L5" s="1573">
        <v>8015882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2482376</v>
      </c>
      <c r="D8" s="1573">
        <v>536762</v>
      </c>
      <c r="E8" s="1573">
        <v>15784</v>
      </c>
      <c r="F8" s="1573">
        <v>120078</v>
      </c>
      <c r="G8" s="1573">
        <v>56452</v>
      </c>
      <c r="H8" s="1573">
        <v>2388</v>
      </c>
      <c r="I8" s="1574"/>
      <c r="J8" s="1574"/>
      <c r="K8" s="1672">
        <f t="shared" si="0"/>
        <v>3213840</v>
      </c>
      <c r="L8" s="1573">
        <v>2979510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73408</v>
      </c>
      <c r="D10" s="1573">
        <v>25101</v>
      </c>
      <c r="E10" s="1573">
        <v>50419</v>
      </c>
      <c r="F10" s="1573">
        <v>918</v>
      </c>
      <c r="G10" s="1573"/>
      <c r="H10" s="1573"/>
      <c r="I10" s="1574"/>
      <c r="J10" s="1574"/>
      <c r="K10" s="1672">
        <f t="shared" si="0"/>
        <v>149846</v>
      </c>
      <c r="L10" s="1573">
        <v>146657</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847447</v>
      </c>
      <c r="D14" s="1573">
        <v>58346</v>
      </c>
      <c r="E14" s="1573">
        <v>127120</v>
      </c>
      <c r="F14" s="1573">
        <v>83950</v>
      </c>
      <c r="G14" s="1573">
        <v>6116</v>
      </c>
      <c r="H14" s="1573">
        <v>47711</v>
      </c>
      <c r="I14" s="1574"/>
      <c r="J14" s="1574"/>
      <c r="K14" s="1672">
        <f t="shared" si="0"/>
        <v>1170690</v>
      </c>
      <c r="L14" s="1573">
        <v>1162879</v>
      </c>
    </row>
    <row r="15" spans="1:14" x14ac:dyDescent="0.2">
      <c r="A15" s="1274" t="s">
        <v>958</v>
      </c>
      <c r="B15" s="503">
        <v>1600</v>
      </c>
      <c r="C15" s="1573" t="s">
        <v>1159</v>
      </c>
      <c r="D15" s="1573" t="s">
        <v>1159</v>
      </c>
      <c r="E15" s="1573"/>
      <c r="F15" s="1573"/>
      <c r="G15" s="1573"/>
      <c r="H15" s="1573"/>
      <c r="I15" s="1574"/>
      <c r="J15" s="1574"/>
      <c r="K15" s="1672">
        <f t="shared" si="0"/>
        <v>0</v>
      </c>
      <c r="L15" s="1573">
        <v>69068</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128577</v>
      </c>
      <c r="D17" s="1574">
        <v>13134</v>
      </c>
      <c r="E17" s="1574">
        <v>3969</v>
      </c>
      <c r="F17" s="1574">
        <v>2606</v>
      </c>
      <c r="G17" s="1574"/>
      <c r="H17" s="1574"/>
      <c r="I17" s="1574"/>
      <c r="J17" s="1574"/>
      <c r="K17" s="1672">
        <f t="shared" si="0"/>
        <v>148286</v>
      </c>
      <c r="L17" s="1573">
        <v>192850</v>
      </c>
    </row>
    <row r="18" spans="1:12" x14ac:dyDescent="0.2">
      <c r="A18" s="1274" t="s">
        <v>1078</v>
      </c>
      <c r="B18" s="503">
        <v>1800</v>
      </c>
      <c r="C18" s="1573">
        <v>111064</v>
      </c>
      <c r="D18" s="1573">
        <v>6552</v>
      </c>
      <c r="E18" s="1573">
        <v>48</v>
      </c>
      <c r="F18" s="1573">
        <v>473</v>
      </c>
      <c r="G18" s="1573"/>
      <c r="H18" s="1573"/>
      <c r="I18" s="1574"/>
      <c r="J18" s="1574"/>
      <c r="K18" s="1672">
        <f t="shared" si="0"/>
        <v>118137</v>
      </c>
      <c r="L18" s="1573">
        <v>127009</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680650</v>
      </c>
      <c r="I22" s="1673"/>
      <c r="J22" s="1582"/>
      <c r="K22" s="1672">
        <f t="shared" si="0"/>
        <v>680650</v>
      </c>
      <c r="L22" s="1577">
        <v>800000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9829354</v>
      </c>
      <c r="D33" s="1674">
        <f t="shared" ref="D33:L33" si="1">SUM(D5:D32)</f>
        <v>1740453</v>
      </c>
      <c r="E33" s="1674">
        <f t="shared" si="1"/>
        <v>336760</v>
      </c>
      <c r="F33" s="1674">
        <f t="shared" si="1"/>
        <v>440649</v>
      </c>
      <c r="G33" s="1674">
        <f t="shared" si="1"/>
        <v>66929</v>
      </c>
      <c r="H33" s="1674">
        <f t="shared" si="1"/>
        <v>788614</v>
      </c>
      <c r="I33" s="1674">
        <f t="shared" si="1"/>
        <v>0</v>
      </c>
      <c r="J33" s="1674">
        <f t="shared" si="1"/>
        <v>0</v>
      </c>
      <c r="K33" s="1674">
        <f t="shared" si="1"/>
        <v>13202759</v>
      </c>
      <c r="L33" s="1674">
        <f t="shared" si="1"/>
        <v>13493855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550119</v>
      </c>
      <c r="D36" s="1586">
        <v>207312</v>
      </c>
      <c r="E36" s="1586">
        <v>43845</v>
      </c>
      <c r="F36" s="1586">
        <v>2825</v>
      </c>
      <c r="G36" s="1586"/>
      <c r="H36" s="1586">
        <v>78</v>
      </c>
      <c r="I36" s="1574"/>
      <c r="J36" s="1574"/>
      <c r="K36" s="1672">
        <f t="shared" ref="K36:K41" si="2">SUM(C36:J36)</f>
        <v>804179</v>
      </c>
      <c r="L36" s="1573">
        <v>832849</v>
      </c>
    </row>
    <row r="37" spans="1:14" x14ac:dyDescent="0.2">
      <c r="A37" s="1274" t="s">
        <v>1081</v>
      </c>
      <c r="B37" s="503">
        <v>2120</v>
      </c>
      <c r="C37" s="1573">
        <v>789175</v>
      </c>
      <c r="D37" s="1573">
        <v>159094</v>
      </c>
      <c r="E37" s="1573">
        <v>19865</v>
      </c>
      <c r="F37" s="1573">
        <v>18264</v>
      </c>
      <c r="G37" s="1573"/>
      <c r="H37" s="1573">
        <v>712</v>
      </c>
      <c r="I37" s="1574"/>
      <c r="J37" s="1574"/>
      <c r="K37" s="1672">
        <f t="shared" si="2"/>
        <v>987110</v>
      </c>
      <c r="L37" s="1573">
        <v>992692</v>
      </c>
    </row>
    <row r="38" spans="1:14" x14ac:dyDescent="0.2">
      <c r="A38" s="1274" t="s">
        <v>196</v>
      </c>
      <c r="B38" s="503">
        <v>2130</v>
      </c>
      <c r="C38" s="1573">
        <v>101692</v>
      </c>
      <c r="D38" s="1573">
        <v>32378</v>
      </c>
      <c r="E38" s="1573">
        <v>21660</v>
      </c>
      <c r="F38" s="1573">
        <v>1755</v>
      </c>
      <c r="G38" s="1573"/>
      <c r="H38" s="1573"/>
      <c r="I38" s="1574"/>
      <c r="J38" s="1574"/>
      <c r="K38" s="1672">
        <f t="shared" si="2"/>
        <v>157485</v>
      </c>
      <c r="L38" s="1573">
        <v>182100</v>
      </c>
    </row>
    <row r="39" spans="1:14" x14ac:dyDescent="0.2">
      <c r="A39" s="1274" t="s">
        <v>197</v>
      </c>
      <c r="B39" s="503">
        <v>2140</v>
      </c>
      <c r="C39" s="1573">
        <v>62388</v>
      </c>
      <c r="D39" s="1573">
        <v>19855</v>
      </c>
      <c r="E39" s="1573"/>
      <c r="F39" s="1573">
        <v>1424</v>
      </c>
      <c r="G39" s="1573"/>
      <c r="H39" s="1573"/>
      <c r="I39" s="1574"/>
      <c r="J39" s="1574"/>
      <c r="K39" s="1672">
        <f t="shared" si="2"/>
        <v>83667</v>
      </c>
      <c r="L39" s="1573">
        <v>82426</v>
      </c>
    </row>
    <row r="40" spans="1:14" x14ac:dyDescent="0.2">
      <c r="A40" s="1274" t="s">
        <v>198</v>
      </c>
      <c r="B40" s="503">
        <v>2150</v>
      </c>
      <c r="C40" s="1573"/>
      <c r="D40" s="1573"/>
      <c r="E40" s="1573"/>
      <c r="F40" s="1573">
        <v>1461</v>
      </c>
      <c r="G40" s="1573"/>
      <c r="H40" s="1573"/>
      <c r="I40" s="1574">
        <v>375</v>
      </c>
      <c r="J40" s="1574"/>
      <c r="K40" s="1672">
        <f t="shared" si="2"/>
        <v>1836</v>
      </c>
      <c r="L40" s="1573">
        <v>22250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1503374</v>
      </c>
      <c r="D42" s="1674">
        <f t="shared" ref="D42:L42" si="3">SUM(D36:D41)</f>
        <v>418639</v>
      </c>
      <c r="E42" s="1674">
        <f t="shared" si="3"/>
        <v>85370</v>
      </c>
      <c r="F42" s="1674">
        <f t="shared" si="3"/>
        <v>25729</v>
      </c>
      <c r="G42" s="1674">
        <f t="shared" si="3"/>
        <v>0</v>
      </c>
      <c r="H42" s="1674">
        <f t="shared" si="3"/>
        <v>790</v>
      </c>
      <c r="I42" s="1674">
        <f t="shared" si="3"/>
        <v>375</v>
      </c>
      <c r="J42" s="1674">
        <f t="shared" si="3"/>
        <v>0</v>
      </c>
      <c r="K42" s="1674">
        <f t="shared" si="3"/>
        <v>2034277</v>
      </c>
      <c r="L42" s="1674">
        <f t="shared" si="3"/>
        <v>2112317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126708</v>
      </c>
      <c r="D44" s="1586">
        <v>20090</v>
      </c>
      <c r="E44" s="1586">
        <v>147990</v>
      </c>
      <c r="F44" s="1586">
        <v>8842</v>
      </c>
      <c r="G44" s="1586"/>
      <c r="H44" s="1586"/>
      <c r="I44" s="1574"/>
      <c r="J44" s="1574"/>
      <c r="K44" s="1678">
        <f>SUM(C44:J44)</f>
        <v>303630</v>
      </c>
      <c r="L44" s="1586">
        <v>206742</v>
      </c>
    </row>
    <row r="45" spans="1:14" x14ac:dyDescent="0.2">
      <c r="A45" s="1274" t="s">
        <v>810</v>
      </c>
      <c r="B45" s="503">
        <v>2220</v>
      </c>
      <c r="C45" s="1573">
        <v>94196</v>
      </c>
      <c r="D45" s="1573">
        <v>11546</v>
      </c>
      <c r="E45" s="1573">
        <v>9018</v>
      </c>
      <c r="F45" s="1573">
        <v>3118</v>
      </c>
      <c r="G45" s="1573"/>
      <c r="H45" s="1573">
        <v>1466</v>
      </c>
      <c r="I45" s="1574">
        <v>472</v>
      </c>
      <c r="J45" s="1574"/>
      <c r="K45" s="1678">
        <f>SUM(C45:J45)</f>
        <v>119816</v>
      </c>
      <c r="L45" s="1573">
        <v>122907</v>
      </c>
    </row>
    <row r="46" spans="1:14" x14ac:dyDescent="0.2">
      <c r="A46" s="1274" t="s">
        <v>811</v>
      </c>
      <c r="B46" s="503">
        <v>2230</v>
      </c>
      <c r="C46" s="1573">
        <v>216601</v>
      </c>
      <c r="D46" s="1573">
        <v>71945</v>
      </c>
      <c r="E46" s="1573">
        <v>5283</v>
      </c>
      <c r="F46" s="1573">
        <v>1274</v>
      </c>
      <c r="G46" s="1573"/>
      <c r="H46" s="1573">
        <v>639</v>
      </c>
      <c r="I46" s="1574">
        <v>466</v>
      </c>
      <c r="J46" s="1574"/>
      <c r="K46" s="1678">
        <f>SUM(C46:J46)</f>
        <v>296208</v>
      </c>
      <c r="L46" s="1573">
        <v>387203</v>
      </c>
    </row>
    <row r="47" spans="1:14" ht="12.75" customHeight="1" thickBot="1" x14ac:dyDescent="0.25">
      <c r="A47" s="1380" t="s">
        <v>557</v>
      </c>
      <c r="B47" s="1381" t="s">
        <v>32</v>
      </c>
      <c r="C47" s="1674">
        <f>SUM(C44:C46)</f>
        <v>437505</v>
      </c>
      <c r="D47" s="1674">
        <f t="shared" ref="D47:K47" si="4">SUM(D44:D46)</f>
        <v>103581</v>
      </c>
      <c r="E47" s="1674">
        <f t="shared" si="4"/>
        <v>162291</v>
      </c>
      <c r="F47" s="1674">
        <f t="shared" si="4"/>
        <v>13234</v>
      </c>
      <c r="G47" s="1674">
        <f t="shared" si="4"/>
        <v>0</v>
      </c>
      <c r="H47" s="1674">
        <f t="shared" si="4"/>
        <v>2105</v>
      </c>
      <c r="I47" s="1674">
        <f t="shared" si="4"/>
        <v>938</v>
      </c>
      <c r="J47" s="1674">
        <f t="shared" si="4"/>
        <v>0</v>
      </c>
      <c r="K47" s="1674">
        <f t="shared" si="4"/>
        <v>719654</v>
      </c>
      <c r="L47" s="1674">
        <f>SUM(L44:L46)</f>
        <v>716852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58499</v>
      </c>
      <c r="D49" s="1586">
        <v>15617</v>
      </c>
      <c r="E49" s="1586">
        <v>150972</v>
      </c>
      <c r="F49" s="1586">
        <v>1721</v>
      </c>
      <c r="G49" s="1586"/>
      <c r="H49" s="1586">
        <v>28490</v>
      </c>
      <c r="I49" s="1574" t="s">
        <v>1159</v>
      </c>
      <c r="J49" s="1574"/>
      <c r="K49" s="1678">
        <f>SUM(C49:J49)</f>
        <v>255299</v>
      </c>
      <c r="L49" s="1586">
        <v>287162</v>
      </c>
    </row>
    <row r="50" spans="1:14" x14ac:dyDescent="0.2">
      <c r="A50" s="1274" t="s">
        <v>813</v>
      </c>
      <c r="B50" s="503">
        <v>2320</v>
      </c>
      <c r="C50" s="1573">
        <v>272632</v>
      </c>
      <c r="D50" s="1573">
        <v>73428</v>
      </c>
      <c r="E50" s="1573">
        <v>15031</v>
      </c>
      <c r="F50" s="1573">
        <v>6851</v>
      </c>
      <c r="G50" s="1573"/>
      <c r="H50" s="1573">
        <v>5956</v>
      </c>
      <c r="I50" s="1574">
        <v>53</v>
      </c>
      <c r="J50" s="1574"/>
      <c r="K50" s="1678">
        <f>SUM(C50:J50)</f>
        <v>373951</v>
      </c>
      <c r="L50" s="1573">
        <v>365038</v>
      </c>
    </row>
    <row r="51" spans="1:14" x14ac:dyDescent="0.2">
      <c r="A51" s="1274" t="s">
        <v>42</v>
      </c>
      <c r="B51" s="503">
        <v>2330</v>
      </c>
      <c r="C51" s="1573"/>
      <c r="D51" s="1573"/>
      <c r="E51" s="1573"/>
      <c r="F51" s="1573">
        <v>5529</v>
      </c>
      <c r="G51" s="1573"/>
      <c r="H51" s="1573"/>
      <c r="I51" s="1574">
        <v>1714</v>
      </c>
      <c r="J51" s="1574"/>
      <c r="K51" s="1678">
        <f>SUM(C51:J51)</f>
        <v>7243</v>
      </c>
      <c r="L51" s="1573">
        <v>15000</v>
      </c>
    </row>
    <row r="52" spans="1:14" ht="22.5" x14ac:dyDescent="0.2">
      <c r="A52" s="1275" t="s">
        <v>295</v>
      </c>
      <c r="B52" s="511" t="s">
        <v>363</v>
      </c>
      <c r="C52" s="1579"/>
      <c r="D52" s="1579"/>
      <c r="E52" s="1579">
        <v>219281</v>
      </c>
      <c r="F52" s="1579"/>
      <c r="G52" s="1579"/>
      <c r="H52" s="1579"/>
      <c r="I52" s="1579"/>
      <c r="J52" s="1579"/>
      <c r="K52" s="1678">
        <f>SUM(C52:J52)</f>
        <v>219281</v>
      </c>
      <c r="L52" s="1579">
        <v>205000</v>
      </c>
    </row>
    <row r="53" spans="1:14" ht="12.75" customHeight="1" thickBot="1" x14ac:dyDescent="0.25">
      <c r="A53" s="1380" t="s">
        <v>712</v>
      </c>
      <c r="B53" s="1381" t="s">
        <v>33</v>
      </c>
      <c r="C53" s="1674">
        <f>SUM(C49:C52)</f>
        <v>331131</v>
      </c>
      <c r="D53" s="1674">
        <f t="shared" ref="D53:L53" si="5">SUM(D49:D52)</f>
        <v>89045</v>
      </c>
      <c r="E53" s="1674">
        <f t="shared" si="5"/>
        <v>385284</v>
      </c>
      <c r="F53" s="1674">
        <f t="shared" si="5"/>
        <v>14101</v>
      </c>
      <c r="G53" s="1674">
        <f t="shared" si="5"/>
        <v>0</v>
      </c>
      <c r="H53" s="1674">
        <f t="shared" si="5"/>
        <v>34446</v>
      </c>
      <c r="I53" s="1674">
        <f t="shared" si="5"/>
        <v>1767</v>
      </c>
      <c r="J53" s="1674">
        <f t="shared" si="5"/>
        <v>0</v>
      </c>
      <c r="K53" s="1674">
        <f t="shared" si="5"/>
        <v>855774</v>
      </c>
      <c r="L53" s="1674">
        <f t="shared" si="5"/>
        <v>872200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171901</v>
      </c>
      <c r="D55" s="1586">
        <v>54482</v>
      </c>
      <c r="E55" s="1586">
        <v>3197</v>
      </c>
      <c r="F55" s="1586">
        <v>592</v>
      </c>
      <c r="G55" s="1586"/>
      <c r="H55" s="1586">
        <v>13447</v>
      </c>
      <c r="I55" s="1574"/>
      <c r="J55" s="1574"/>
      <c r="K55" s="1678">
        <f>SUM(C55:J55)</f>
        <v>243619</v>
      </c>
      <c r="L55" s="1586">
        <v>248892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171901</v>
      </c>
      <c r="D57" s="1679">
        <f t="shared" ref="D57:K57" si="6">SUM(D55:D56)</f>
        <v>54482</v>
      </c>
      <c r="E57" s="1679">
        <f t="shared" si="6"/>
        <v>3197</v>
      </c>
      <c r="F57" s="1679">
        <f t="shared" si="6"/>
        <v>592</v>
      </c>
      <c r="G57" s="1679">
        <f t="shared" si="6"/>
        <v>0</v>
      </c>
      <c r="H57" s="1679">
        <f t="shared" si="6"/>
        <v>13447</v>
      </c>
      <c r="I57" s="1679">
        <f t="shared" si="6"/>
        <v>0</v>
      </c>
      <c r="J57" s="1679">
        <f t="shared" si="6"/>
        <v>0</v>
      </c>
      <c r="K57" s="1679">
        <f t="shared" si="6"/>
        <v>243619</v>
      </c>
      <c r="L57" s="1674">
        <f>SUM(L55:L56)</f>
        <v>248892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280209</v>
      </c>
      <c r="D60" s="1573">
        <v>61684</v>
      </c>
      <c r="E60" s="1573">
        <v>16371</v>
      </c>
      <c r="F60" s="1573">
        <v>2869</v>
      </c>
      <c r="G60" s="1573">
        <v>3176</v>
      </c>
      <c r="H60" s="1573">
        <v>728</v>
      </c>
      <c r="I60" s="1574"/>
      <c r="J60" s="1574"/>
      <c r="K60" s="1678">
        <f t="shared" si="7"/>
        <v>365037</v>
      </c>
      <c r="L60" s="1573">
        <v>389295</v>
      </c>
      <c r="M60" s="501"/>
      <c r="N60" s="501"/>
    </row>
    <row r="61" spans="1:14" s="321" customFormat="1" x14ac:dyDescent="0.2">
      <c r="A61" s="1274" t="s">
        <v>195</v>
      </c>
      <c r="B61" s="503">
        <v>2540</v>
      </c>
      <c r="C61" s="1573">
        <v>238200</v>
      </c>
      <c r="D61" s="2033">
        <v>51200</v>
      </c>
      <c r="E61" s="1573"/>
      <c r="F61" s="1573"/>
      <c r="G61" s="1573"/>
      <c r="H61" s="1573"/>
      <c r="I61" s="1574"/>
      <c r="J61" s="1574"/>
      <c r="K61" s="1678">
        <f t="shared" si="7"/>
        <v>289400</v>
      </c>
      <c r="L61" s="1573">
        <v>265741</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254103</v>
      </c>
      <c r="D63" s="1573">
        <v>51391</v>
      </c>
      <c r="E63" s="1573">
        <v>4088</v>
      </c>
      <c r="F63" s="1573">
        <v>214086</v>
      </c>
      <c r="G63" s="1573"/>
      <c r="H63" s="1573">
        <v>117</v>
      </c>
      <c r="I63" s="1574"/>
      <c r="J63" s="1574"/>
      <c r="K63" s="1678">
        <f t="shared" si="7"/>
        <v>523785</v>
      </c>
      <c r="L63" s="1573">
        <v>621033</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772512</v>
      </c>
      <c r="D65" s="1674">
        <f t="shared" ref="D65:L65" si="8">SUM(D59:D64)</f>
        <v>164275</v>
      </c>
      <c r="E65" s="1674">
        <f t="shared" si="8"/>
        <v>20459</v>
      </c>
      <c r="F65" s="1674">
        <f t="shared" si="8"/>
        <v>216955</v>
      </c>
      <c r="G65" s="1674">
        <f t="shared" si="8"/>
        <v>3176</v>
      </c>
      <c r="H65" s="1674">
        <f t="shared" si="8"/>
        <v>845</v>
      </c>
      <c r="I65" s="1674">
        <f t="shared" si="8"/>
        <v>0</v>
      </c>
      <c r="J65" s="1674">
        <f t="shared" si="8"/>
        <v>0</v>
      </c>
      <c r="K65" s="1674">
        <f t="shared" si="8"/>
        <v>1178222</v>
      </c>
      <c r="L65" s="1674">
        <f t="shared" si="8"/>
        <v>1276069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v>793</v>
      </c>
      <c r="F70" s="1573">
        <v>205</v>
      </c>
      <c r="G70" s="1573"/>
      <c r="H70" s="1573"/>
      <c r="I70" s="1574"/>
      <c r="J70" s="1574"/>
      <c r="K70" s="1678">
        <f>SUM(C70:J70)</f>
        <v>998</v>
      </c>
      <c r="L70" s="1573">
        <v>100</v>
      </c>
      <c r="M70" s="501"/>
      <c r="N70" s="501"/>
    </row>
    <row r="71" spans="1:14" s="321" customFormat="1" x14ac:dyDescent="0.2">
      <c r="A71" s="1274" t="s">
        <v>401</v>
      </c>
      <c r="B71" s="503">
        <v>2660</v>
      </c>
      <c r="C71" s="1573">
        <v>222277</v>
      </c>
      <c r="D71" s="1573">
        <v>40065</v>
      </c>
      <c r="E71" s="1573">
        <v>189714</v>
      </c>
      <c r="F71" s="1573">
        <v>28541</v>
      </c>
      <c r="G71" s="1573">
        <v>204092</v>
      </c>
      <c r="H71" s="1573">
        <v>340</v>
      </c>
      <c r="I71" s="1574"/>
      <c r="J71" s="1574"/>
      <c r="K71" s="1678">
        <f>SUM(C71:J71)</f>
        <v>685029</v>
      </c>
      <c r="L71" s="1573">
        <v>715964</v>
      </c>
      <c r="M71" s="501"/>
      <c r="N71" s="501"/>
    </row>
    <row r="72" spans="1:14" s="321" customFormat="1" ht="12.75" customHeight="1" thickBot="1" x14ac:dyDescent="0.25">
      <c r="A72" s="1380" t="s">
        <v>37</v>
      </c>
      <c r="B72" s="1383" t="s">
        <v>36</v>
      </c>
      <c r="C72" s="1674">
        <f>SUM(C67:C71)</f>
        <v>222277</v>
      </c>
      <c r="D72" s="1674">
        <f t="shared" ref="D72:K72" si="9">SUM(D67:D71)</f>
        <v>40065</v>
      </c>
      <c r="E72" s="1674">
        <f t="shared" si="9"/>
        <v>190507</v>
      </c>
      <c r="F72" s="1674">
        <f t="shared" si="9"/>
        <v>28746</v>
      </c>
      <c r="G72" s="1674">
        <f t="shared" si="9"/>
        <v>204092</v>
      </c>
      <c r="H72" s="1674">
        <f t="shared" si="9"/>
        <v>340</v>
      </c>
      <c r="I72" s="1674">
        <f t="shared" si="9"/>
        <v>0</v>
      </c>
      <c r="J72" s="1674">
        <f t="shared" si="9"/>
        <v>0</v>
      </c>
      <c r="K72" s="1674">
        <f t="shared" si="9"/>
        <v>686027</v>
      </c>
      <c r="L72" s="1674">
        <f>SUM(L67:L71)</f>
        <v>716064</v>
      </c>
      <c r="M72" s="501"/>
      <c r="N72" s="501"/>
    </row>
    <row r="73" spans="1:14" s="321" customFormat="1" ht="14.25" thickTop="1" thickBot="1" x14ac:dyDescent="0.25">
      <c r="A73" s="1280" t="s">
        <v>973</v>
      </c>
      <c r="B73" s="515" t="s">
        <v>570</v>
      </c>
      <c r="C73" s="1649"/>
      <c r="D73" s="1649"/>
      <c r="E73" s="1649"/>
      <c r="F73" s="1649" t="s">
        <v>1159</v>
      </c>
      <c r="G73" s="1649"/>
      <c r="H73" s="1649"/>
      <c r="I73" s="1627"/>
      <c r="J73" s="1627"/>
      <c r="K73" s="1674">
        <f>SUM(C73:J73)</f>
        <v>0</v>
      </c>
      <c r="L73" s="1651" t="s">
        <v>1159</v>
      </c>
      <c r="M73" s="501"/>
      <c r="N73" s="501"/>
    </row>
    <row r="74" spans="1:14" ht="12.75" customHeight="1" thickTop="1" thickBot="1" x14ac:dyDescent="0.25">
      <c r="A74" s="1380" t="s">
        <v>806</v>
      </c>
      <c r="B74" s="1384">
        <v>2000</v>
      </c>
      <c r="C74" s="1681">
        <f>SUM(C42,C47,C53,C57,C65,C72,C73)</f>
        <v>3438700</v>
      </c>
      <c r="D74" s="1681">
        <f t="shared" ref="D74:K74" si="10">SUM(D42,D47,D53,D57,D65,D72,D73)</f>
        <v>870087</v>
      </c>
      <c r="E74" s="1681">
        <f t="shared" si="10"/>
        <v>847108</v>
      </c>
      <c r="F74" s="1681">
        <f t="shared" si="10"/>
        <v>299357</v>
      </c>
      <c r="G74" s="1681">
        <f t="shared" si="10"/>
        <v>207268</v>
      </c>
      <c r="H74" s="1681">
        <f t="shared" si="10"/>
        <v>51973</v>
      </c>
      <c r="I74" s="1681">
        <f t="shared" si="10"/>
        <v>3080</v>
      </c>
      <c r="J74" s="1681">
        <f t="shared" si="10"/>
        <v>0</v>
      </c>
      <c r="K74" s="1681">
        <f t="shared" si="10"/>
        <v>5717573</v>
      </c>
      <c r="L74" s="1681">
        <f>SUM(L42,L47,L53,L57,L65,L72,L73)</f>
        <v>5942394</v>
      </c>
    </row>
    <row r="75" spans="1:14" s="254" customFormat="1" ht="15.75" customHeight="1" thickTop="1" thickBot="1" x14ac:dyDescent="0.25">
      <c r="A75" s="1348" t="s">
        <v>47</v>
      </c>
      <c r="B75" s="1349" t="s">
        <v>571</v>
      </c>
      <c r="C75" s="1649">
        <v>59644</v>
      </c>
      <c r="D75" s="1649">
        <v>2574</v>
      </c>
      <c r="E75" s="1649">
        <v>15009</v>
      </c>
      <c r="F75" s="1649">
        <v>13848</v>
      </c>
      <c r="G75" s="1649">
        <v>7006</v>
      </c>
      <c r="H75" s="1649">
        <v>45910</v>
      </c>
      <c r="I75" s="1627"/>
      <c r="J75" s="1627"/>
      <c r="K75" s="1674">
        <f>SUM(C75:J75)</f>
        <v>143991</v>
      </c>
      <c r="L75" s="1651">
        <v>152213</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776</v>
      </c>
      <c r="I79" s="1582"/>
      <c r="J79" s="1582"/>
      <c r="K79" s="1672">
        <f t="shared" si="11"/>
        <v>776</v>
      </c>
      <c r="L79" s="1573">
        <v>40000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333102</v>
      </c>
      <c r="I81" s="1582"/>
      <c r="J81" s="1582"/>
      <c r="K81" s="1672">
        <f t="shared" si="11"/>
        <v>333102</v>
      </c>
      <c r="L81" s="1573">
        <v>400000</v>
      </c>
    </row>
    <row r="82" spans="1:12" x14ac:dyDescent="0.2">
      <c r="A82" s="1274" t="s">
        <v>86</v>
      </c>
      <c r="B82" s="503">
        <v>4170</v>
      </c>
      <c r="C82" s="1673"/>
      <c r="D82" s="1673"/>
      <c r="E82" s="1573"/>
      <c r="F82" s="1673"/>
      <c r="G82" s="1673"/>
      <c r="H82" s="1573">
        <v>15630</v>
      </c>
      <c r="I82" s="1582"/>
      <c r="J82" s="1582"/>
      <c r="K82" s="1672">
        <f t="shared" si="11"/>
        <v>15630</v>
      </c>
      <c r="L82" s="1573">
        <v>14400</v>
      </c>
    </row>
    <row r="83" spans="1:12" x14ac:dyDescent="0.2">
      <c r="A83" s="1278" t="s">
        <v>693</v>
      </c>
      <c r="B83" s="512">
        <v>4190</v>
      </c>
      <c r="C83" s="1673"/>
      <c r="D83" s="1673"/>
      <c r="E83" s="1573"/>
      <c r="F83" s="1673"/>
      <c r="G83" s="1673"/>
      <c r="H83" s="1573">
        <v>46600</v>
      </c>
      <c r="I83" s="1582"/>
      <c r="J83" s="1582"/>
      <c r="K83" s="1672">
        <f t="shared" si="11"/>
        <v>46600</v>
      </c>
      <c r="L83" s="1573">
        <v>46000</v>
      </c>
    </row>
    <row r="84" spans="1:12" ht="13.5" thickBot="1" x14ac:dyDescent="0.25">
      <c r="A84" s="1380" t="s">
        <v>1468</v>
      </c>
      <c r="B84" s="1385">
        <v>4100</v>
      </c>
      <c r="C84" s="1673"/>
      <c r="D84" s="1673"/>
      <c r="E84" s="1674">
        <f>SUM(E78:E83)</f>
        <v>0</v>
      </c>
      <c r="F84" s="1673"/>
      <c r="G84" s="1673"/>
      <c r="H84" s="1674">
        <f>SUM(H78:H83)</f>
        <v>396108</v>
      </c>
      <c r="I84" s="1582"/>
      <c r="J84" s="1582"/>
      <c r="K84" s="1674">
        <f>SUM(K78:K83)</f>
        <v>396108</v>
      </c>
      <c r="L84" s="1674">
        <f>SUM(L78:L83)</f>
        <v>500400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v>11217</v>
      </c>
      <c r="I90" s="1582"/>
      <c r="J90" s="1582"/>
      <c r="K90" s="1681">
        <f t="shared" si="12"/>
        <v>11217</v>
      </c>
      <c r="L90" s="1626">
        <v>30000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11217</v>
      </c>
      <c r="I92" s="1582"/>
      <c r="J92" s="1582"/>
      <c r="K92" s="1681">
        <f t="shared" si="12"/>
        <v>11217</v>
      </c>
      <c r="L92" s="1674">
        <f>SUM(L85:L91)</f>
        <v>30000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407325</v>
      </c>
      <c r="I102" s="1582"/>
      <c r="J102" s="1582"/>
      <c r="K102" s="1681">
        <f>SUM(K84,K92,K100,K101)</f>
        <v>407325</v>
      </c>
      <c r="L102" s="1681">
        <f>SUM(L84,L92,L100,L101)</f>
        <v>530400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13327698</v>
      </c>
      <c r="D114" s="1674">
        <f t="shared" ref="D114:K114" si="13">SUM(D33,D74,D75,D102,D112,D113)</f>
        <v>2613114</v>
      </c>
      <c r="E114" s="1674">
        <f t="shared" si="13"/>
        <v>1198877</v>
      </c>
      <c r="F114" s="1674">
        <f t="shared" si="13"/>
        <v>753854</v>
      </c>
      <c r="G114" s="1674">
        <f t="shared" si="13"/>
        <v>281203</v>
      </c>
      <c r="H114" s="1674">
        <f>SUM(H33,H74,H75,H102,H112,H113)</f>
        <v>1293822</v>
      </c>
      <c r="I114" s="1674">
        <f t="shared" si="13"/>
        <v>3080</v>
      </c>
      <c r="J114" s="1674">
        <f t="shared" si="13"/>
        <v>0</v>
      </c>
      <c r="K114" s="1674">
        <f t="shared" si="13"/>
        <v>19471648</v>
      </c>
      <c r="L114" s="1674">
        <f>SUM(L33,L74,L75,L102,L112,L113)</f>
        <v>20118862</v>
      </c>
    </row>
    <row r="115" spans="1:14" ht="13.5" thickTop="1" x14ac:dyDescent="0.2">
      <c r="A115" s="2260" t="s">
        <v>989</v>
      </c>
      <c r="B115" s="2261"/>
      <c r="C115" s="1675"/>
      <c r="D115" s="1675"/>
      <c r="E115" s="1675"/>
      <c r="F115" s="1675"/>
      <c r="G115" s="1675"/>
      <c r="H115" s="1675"/>
      <c r="I115" s="1675"/>
      <c r="J115" s="1675"/>
      <c r="K115" s="1689">
        <f>'Revenues 9-14'!C268-'Expenditures 15-22'!K114</f>
        <v>873772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49210</v>
      </c>
      <c r="F123" s="1573"/>
      <c r="G123" s="1573"/>
      <c r="H123" s="1573"/>
      <c r="I123" s="1574"/>
      <c r="J123" s="1574"/>
      <c r="K123" s="1674">
        <f>SUM(C123:J123)</f>
        <v>49210</v>
      </c>
      <c r="L123" s="1573">
        <v>60000</v>
      </c>
    </row>
    <row r="124" spans="1:14" ht="14.25" thickTop="1" thickBot="1" x14ac:dyDescent="0.25">
      <c r="A124" s="1274" t="s">
        <v>195</v>
      </c>
      <c r="B124" s="503">
        <v>2540</v>
      </c>
      <c r="C124" s="1573">
        <v>554036</v>
      </c>
      <c r="D124" s="1573">
        <v>126273</v>
      </c>
      <c r="E124" s="1573">
        <v>514142</v>
      </c>
      <c r="F124" s="1573">
        <v>514157</v>
      </c>
      <c r="G124" s="1573">
        <v>1359642</v>
      </c>
      <c r="H124" s="1573">
        <v>1410</v>
      </c>
      <c r="I124" s="1574"/>
      <c r="J124" s="1574"/>
      <c r="K124" s="1674">
        <f>SUM(C124:J124)</f>
        <v>3069660</v>
      </c>
      <c r="L124" s="1573">
        <v>3117634</v>
      </c>
    </row>
    <row r="125" spans="1:14" ht="14.25" thickTop="1" thickBot="1" x14ac:dyDescent="0.25">
      <c r="A125" s="1274" t="s">
        <v>947</v>
      </c>
      <c r="B125" s="503">
        <v>2550</v>
      </c>
      <c r="C125" s="1573" t="s">
        <v>1159</v>
      </c>
      <c r="D125" s="1573" t="s">
        <v>1159</v>
      </c>
      <c r="E125" s="1573" t="s">
        <v>1159</v>
      </c>
      <c r="F125" s="1573" t="s">
        <v>1159</v>
      </c>
      <c r="G125" s="1573" t="s">
        <v>1159</v>
      </c>
      <c r="H125" s="1573" t="s">
        <v>1159</v>
      </c>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554036</v>
      </c>
      <c r="D127" s="1674">
        <f t="shared" ref="D127:L127" si="14">SUM(D122:D126)</f>
        <v>126273</v>
      </c>
      <c r="E127" s="1674">
        <f t="shared" si="14"/>
        <v>563352</v>
      </c>
      <c r="F127" s="1674">
        <f t="shared" si="14"/>
        <v>514157</v>
      </c>
      <c r="G127" s="1674">
        <f t="shared" si="14"/>
        <v>1359642</v>
      </c>
      <c r="H127" s="1674">
        <f t="shared" si="14"/>
        <v>1410</v>
      </c>
      <c r="I127" s="1674">
        <f t="shared" si="14"/>
        <v>0</v>
      </c>
      <c r="J127" s="1674">
        <f t="shared" si="14"/>
        <v>0</v>
      </c>
      <c r="K127" s="1674">
        <f t="shared" si="14"/>
        <v>3118870</v>
      </c>
      <c r="L127" s="1674">
        <f t="shared" si="14"/>
        <v>3177634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554036</v>
      </c>
      <c r="D129" s="1681">
        <f t="shared" ref="D129:L129" si="15">SUM(D120,D127,D128)</f>
        <v>126273</v>
      </c>
      <c r="E129" s="1681">
        <f t="shared" si="15"/>
        <v>563352</v>
      </c>
      <c r="F129" s="1681">
        <f t="shared" si="15"/>
        <v>514157</v>
      </c>
      <c r="G129" s="1681">
        <f t="shared" si="15"/>
        <v>1359642</v>
      </c>
      <c r="H129" s="1681">
        <f t="shared" si="15"/>
        <v>1410</v>
      </c>
      <c r="I129" s="1681">
        <f t="shared" si="15"/>
        <v>0</v>
      </c>
      <c r="J129" s="1681">
        <f t="shared" si="15"/>
        <v>0</v>
      </c>
      <c r="K129" s="1681">
        <f t="shared" si="15"/>
        <v>3118870</v>
      </c>
      <c r="L129" s="1681">
        <f t="shared" si="15"/>
        <v>3177634</v>
      </c>
    </row>
    <row r="130" spans="1:14" ht="15.75" customHeight="1" thickTop="1" thickBot="1" x14ac:dyDescent="0.25">
      <c r="A130" s="1348" t="s">
        <v>1029</v>
      </c>
      <c r="B130" s="1349" t="s">
        <v>571</v>
      </c>
      <c r="C130" s="1651">
        <v>1056</v>
      </c>
      <c r="D130" s="1651"/>
      <c r="E130" s="1651"/>
      <c r="F130" s="1651"/>
      <c r="G130" s="1651"/>
      <c r="H130" s="1651"/>
      <c r="I130" s="1627"/>
      <c r="J130" s="1627"/>
      <c r="K130" s="1674">
        <f>SUM(C130:J130)</f>
        <v>1056</v>
      </c>
      <c r="L130" s="1651">
        <v>1750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7"/>
      <c r="C151" s="1674">
        <f>SUM(C129,C130,C139,C149,C150)</f>
        <v>555092</v>
      </c>
      <c r="D151" s="1674">
        <f t="shared" ref="D151:K151" si="16">SUM(D129,D130,D139,D149,D150)</f>
        <v>126273</v>
      </c>
      <c r="E151" s="1674">
        <f t="shared" si="16"/>
        <v>563352</v>
      </c>
      <c r="F151" s="1674">
        <f t="shared" si="16"/>
        <v>514157</v>
      </c>
      <c r="G151" s="1674">
        <f t="shared" si="16"/>
        <v>1359642</v>
      </c>
      <c r="H151" s="1674">
        <f t="shared" si="16"/>
        <v>1410</v>
      </c>
      <c r="I151" s="1674">
        <f t="shared" si="16"/>
        <v>0</v>
      </c>
      <c r="J151" s="1674">
        <f t="shared" si="16"/>
        <v>0</v>
      </c>
      <c r="K151" s="1674">
        <f t="shared" si="16"/>
        <v>3119926</v>
      </c>
      <c r="L151" s="1674">
        <f>SUM(L129,L130,L139,L149,L150)</f>
        <v>3179384</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107458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470976</v>
      </c>
      <c r="I169" s="1673"/>
      <c r="J169" s="1673"/>
      <c r="K169" s="1672">
        <f>SUM(C169:H169)</f>
        <v>470976</v>
      </c>
      <c r="L169" s="1695">
        <v>474720</v>
      </c>
    </row>
    <row r="170" spans="1:14" ht="33.75" customHeight="1" x14ac:dyDescent="0.2">
      <c r="A170" s="543" t="s">
        <v>1651</v>
      </c>
      <c r="B170" s="545" t="s">
        <v>31</v>
      </c>
      <c r="C170" s="1673"/>
      <c r="D170" s="1673"/>
      <c r="E170" s="1673"/>
      <c r="F170" s="1673"/>
      <c r="G170" s="1673"/>
      <c r="H170" s="1646">
        <v>775000</v>
      </c>
      <c r="I170" s="1673"/>
      <c r="J170" s="1673"/>
      <c r="K170" s="1672">
        <f>SUM(C170:J170)</f>
        <v>775000</v>
      </c>
      <c r="L170" s="1646">
        <v>779500</v>
      </c>
    </row>
    <row r="171" spans="1:14" ht="15.75" customHeight="1" x14ac:dyDescent="0.2">
      <c r="A171" s="507" t="s">
        <v>761</v>
      </c>
      <c r="B171" s="546" t="s">
        <v>84</v>
      </c>
      <c r="C171" s="1673"/>
      <c r="D171" s="1673"/>
      <c r="E171" s="1573"/>
      <c r="F171" s="1673"/>
      <c r="G171" s="1673"/>
      <c r="H171" s="1646">
        <v>3511</v>
      </c>
      <c r="I171" s="1582"/>
      <c r="J171" s="1673"/>
      <c r="K171" s="1672">
        <f>SUM(C171:J171)</f>
        <v>3511</v>
      </c>
      <c r="L171" s="1646"/>
    </row>
    <row r="172" spans="1:14" ht="12.75" customHeight="1" thickBot="1" x14ac:dyDescent="0.25">
      <c r="A172" s="1380" t="s">
        <v>633</v>
      </c>
      <c r="B172" s="1381" t="s">
        <v>489</v>
      </c>
      <c r="C172" s="1673"/>
      <c r="D172" s="1673"/>
      <c r="E172" s="1681">
        <f>SUM(E168,E169,E170,E171)</f>
        <v>0</v>
      </c>
      <c r="F172" s="1673"/>
      <c r="G172" s="1673"/>
      <c r="H172" s="1681">
        <f>SUM(H168,H169,H170,H171)</f>
        <v>1249487</v>
      </c>
      <c r="I172" s="1684"/>
      <c r="J172" s="1673"/>
      <c r="K172" s="1681">
        <f>SUM(K168,K169,K170,K171)</f>
        <v>1249487</v>
      </c>
      <c r="L172" s="1681">
        <f>SUM(L168,L169,L170,L171)</f>
        <v>1254220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1249487</v>
      </c>
      <c r="I174" s="1684"/>
      <c r="J174" s="1673"/>
      <c r="K174" s="1681">
        <f>SUM(K160,K172,K173)</f>
        <v>1249487</v>
      </c>
      <c r="L174" s="1681">
        <f>SUM(L160,L172,L173)</f>
        <v>1254220</v>
      </c>
    </row>
    <row r="175" spans="1:14" ht="13.5" thickTop="1" x14ac:dyDescent="0.2">
      <c r="A175" s="2260" t="s">
        <v>989</v>
      </c>
      <c r="B175" s="2261"/>
      <c r="C175" s="1673"/>
      <c r="D175" s="1673"/>
      <c r="E175" s="1673"/>
      <c r="F175" s="1673"/>
      <c r="G175" s="1673"/>
      <c r="H175" s="1675"/>
      <c r="I175" s="1673"/>
      <c r="J175" s="1673"/>
      <c r="K175" s="1689">
        <f>'Revenues 9-14'!E268-'Expenditures 15-22'!K174</f>
        <v>36094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678535</v>
      </c>
      <c r="D182" s="1573">
        <v>209739</v>
      </c>
      <c r="E182" s="1573">
        <v>435339</v>
      </c>
      <c r="F182" s="1573">
        <v>97441</v>
      </c>
      <c r="G182" s="1573">
        <v>27620</v>
      </c>
      <c r="H182" s="1573">
        <v>3883</v>
      </c>
      <c r="I182" s="1574"/>
      <c r="J182" s="1574"/>
      <c r="K182" s="1672">
        <f>SUM(C182:J182)</f>
        <v>1452557</v>
      </c>
      <c r="L182" s="1573">
        <v>1463332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678535</v>
      </c>
      <c r="D184" s="1681">
        <f t="shared" ref="D184:J184" si="17">SUM(D180,D182,D183)</f>
        <v>209739</v>
      </c>
      <c r="E184" s="1681">
        <f t="shared" si="17"/>
        <v>435339</v>
      </c>
      <c r="F184" s="1681">
        <f t="shared" si="17"/>
        <v>97441</v>
      </c>
      <c r="G184" s="1681">
        <f t="shared" si="17"/>
        <v>27620</v>
      </c>
      <c r="H184" s="1681">
        <f t="shared" si="17"/>
        <v>3883</v>
      </c>
      <c r="I184" s="1681">
        <f t="shared" si="17"/>
        <v>0</v>
      </c>
      <c r="J184" s="1681">
        <f t="shared" si="17"/>
        <v>0</v>
      </c>
      <c r="K184" s="1681">
        <f>SUM(K180,K182,K183)</f>
        <v>1452557</v>
      </c>
      <c r="L184" s="1681">
        <f>SUM(L180, L182:L183)</f>
        <v>1463332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678535</v>
      </c>
      <c r="D210" s="1674">
        <f>SUM(D184,D185)</f>
        <v>209739</v>
      </c>
      <c r="E210" s="1674">
        <f>SUM(E184,E185,E196)</f>
        <v>435339</v>
      </c>
      <c r="F210" s="1674">
        <f>SUM(F184,F185)</f>
        <v>97441</v>
      </c>
      <c r="G210" s="1674">
        <f>SUM(G184,G185)</f>
        <v>27620</v>
      </c>
      <c r="H210" s="1674">
        <f>SUM(H184,H185,H196,H208,H209)</f>
        <v>3883</v>
      </c>
      <c r="I210" s="1674">
        <f>SUM(I184,I185)</f>
        <v>0</v>
      </c>
      <c r="J210" s="1674">
        <f>SUM(J184,J185)</f>
        <v>0</v>
      </c>
      <c r="K210" s="1672">
        <f>SUM(K184,K185,K196,K208,K209)</f>
        <v>1452557</v>
      </c>
      <c r="L210" s="1674">
        <f>SUM(L184,L185,L196,L208,L209)</f>
        <v>1463332</v>
      </c>
    </row>
    <row r="211" spans="1:14" ht="13.5" thickTop="1" x14ac:dyDescent="0.2">
      <c r="A211" s="2260" t="s">
        <v>989</v>
      </c>
      <c r="B211" s="2261"/>
      <c r="C211" s="1675"/>
      <c r="D211" s="1675"/>
      <c r="E211" s="1675"/>
      <c r="F211" s="1675"/>
      <c r="G211" s="1675"/>
      <c r="H211" s="1675"/>
      <c r="I211" s="1673"/>
      <c r="J211" s="1673"/>
      <c r="K211" s="1689">
        <f>'Revenues 9-14'!F268-'Expenditures 15-22'!K210</f>
        <v>241352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6026</v>
      </c>
      <c r="E215" s="1673"/>
      <c r="F215" s="1673"/>
      <c r="G215" s="1673"/>
      <c r="H215" s="1673"/>
      <c r="I215" s="1673"/>
      <c r="J215" s="1673"/>
      <c r="K215" s="1672">
        <f>D215</f>
        <v>6026</v>
      </c>
      <c r="L215" s="1573">
        <v>7000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38930</v>
      </c>
      <c r="E217" s="1673"/>
      <c r="F217" s="1673"/>
      <c r="G217" s="1673"/>
      <c r="H217" s="1673"/>
      <c r="I217" s="1673"/>
      <c r="J217" s="1673"/>
      <c r="K217" s="1672">
        <f t="shared" si="19"/>
        <v>38930</v>
      </c>
      <c r="L217" s="1573">
        <v>40000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8346</v>
      </c>
      <c r="E223" s="1673"/>
      <c r="F223" s="1673"/>
      <c r="G223" s="1673"/>
      <c r="H223" s="1673"/>
      <c r="I223" s="1673"/>
      <c r="J223" s="1673"/>
      <c r="K223" s="1672">
        <f t="shared" si="19"/>
        <v>8346</v>
      </c>
      <c r="L223" s="1573">
        <v>9000</v>
      </c>
    </row>
    <row r="224" spans="1:14" x14ac:dyDescent="0.2">
      <c r="A224" s="1274" t="s">
        <v>958</v>
      </c>
      <c r="B224" s="503">
        <v>1600</v>
      </c>
      <c r="C224" s="1673"/>
      <c r="D224" s="1573"/>
      <c r="E224" s="1673"/>
      <c r="F224" s="1673"/>
      <c r="G224" s="1673"/>
      <c r="H224" s="1673"/>
      <c r="I224" s="1673"/>
      <c r="J224" s="1673"/>
      <c r="K224" s="1672">
        <f t="shared" si="19"/>
        <v>0</v>
      </c>
      <c r="L224" s="1573">
        <v>200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1131</v>
      </c>
      <c r="E227" s="1673"/>
      <c r="F227" s="1673"/>
      <c r="G227" s="1673"/>
      <c r="H227" s="1673"/>
      <c r="I227" s="1673"/>
      <c r="J227" s="1673"/>
      <c r="K227" s="1672">
        <f t="shared" si="19"/>
        <v>1131</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54433</v>
      </c>
      <c r="E229" s="1673"/>
      <c r="F229" s="1673"/>
      <c r="G229" s="1673"/>
      <c r="H229" s="1673"/>
      <c r="I229" s="1673"/>
      <c r="J229" s="1673"/>
      <c r="K229" s="1674">
        <f>SUM(K215:K228)</f>
        <v>54433</v>
      </c>
      <c r="L229" s="1674">
        <f>SUM(L215:L228)</f>
        <v>56200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7728</v>
      </c>
      <c r="E232" s="1673"/>
      <c r="F232" s="1673"/>
      <c r="G232" s="1673"/>
      <c r="H232" s="1673"/>
      <c r="I232" s="1673"/>
      <c r="J232" s="1673"/>
      <c r="K232" s="1672">
        <f t="shared" ref="K232:K237" si="20">D232</f>
        <v>7728</v>
      </c>
      <c r="L232" s="1573">
        <v>8000</v>
      </c>
    </row>
    <row r="233" spans="1:12" x14ac:dyDescent="0.2">
      <c r="A233" s="1274" t="s">
        <v>1081</v>
      </c>
      <c r="B233" s="503">
        <v>2120</v>
      </c>
      <c r="C233" s="1673"/>
      <c r="D233" s="1573">
        <v>12749</v>
      </c>
      <c r="E233" s="1673"/>
      <c r="F233" s="1673"/>
      <c r="G233" s="1673"/>
      <c r="H233" s="1673"/>
      <c r="I233" s="1673"/>
      <c r="J233" s="1673"/>
      <c r="K233" s="1672">
        <f t="shared" si="20"/>
        <v>12749</v>
      </c>
      <c r="L233" s="1573">
        <v>13000</v>
      </c>
    </row>
    <row r="234" spans="1:12" x14ac:dyDescent="0.2">
      <c r="A234" s="1274" t="s">
        <v>196</v>
      </c>
      <c r="B234" s="503">
        <v>2130</v>
      </c>
      <c r="C234" s="1673"/>
      <c r="D234" s="1573">
        <v>10939</v>
      </c>
      <c r="E234" s="1673"/>
      <c r="F234" s="1673"/>
      <c r="G234" s="1673"/>
      <c r="H234" s="1673"/>
      <c r="I234" s="1673"/>
      <c r="J234" s="1673"/>
      <c r="K234" s="1672">
        <f t="shared" si="20"/>
        <v>10939</v>
      </c>
      <c r="L234" s="1573">
        <v>11000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31416</v>
      </c>
      <c r="E238" s="1673"/>
      <c r="F238" s="1673"/>
      <c r="G238" s="1673"/>
      <c r="H238" s="1673"/>
      <c r="I238" s="1673"/>
      <c r="J238" s="1673"/>
      <c r="K238" s="1674">
        <f>SUM(K232:K237)</f>
        <v>31416</v>
      </c>
      <c r="L238" s="1674">
        <f>SUM(L232:L237)</f>
        <v>32000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3090</v>
      </c>
      <c r="E241" s="1673"/>
      <c r="F241" s="1673"/>
      <c r="G241" s="1673"/>
      <c r="H241" s="1673"/>
      <c r="I241" s="1673"/>
      <c r="J241" s="1673"/>
      <c r="K241" s="1678">
        <f>D241</f>
        <v>3090</v>
      </c>
      <c r="L241" s="1573">
        <v>3000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3090</v>
      </c>
      <c r="E243" s="1673"/>
      <c r="F243" s="1673"/>
      <c r="G243" s="1673"/>
      <c r="H243" s="1673"/>
      <c r="I243" s="1673"/>
      <c r="J243" s="1673"/>
      <c r="K243" s="1674">
        <f>SUM(K240:K242)</f>
        <v>3090</v>
      </c>
      <c r="L243" s="1674">
        <f>SUM(L240:L242)</f>
        <v>3000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6437</v>
      </c>
      <c r="E245" s="1673"/>
      <c r="F245" s="1673"/>
      <c r="G245" s="1673"/>
      <c r="H245" s="1673"/>
      <c r="I245" s="1673"/>
      <c r="J245" s="1673"/>
      <c r="K245" s="1678">
        <f>D245</f>
        <v>6437</v>
      </c>
      <c r="L245" s="1586">
        <v>5992</v>
      </c>
    </row>
    <row r="246" spans="1:12" x14ac:dyDescent="0.2">
      <c r="A246" s="1274" t="s">
        <v>813</v>
      </c>
      <c r="B246" s="503">
        <v>2320</v>
      </c>
      <c r="C246" s="1673"/>
      <c r="D246" s="1573">
        <v>5555</v>
      </c>
      <c r="E246" s="1673"/>
      <c r="F246" s="1673"/>
      <c r="G246" s="1673"/>
      <c r="H246" s="1673"/>
      <c r="I246" s="1673"/>
      <c r="J246" s="1673"/>
      <c r="K246" s="1678">
        <f t="shared" ref="K246:K256" si="21">D246</f>
        <v>5555</v>
      </c>
      <c r="L246" s="1573">
        <v>5600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11992</v>
      </c>
      <c r="E257" s="1673"/>
      <c r="F257" s="1673"/>
      <c r="G257" s="1673"/>
      <c r="H257" s="1673"/>
      <c r="I257" s="1673"/>
      <c r="J257" s="1673"/>
      <c r="K257" s="1674">
        <f>SUM(K245:K256)</f>
        <v>11992</v>
      </c>
      <c r="L257" s="1674">
        <f>SUM(L245:L256)</f>
        <v>11592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3799</v>
      </c>
      <c r="E259" s="1673"/>
      <c r="F259" s="1673"/>
      <c r="G259" s="1673"/>
      <c r="H259" s="1673"/>
      <c r="I259" s="1673"/>
      <c r="J259" s="1673"/>
      <c r="K259" s="1678">
        <f>D259</f>
        <v>3799</v>
      </c>
      <c r="L259" s="1586">
        <v>3900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3799</v>
      </c>
      <c r="E261" s="1673"/>
      <c r="F261" s="1673"/>
      <c r="G261" s="1673"/>
      <c r="H261" s="1673"/>
      <c r="I261" s="1673"/>
      <c r="J261" s="1673"/>
      <c r="K261" s="1674">
        <f>SUM(K259:K260)</f>
        <v>3799</v>
      </c>
      <c r="L261" s="1674">
        <f>SUM(L259:L260)</f>
        <v>3900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16904</v>
      </c>
      <c r="E264" s="1673"/>
      <c r="F264" s="1673"/>
      <c r="G264" s="1673"/>
      <c r="H264" s="1673"/>
      <c r="I264" s="1673"/>
      <c r="J264" s="1673"/>
      <c r="K264" s="1678">
        <f t="shared" ref="K264:K269" si="22">D264</f>
        <v>16904</v>
      </c>
      <c r="L264" s="1573">
        <v>17300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84882</v>
      </c>
      <c r="E266" s="1673"/>
      <c r="F266" s="1673"/>
      <c r="G266" s="1673"/>
      <c r="H266" s="1673"/>
      <c r="I266" s="1673"/>
      <c r="J266" s="1673"/>
      <c r="K266" s="1678">
        <f t="shared" si="22"/>
        <v>84882</v>
      </c>
      <c r="L266" s="1573">
        <v>87200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27402</v>
      </c>
      <c r="E268" s="1673"/>
      <c r="F268" s="1673"/>
      <c r="G268" s="1673"/>
      <c r="H268" s="1673"/>
      <c r="I268" s="1673"/>
      <c r="J268" s="1673"/>
      <c r="K268" s="1678">
        <f t="shared" si="22"/>
        <v>27402</v>
      </c>
      <c r="L268" s="1573">
        <v>25600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129188</v>
      </c>
      <c r="E270" s="1673"/>
      <c r="F270" s="1673"/>
      <c r="G270" s="1673"/>
      <c r="H270" s="1673"/>
      <c r="I270" s="1673"/>
      <c r="J270" s="1673"/>
      <c r="K270" s="1674">
        <f>SUM(K263:K269)</f>
        <v>129188</v>
      </c>
      <c r="L270" s="1674">
        <f>SUM(L263:L269)</f>
        <v>130100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24156</v>
      </c>
      <c r="E276" s="1673"/>
      <c r="F276" s="1673"/>
      <c r="G276" s="1673"/>
      <c r="H276" s="1673"/>
      <c r="I276" s="1673"/>
      <c r="J276" s="1673"/>
      <c r="K276" s="1678">
        <f>D276</f>
        <v>24156</v>
      </c>
      <c r="L276" s="1573">
        <v>26720</v>
      </c>
    </row>
    <row r="277" spans="1:12" ht="12.75" customHeight="1" thickBot="1" x14ac:dyDescent="0.25">
      <c r="A277" s="1393" t="s">
        <v>37</v>
      </c>
      <c r="B277" s="1381" t="s">
        <v>36</v>
      </c>
      <c r="C277" s="1673"/>
      <c r="D277" s="1674">
        <f>SUM(D272:D276)</f>
        <v>24156</v>
      </c>
      <c r="E277" s="1673"/>
      <c r="F277" s="1673"/>
      <c r="G277" s="1673"/>
      <c r="H277" s="1673"/>
      <c r="I277" s="1673"/>
      <c r="J277" s="1673"/>
      <c r="K277" s="1674">
        <f>SUM(K272:K276)</f>
        <v>24156</v>
      </c>
      <c r="L277" s="1674">
        <f>SUM(L272:L276)</f>
        <v>26720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203641</v>
      </c>
      <c r="E279" s="1673"/>
      <c r="F279" s="1673"/>
      <c r="G279" s="1673"/>
      <c r="H279" s="1673"/>
      <c r="I279" s="1673"/>
      <c r="J279" s="1673"/>
      <c r="K279" s="1681">
        <f>SUM(K238,K243,K257,K261,K270,K277,K278)</f>
        <v>203641</v>
      </c>
      <c r="L279" s="1681">
        <f>SUM(L238,L243,L257,L261,L270,L277,L278)</f>
        <v>207312</v>
      </c>
    </row>
    <row r="280" spans="1:12" ht="15.75" customHeight="1" thickTop="1" thickBot="1" x14ac:dyDescent="0.25">
      <c r="A280" s="1362" t="s">
        <v>870</v>
      </c>
      <c r="B280" s="1351">
        <v>3000</v>
      </c>
      <c r="C280" s="1673"/>
      <c r="D280" s="1651">
        <v>253</v>
      </c>
      <c r="E280" s="1673"/>
      <c r="F280" s="1673"/>
      <c r="G280" s="1673"/>
      <c r="H280" s="1673"/>
      <c r="I280" s="1673"/>
      <c r="J280" s="1673"/>
      <c r="K280" s="1687">
        <f>D280</f>
        <v>253</v>
      </c>
      <c r="L280" s="1651">
        <v>850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258327</v>
      </c>
      <c r="E295" s="1673"/>
      <c r="F295" s="1673"/>
      <c r="G295" s="1673"/>
      <c r="H295" s="1674">
        <f>H293</f>
        <v>0</v>
      </c>
      <c r="I295" s="1673"/>
      <c r="J295" s="1673"/>
      <c r="K295" s="1674">
        <f>SUM(K229,K279,K280,K285,K293,K294)</f>
        <v>258327</v>
      </c>
      <c r="L295" s="1674">
        <f>SUM(L229,L279,L280,L285,L293,L294)</f>
        <v>264362</v>
      </c>
    </row>
    <row r="296" spans="1:14" ht="13.5" thickTop="1" x14ac:dyDescent="0.2">
      <c r="A296" s="2260" t="s">
        <v>989</v>
      </c>
      <c r="B296" s="2261"/>
      <c r="C296" s="1673"/>
      <c r="D296" s="1675"/>
      <c r="E296" s="1673"/>
      <c r="F296" s="1673"/>
      <c r="G296" s="1673"/>
      <c r="H296" s="1707"/>
      <c r="I296" s="1673"/>
      <c r="J296" s="1673"/>
      <c r="K296" s="1689">
        <f>'Revenues 9-14'!G268-'Expenditures 15-22'!K295</f>
        <v>55957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v>7010</v>
      </c>
      <c r="I301" s="1574"/>
      <c r="J301" s="1574"/>
      <c r="K301" s="1672">
        <f>SUM(C301:J301)</f>
        <v>7010</v>
      </c>
      <c r="L301" s="1574">
        <v>6000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7010</v>
      </c>
      <c r="I303" s="1681">
        <f t="shared" si="23"/>
        <v>0</v>
      </c>
      <c r="J303" s="1681">
        <f t="shared" si="23"/>
        <v>0</v>
      </c>
      <c r="K303" s="1681">
        <f t="shared" si="23"/>
        <v>7010</v>
      </c>
      <c r="L303" s="1681">
        <f t="shared" si="23"/>
        <v>6000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7010</v>
      </c>
      <c r="I312" s="1674">
        <f>SUM(I303)</f>
        <v>0</v>
      </c>
      <c r="J312" s="1674">
        <f>SUM(J303)</f>
        <v>0</v>
      </c>
      <c r="K312" s="1674">
        <f>SUM(K303,K310,K311)</f>
        <v>7010</v>
      </c>
      <c r="L312" s="1674">
        <f>SUM(L303,L310,L311)</f>
        <v>6000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-6489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11379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0" t="s">
        <v>989</v>
      </c>
      <c r="B368" s="2261"/>
      <c r="C368" s="1694"/>
      <c r="D368" s="1694"/>
      <c r="E368" s="1677"/>
      <c r="F368" s="1677"/>
      <c r="G368" s="1677"/>
      <c r="H368" s="1677"/>
      <c r="I368" s="1677"/>
      <c r="J368" s="1676"/>
      <c r="K368" s="1672">
        <f>'Revenues 9-14'!K268-'Expenditures 15-22'!K367</f>
        <v>11983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6ce3111e-7420-4802-b50a-75d4e9a0b980"/>
    <ds:schemaRef ds:uri="http://purl.org/dc/dcmitype/"/>
    <ds:schemaRef ds:uri="http://purl.org/dc/terms/"/>
    <ds:schemaRef ds:uri="http://schemas.microsoft.com/office/infopath/2007/PartnerControls"/>
    <ds:schemaRef ds:uri="http://schemas.openxmlformats.org/package/2006/metadata/core-properties"/>
    <ds:schemaRef ds:uri="http://www.w3.org/XML/1998/namespace"/>
    <ds:schemaRef ds:uri="4d435f69-8686-490b-bd6d-b153bf22ab50"/>
    <ds:schemaRef ds:uri="d21dc803-237d-4c68-8692-8d731fd29118"/>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vt:lpstr>
      <vt:lpstr>SEFA (2)</vt:lpstr>
      <vt:lpstr>SEFA NOTES</vt:lpstr>
      <vt:lpstr>SF&amp;QC Sec-1</vt:lpstr>
      <vt:lpstr>SF&amp;QC Sec-2</vt:lpstr>
      <vt:lpstr>SF&amp;QC Sec-3</vt:lpstr>
      <vt:lpstr>SSPAF</vt:lpstr>
      <vt:lpstr>' SEFA '!Print_Area</vt:lpstr>
      <vt:lpstr>'SEFA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2020-11-06T15:19:43Z</cp:lastPrinted>
  <dcterms:created xsi:type="dcterms:W3CDTF">2003-10-29T19:06:34Z</dcterms:created>
  <dcterms:modified xsi:type="dcterms:W3CDTF">2020-11-23T16:37:41Z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