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A81C5F0-07BC-43D1-B017-5520DC0B7E8C}"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Expenditures 15-22" sheetId="29" r:id="rId8"/>
    <sheet name="Revenues 9-14" sheetId="5"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8">'Revenues 9-14'!$A$1:$K$268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31'!$A$2:$F$43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7">'Expenditures 15-22'!$A:$B,'Expenditures 15-22'!$1:$2</definedName>
    <definedName name="_xlnm.Print_Titles" localSheetId="13">'PCTC-OEPP 27-28'!$1:$5</definedName>
    <definedName name="_xlnm.Print_Titles" localSheetId="8">'Revenues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2" i="183" l="1"/>
  <c r="F31" i="183"/>
  <c r="F30" i="183"/>
  <c r="F29" i="183"/>
  <c r="F28" i="183"/>
  <c r="F27" i="183"/>
  <c r="F24" i="183"/>
  <c r="F23" i="183"/>
  <c r="F22" i="183"/>
  <c r="F21" i="183"/>
  <c r="F20" i="183"/>
  <c r="F19" i="183"/>
  <c r="E32" i="183"/>
  <c r="E31" i="183"/>
  <c r="E30" i="183"/>
  <c r="E29" i="183"/>
  <c r="E28" i="183"/>
  <c r="E27" i="183"/>
  <c r="E26" i="183"/>
  <c r="F26" i="183" s="1"/>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3" i="183" l="1"/>
  <c r="A15" i="183"/>
  <c r="D82" i="36" l="1"/>
  <c r="F33" i="183"/>
  <c r="E3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F34" i="34" l="1"/>
  <c r="B7826" i="106" s="1"/>
  <c r="D7826" i="106" s="1"/>
  <c r="F50" i="34"/>
  <c r="F77" i="4"/>
  <c r="B3255" i="106" s="1"/>
  <c r="D3255" i="106" s="1"/>
  <c r="L22" i="37"/>
  <c r="C352" i="29"/>
  <c r="B3621" i="106" s="1"/>
  <c r="D3621" i="106" s="1"/>
  <c r="B7074" i="106"/>
  <c r="D7074" i="106" s="1"/>
  <c r="B6289" i="106"/>
  <c r="D6289" i="106" s="1"/>
  <c r="H15" i="184"/>
  <c r="F64" i="34"/>
  <c r="F37" i="34"/>
  <c r="B7829" i="106" s="1"/>
  <c r="D7829" i="106" s="1"/>
  <c r="G26" i="108"/>
  <c r="H33" i="118"/>
  <c r="F42" i="34"/>
  <c r="D69" i="36"/>
  <c r="H76" i="4"/>
  <c r="B3298" i="106" s="1"/>
  <c r="D3298" i="106" s="1"/>
  <c r="C342" i="29"/>
  <c r="B7216" i="106" s="1"/>
  <c r="D7216" i="106" s="1"/>
  <c r="J210" i="29"/>
  <c r="B7072" i="106" s="1"/>
  <c r="D7072" i="106" s="1"/>
  <c r="B7047" i="106"/>
  <c r="D7047" i="106" s="1"/>
  <c r="B1274" i="106"/>
  <c r="D1274" i="106" s="1"/>
  <c r="G30" i="108"/>
  <c r="H12" i="184"/>
  <c r="D24" i="37"/>
  <c r="B4270" i="106" s="1"/>
  <c r="D4270" i="106" s="1"/>
  <c r="H342" i="29"/>
  <c r="B7696" i="106"/>
  <c r="D7696" i="106" s="1"/>
  <c r="E66" i="184"/>
  <c r="N66" i="184" s="1"/>
  <c r="B7171" i="106"/>
  <c r="D7171" i="106" s="1"/>
  <c r="E62" i="184"/>
  <c r="N62" i="184" s="1"/>
  <c r="B7135" i="106"/>
  <c r="D7135" i="106" s="1"/>
  <c r="E58" i="184"/>
  <c r="N58" i="184" s="1"/>
  <c r="I210" i="29"/>
  <c r="B7071" i="106" s="1"/>
  <c r="D7071" i="106" s="1"/>
  <c r="C129" i="29"/>
  <c r="B1225" i="106" s="1"/>
  <c r="D1225" i="106" s="1"/>
  <c r="F36" i="34"/>
  <c r="B7828" i="106" s="1"/>
  <c r="D7828" i="106" s="1"/>
  <c r="B7198" i="106"/>
  <c r="D7198" i="106" s="1"/>
  <c r="E65" i="184"/>
  <c r="N65" i="184" s="1"/>
  <c r="B7162" i="106"/>
  <c r="D7162" i="106" s="1"/>
  <c r="E61" i="184"/>
  <c r="N61" i="184" s="1"/>
  <c r="B7126" i="106"/>
  <c r="D7126" i="106" s="1"/>
  <c r="E57" i="184"/>
  <c r="H365" i="29"/>
  <c r="B7242" i="106" s="1"/>
  <c r="D7242" i="106" s="1"/>
  <c r="B7189" i="106"/>
  <c r="D7189" i="106" s="1"/>
  <c r="E64" i="184"/>
  <c r="N64" i="184" s="1"/>
  <c r="B7153" i="106"/>
  <c r="D7153" i="106" s="1"/>
  <c r="E60" i="184"/>
  <c r="N60" i="184" s="1"/>
  <c r="D31" i="108"/>
  <c r="E16" i="184"/>
  <c r="H16" i="184"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K365" i="29" l="1"/>
  <c r="B1328" i="106"/>
  <c r="D1328" i="106" s="1"/>
  <c r="L114" i="29"/>
  <c r="B1381" i="106"/>
  <c r="D1381" i="106" s="1"/>
  <c r="F41" i="108"/>
  <c r="G43" i="108" s="1"/>
  <c r="L16" i="11"/>
  <c r="B2061" i="106" s="1"/>
  <c r="D2061" i="106" s="1"/>
  <c r="B7235" i="106"/>
  <c r="D7235" i="106" s="1"/>
  <c r="B6216" i="106"/>
  <c r="D6216" i="106" s="1"/>
  <c r="K342" i="29"/>
  <c r="F13" i="34" s="1"/>
  <c r="C151" i="29"/>
  <c r="B1226" i="106" s="1"/>
  <c r="D1226" i="106" s="1"/>
  <c r="D44" i="36"/>
  <c r="N57" i="184"/>
  <c r="N68" i="184" s="1"/>
  <c r="E68" i="184"/>
  <c r="E367" i="29"/>
  <c r="B3635" i="106"/>
  <c r="D3635" i="106" s="1"/>
  <c r="B7220" i="106"/>
  <c r="D7220" i="106" s="1"/>
  <c r="F75" i="34"/>
  <c r="B7886" i="106" s="1"/>
  <c r="D7886" i="106" s="1"/>
  <c r="B7222" i="106"/>
  <c r="D7222" i="106" s="1"/>
  <c r="F76" i="34"/>
  <c r="B7887" i="106" s="1"/>
  <c r="D7887" i="106" s="1"/>
  <c r="E19"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J10" i="4"/>
  <c r="B6225" i="106" s="1"/>
  <c r="D6225" i="106" s="1"/>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700-000001000000}">
      <text>
        <r>
          <rPr>
            <sz val="8"/>
            <color indexed="81"/>
            <rFont val="Arial"/>
            <family val="2"/>
          </rPr>
          <t>Include only tuition payments made to private facilities.  See Function 4100 for public facility disbursements/expenditures.</t>
        </r>
      </text>
    </comment>
    <comment ref="A170" authorId="1" shapeId="0" xr:uid="{00000000-0006-0000-07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7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7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sharedStrings.xml><?xml version="1.0" encoding="utf-8"?>
<sst xmlns="http://schemas.openxmlformats.org/spreadsheetml/2006/main" count="5148" uniqueCount="2082">
  <si>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</si>
  <si>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</si>
  <si>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</si>
  <si>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</si>
  <si>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</si>
  <si>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</si>
  <si>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</si>
  <si>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</si>
  <si>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</si>
  <si>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</si>
  <si>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</si>
  <si>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</si>
  <si>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</si>
  <si>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</si>
  <si>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</si>
  <si>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</si>
  <si>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</si>
  <si>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</si>
  <si>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</si>
  <si>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</si>
  <si>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</si>
  <si>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</si>
  <si>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</si>
  <si>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</si>
  <si>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</si>
  <si>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</si>
  <si>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</si>
  <si>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</si>
  <si>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</si>
  <si>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</si>
  <si>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</si>
  <si>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</si>
  <si>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</si>
  <si>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</si>
  <si>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</si>
  <si>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</si>
  <si>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</si>
  <si>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</si>
  <si>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</si>
  <si>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</si>
  <si>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</si>
  <si>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</si>
  <si>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</si>
  <si>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</si>
  <si>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</si>
  <si>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</si>
  <si>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</si>
  <si>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</si>
  <si>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</si>
  <si>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</si>
  <si>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</si>
  <si>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</si>
  <si>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</si>
  <si>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</si>
  <si>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</si>
  <si>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</si>
  <si>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</si>
  <si>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</si>
  <si>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</si>
  <si>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</si>
  <si>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</si>
  <si>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</si>
  <si>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</si>
  <si>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</si>
  <si>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</si>
  <si>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</si>
  <si>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</si>
  <si>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</si>
  <si>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</si>
  <si>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</si>
  <si>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</si>
  <si>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</si>
  <si>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</si>
  <si>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</si>
  <si>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</si>
  <si>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</si>
  <si>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</si>
  <si>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</si>
  <si>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</si>
  <si>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</si>
  <si>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</si>
  <si>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</si>
  <si>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</si>
  <si>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</si>
  <si>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</si>
  <si>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</si>
  <si>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</si>
  <si>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</si>
  <si>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</si>
  <si>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</si>
  <si>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</si>
  <si>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</si>
  <si>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</si>
  <si>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</si>
  <si>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</si>
  <si>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</si>
  <si>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</si>
  <si>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</si>
  <si>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</si>
  <si>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</si>
  <si>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</si>
  <si>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</si>
  <si>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</si>
  <si>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</si>
  <si>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</si>
  <si>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</si>
  <si>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</si>
  <si>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</si>
  <si>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</si>
  <si>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</si>
  <si>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</si>
  <si>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</si>
  <si>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</si>
  <si>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</si>
  <si>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</si>
  <si>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</si>
  <si>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</si>
  <si>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</si>
  <si>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</si>
  <si>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</si>
  <si>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</si>
  <si>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</si>
  <si>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</si>
  <si>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</si>
  <si>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</si>
  <si>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</si>
  <si>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</si>
  <si>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</si>
  <si>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</si>
  <si>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</si>
  <si>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</si>
  <si>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</si>
  <si>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</si>
  <si>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</si>
  <si>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</si>
  <si>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</si>
  <si>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</si>
  <si>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</si>
  <si>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</si>
  <si>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</si>
  <si>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</si>
  <si>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</si>
  <si>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</si>
  <si>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</si>
  <si>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</si>
  <si>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</si>
  <si>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</si>
  <si>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</si>
  <si>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</si>
  <si>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</si>
  <si>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</si>
  <si>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</si>
  <si>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</si>
  <si>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</si>
  <si>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</si>
  <si>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</si>
  <si>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</si>
  <si>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</si>
  <si>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</si>
  <si>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</si>
  <si>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</si>
  <si>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</si>
  <si>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</si>
  <si>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</si>
  <si>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</si>
  <si>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</si>
  <si>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</si>
  <si>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</si>
  <si>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</si>
  <si>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</si>
  <si>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</si>
  <si>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</si>
  <si>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</si>
  <si>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</si>
  <si>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</si>
  <si>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</si>
  <si>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</si>
  <si>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</si>
  <si>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</si>
  <si>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</si>
  <si>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</si>
  <si>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</si>
  <si>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</si>
  <si>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</si>
  <si>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</si>
  <si>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</si>
  <si>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</si>
  <si>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</si>
  <si>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</si>
  <si>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</si>
  <si>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</si>
  <si>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</si>
  <si>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</si>
  <si>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</si>
  <si>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</si>
  <si>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</si>
  <si>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</si>
  <si>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</si>
  <si>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</si>
  <si>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</si>
  <si>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</si>
  <si>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</si>
  <si>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</si>
  <si>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</si>
  <si>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</si>
  <si>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</si>
  <si>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</si>
  <si>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</si>
  <si>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</si>
  <si>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</si>
  <si>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</si>
  <si>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</si>
  <si>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</si>
  <si>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</si>
  <si>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</si>
  <si>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</si>
  <si>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</si>
  <si>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</si>
  <si>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</si>
  <si>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</si>
  <si>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</si>
  <si>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</si>
  <si>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</si>
  <si>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</si>
  <si>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</si>
  <si>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</si>
  <si>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</si>
  <si>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</si>
  <si>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</si>
  <si>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</si>
  <si>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</si>
  <si>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</si>
  <si>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</si>
  <si>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</si>
  <si>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</si>
  <si>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</si>
  <si>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</si>
  <si>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</si>
  <si>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</si>
  <si>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</si>
  <si>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</si>
  <si>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</si>
  <si>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</si>
  <si>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</si>
  <si>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</si>
  <si>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</si>
  <si>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</si>
  <si>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</si>
  <si>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</si>
  <si>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</si>
  <si>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</si>
  <si>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</si>
  <si>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</si>
  <si>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</si>
  <si>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</si>
  <si>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</si>
  <si>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</si>
  <si>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</si>
  <si>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</si>
  <si>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</si>
  <si>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</si>
  <si>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</si>
  <si>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</si>
  <si>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</si>
  <si>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</si>
  <si>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</si>
  <si>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</si>
  <si>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</si>
  <si>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</si>
  <si>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</si>
  <si>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</si>
  <si>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</si>
  <si>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</si>
  <si>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</si>
  <si>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</si>
  <si>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</si>
  <si>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</si>
  <si>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</si>
  <si>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</si>
  <si>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</si>
  <si>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</si>
  <si>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</si>
  <si>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</si>
  <si>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</si>
  <si>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</si>
  <si>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</si>
  <si>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</si>
  <si>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</si>
  <si>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</si>
  <si>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</si>
  <si>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</si>
  <si>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</si>
  <si>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</si>
  <si>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</si>
  <si>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</si>
  <si>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</si>
  <si>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</si>
  <si>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</si>
  <si>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</si>
  <si>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</si>
  <si>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</si>
  <si>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</si>
  <si>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</si>
  <si>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</si>
  <si>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</si>
  <si>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</si>
  <si>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</si>
  <si>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</si>
  <si>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</si>
  <si>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</si>
  <si>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</si>
  <si>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</si>
  <si>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</si>
  <si>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</si>
  <si>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</si>
  <si>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</si>
  <si>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</si>
  <si>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</si>
  <si>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</si>
  <si>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</si>
  <si>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</si>
  <si>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</si>
  <si>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</si>
  <si>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</si>
  <si>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</si>
  <si>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</si>
  <si>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</si>
  <si>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</si>
  <si>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</si>
  <si>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</si>
  <si>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</si>
  <si>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</si>
  <si>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</si>
  <si>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</si>
  <si>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</si>
  <si>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</si>
  <si>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</si>
  <si>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</si>
  <si>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</si>
  <si>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</si>
  <si>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</si>
  <si>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</si>
  <si>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</si>
  <si>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</si>
  <si>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</si>
  <si>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</si>
  <si>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</si>
  <si>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</si>
  <si>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</si>
  <si>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</si>
  <si>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</si>
  <si>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</si>
  <si>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</si>
  <si>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</si>
  <si>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</si>
  <si>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</si>
  <si>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</si>
  <si>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</si>
  <si>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</si>
  <si>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</si>
  <si>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</si>
  <si>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</si>
  <si>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</si>
  <si>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</si>
  <si>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</si>
  <si>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</si>
  <si>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</si>
  <si>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</si>
  <si>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</si>
  <si>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</si>
  <si>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</si>
  <si>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</si>
  <si>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</si>
  <si>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</si>
  <si>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</si>
  <si>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</si>
  <si>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</si>
  <si>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</si>
  <si>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</si>
  <si>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</si>
  <si>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</si>
  <si>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</si>
  <si>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</si>
  <si>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</si>
  <si>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</si>
  <si>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</si>
  <si>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</si>
  <si>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</si>
  <si>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</si>
  <si>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</si>
  <si>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</si>
  <si>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</si>
  <si>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</si>
  <si>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</si>
  <si>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</si>
  <si>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</si>
  <si>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</si>
  <si>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</si>
  <si>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</si>
  <si>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</si>
  <si>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</si>
  <si>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</si>
  <si>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</si>
  <si>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</si>
  <si>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</si>
  <si>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</si>
  <si>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</si>
  <si>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</si>
  <si>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</si>
  <si>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</si>
  <si>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</si>
  <si>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</si>
  <si>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</si>
  <si>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</si>
  <si>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</si>
  <si>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</si>
  <si>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</si>
  <si>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</si>
  <si>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</si>
  <si>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</si>
  <si>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</si>
  <si>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</si>
  <si>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</si>
  <si>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</si>
  <si>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</si>
  <si>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</si>
  <si>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</si>
  <si>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</si>
  <si>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</si>
  <si>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</si>
  <si>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</si>
  <si>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</si>
  <si>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</si>
  <si>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</si>
  <si>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</si>
  <si>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</si>
  <si>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</si>
  <si>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</si>
  <si>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</si>
  <si>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</si>
  <si>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</si>
  <si>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</si>
  <si>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</si>
  <si>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</si>
  <si>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</si>
  <si>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</si>
  <si>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</si>
  <si>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</si>
  <si>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</si>
  <si>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</si>
  <si>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</si>
  <si>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</si>
  <si>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</si>
  <si>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</si>
  <si>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</si>
  <si>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</si>
  <si>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</si>
  <si>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</si>
  <si>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</si>
  <si>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</si>
  <si>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</si>
  <si>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</si>
  <si>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</si>
  <si>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</si>
  <si>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</si>
  <si>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</si>
  <si>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</si>
  <si>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</si>
  <si>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</si>
  <si>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</si>
  <si>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</si>
  <si>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</si>
  <si>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</si>
  <si>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</si>
  <si>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</si>
  <si>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</si>
  <si>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</si>
  <si>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</si>
  <si>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</si>
  <si>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</si>
  <si>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</si>
  <si>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</si>
  <si>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</si>
  <si>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</si>
  <si>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</si>
  <si>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</si>
  <si>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</si>
  <si>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</si>
  <si>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</si>
  <si>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</si>
  <si>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</si>
  <si>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</si>
  <si>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</si>
  <si>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</si>
  <si>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</si>
  <si>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</si>
  <si>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</si>
  <si>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</si>
  <si>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</si>
  <si>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</si>
  <si>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</si>
  <si>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</si>
  <si>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</si>
  <si>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</si>
  <si>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</si>
  <si>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</si>
  <si>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</si>
  <si>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</si>
  <si>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</si>
  <si>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</si>
  <si>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</si>
  <si>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</si>
  <si>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</si>
  <si>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</si>
  <si>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</si>
  <si>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</si>
  <si>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</si>
  <si>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</si>
  <si>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</si>
  <si>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</si>
  <si>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</si>
  <si>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</si>
  <si>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</si>
  <si>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</si>
  <si>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</si>
  <si>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</si>
  <si>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</si>
  <si>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</si>
  <si>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</si>
  <si>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</si>
  <si>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</si>
  <si>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</si>
  <si>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</si>
  <si>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</si>
  <si>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</si>
  <si>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</si>
  <si>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</si>
  <si>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</si>
  <si>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</si>
  <si>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</si>
  <si>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</si>
  <si>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</si>
  <si>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</si>
  <si>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</si>
  <si>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</si>
  <si>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</si>
  <si>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</si>
  <si>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</si>
  <si>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</si>
  <si>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</si>
  <si>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</si>
  <si>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</si>
  <si>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</si>
  <si>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</si>
  <si>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</si>
  <si>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</si>
  <si>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</si>
  <si>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</si>
  <si>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</si>
  <si>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</si>
  <si>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</si>
  <si>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</si>
  <si>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</si>
  <si>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</si>
  <si>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</si>
  <si>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</si>
  <si>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</si>
  <si>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</si>
  <si>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</si>
  <si>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</si>
  <si>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</si>
  <si>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</si>
  <si>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</si>
  <si>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</si>
  <si>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</si>
  <si>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</si>
  <si>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</si>
  <si>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</si>
  <si>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</si>
  <si>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</si>
  <si>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</si>
  <si>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</si>
  <si>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</si>
  <si>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</si>
  <si>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</si>
  <si>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</si>
  <si>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</si>
  <si>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</si>
  <si>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</si>
  <si>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</si>
  <si>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</si>
  <si>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</si>
  <si>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</si>
  <si>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</si>
  <si>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</si>
  <si>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</si>
  <si>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</si>
  <si>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</si>
  <si>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</si>
  <si>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</si>
  <si>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</si>
  <si>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</si>
  <si>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</si>
  <si>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</si>
  <si>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</si>
  <si>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</si>
  <si>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</si>
  <si>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</si>
  <si>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</si>
  <si>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</si>
  <si>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</si>
  <si>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</si>
  <si>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</si>
  <si>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</si>
  <si>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</si>
  <si>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</si>
  <si>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</si>
  <si>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</si>
  <si>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</si>
  <si>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</si>
  <si>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</si>
  <si>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</si>
  <si>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</si>
  <si>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</si>
  <si>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</si>
  <si>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</si>
  <si>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</si>
  <si>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</si>
  <si>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</si>
  <si>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</si>
  <si>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</si>
  <si>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</si>
  <si>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</si>
  <si>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</si>
  <si>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</si>
  <si>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</si>
  <si>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</si>
  <si>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</si>
  <si>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</si>
  <si>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</si>
  <si>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</si>
  <si>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</si>
  <si>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</si>
  <si>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</si>
  <si>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</si>
  <si>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</si>
  <si>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</si>
  <si>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</si>
  <si>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</si>
  <si>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</si>
  <si>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</si>
  <si>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</si>
  <si>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</si>
  <si>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</si>
  <si>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</si>
  <si>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</si>
  <si>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</si>
  <si>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</si>
  <si>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</si>
  <si>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</si>
  <si>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</si>
  <si>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</si>
  <si>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</si>
  <si>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</si>
  <si>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</si>
  <si>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</si>
  <si>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</si>
  <si>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</si>
  <si>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</si>
  <si>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</si>
  <si>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</si>
  <si>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</si>
  <si>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</si>
  <si>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</si>
  <si>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</si>
  <si>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</si>
  <si>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</si>
  <si>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</si>
  <si>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</si>
  <si>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</si>
  <si>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</si>
  <si>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</si>
  <si>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</si>
  <si>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</si>
  <si>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</si>
  <si>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</si>
  <si>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</si>
  <si>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</si>
  <si>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</si>
  <si>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</si>
  <si>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</si>
  <si>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</si>
  <si>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</si>
  <si>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</si>
  <si>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</si>
  <si>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</si>
  <si>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</si>
  <si>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</si>
  <si>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</si>
  <si>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</si>
  <si>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</si>
  <si>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</si>
  <si>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</si>
  <si>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</si>
  <si>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</si>
  <si>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</si>
  <si>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</si>
  <si>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</si>
  <si>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</si>
  <si>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</si>
  <si>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</si>
  <si>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</si>
  <si>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</si>
  <si>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</si>
  <si>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</si>
  <si>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</si>
  <si>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</si>
  <si>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</si>
  <si>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</si>
  <si>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</si>
  <si>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</si>
  <si>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</si>
  <si>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</si>
  <si>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</si>
  <si>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</si>
  <si>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</si>
  <si>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</si>
  <si>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</si>
  <si>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</si>
  <si>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</si>
  <si>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</si>
  <si>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</si>
  <si>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</si>
  <si>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</si>
  <si>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</si>
  <si>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</si>
  <si>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</si>
  <si>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</si>
  <si>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</si>
  <si>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</si>
  <si>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</si>
  <si>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</si>
  <si>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</si>
  <si>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</si>
  <si>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</si>
  <si>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</si>
  <si>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</si>
  <si>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</si>
  <si>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</si>
  <si>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</si>
  <si>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</si>
  <si>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</si>
  <si>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</si>
  <si>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</si>
  <si>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</si>
  <si>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</si>
  <si>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</si>
  <si>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</si>
  <si>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</si>
  <si>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</si>
  <si>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</si>
  <si>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</si>
  <si>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</si>
  <si>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</si>
  <si>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</si>
  <si>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</si>
  <si>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</si>
  <si>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</si>
  <si>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</si>
  <si>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</si>
  <si>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</si>
  <si>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</si>
  <si>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</si>
  <si>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</si>
  <si>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</si>
  <si>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</si>
  <si>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</si>
  <si>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</si>
  <si>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</si>
  <si>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</si>
  <si>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</si>
  <si>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</si>
  <si>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</si>
  <si>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</si>
  <si>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</si>
  <si>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</si>
  <si>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</si>
  <si>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</si>
  <si>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</si>
  <si>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</si>
  <si>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</si>
  <si>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</si>
  <si>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</si>
  <si>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</si>
  <si>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</si>
  <si>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</si>
  <si>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</si>
  <si>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</si>
  <si>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</si>
  <si>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</si>
  <si>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</si>
  <si>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</si>
  <si>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</si>
  <si>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</si>
  <si>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</si>
  <si>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</si>
  <si>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</si>
  <si>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</si>
  <si>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</si>
  <si>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</si>
  <si>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</si>
  <si>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</si>
  <si>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</si>
  <si>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</si>
  <si>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</si>
  <si>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</si>
  <si>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</si>
  <si>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</si>
  <si>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</si>
  <si>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</si>
  <si>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</si>
  <si>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</si>
  <si>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</si>
  <si>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</si>
  <si>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</si>
  <si>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</si>
  <si>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</si>
  <si>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</si>
  <si>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</si>
  <si>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</si>
  <si>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</si>
  <si>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</si>
  <si>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</si>
  <si>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</si>
  <si>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</si>
  <si>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</si>
  <si>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</si>
  <si>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</si>
  <si>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</si>
  <si>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</si>
  <si>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</si>
  <si>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</si>
  <si>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</si>
  <si>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</si>
  <si>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</si>
  <si>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</si>
  <si>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</si>
  <si>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</si>
  <si>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</si>
  <si>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</si>
  <si>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</si>
  <si>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</si>
  <si>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</si>
  <si>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</si>
  <si>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</si>
  <si>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</si>
  <si>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</si>
  <si>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</si>
  <si>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</si>
  <si>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</si>
  <si>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</si>
  <si>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</si>
  <si>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</si>
  <si>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</si>
  <si>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</si>
  <si>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</si>
  <si>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</si>
  <si>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</si>
  <si>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</si>
  <si>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</si>
  <si>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</si>
  <si>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</si>
  <si>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</si>
  <si>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</si>
  <si>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</si>
  <si>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</si>
  <si>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</si>
  <si>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</si>
  <si>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</si>
  <si>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</si>
  <si>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</si>
  <si>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</si>
  <si>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</si>
  <si>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</si>
  <si>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</si>
  <si>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</si>
  <si>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</si>
  <si>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</si>
  <si>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</si>
  <si>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</si>
  <si>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</si>
  <si>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</si>
  <si>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</si>
  <si>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</si>
  <si>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</si>
  <si>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</si>
  <si>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</si>
  <si>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</si>
  <si>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</si>
  <si>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</si>
  <si>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</si>
  <si>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</si>
  <si>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</si>
  <si>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</si>
  <si>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</si>
  <si>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</si>
  <si>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</si>
  <si>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</si>
  <si>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</si>
  <si>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</si>
  <si>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</si>
  <si>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</si>
  <si>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</si>
  <si>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</si>
  <si>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</si>
  <si>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</si>
  <si>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</si>
  <si>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</si>
  <si>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</si>
  <si>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</si>
  <si>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</si>
  <si>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</si>
  <si>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</si>
  <si>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</si>
  <si>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</si>
  <si>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</si>
  <si>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</si>
  <si>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</si>
  <si>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</si>
  <si>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</si>
  <si>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</si>
  <si>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</si>
  <si>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</si>
  <si>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</si>
  <si>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</si>
  <si>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</si>
  <si>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</si>
  <si>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</si>
  <si>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</si>
  <si>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</si>
  <si>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</si>
  <si>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</si>
  <si>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</si>
  <si>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</si>
  <si>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</si>
  <si>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</si>
  <si>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</si>
  <si>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</si>
  <si>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</si>
  <si>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</si>
  <si>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</si>
  <si>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</si>
  <si>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</si>
  <si>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</si>
  <si>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</si>
  <si>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</si>
  <si>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</si>
  <si>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</si>
  <si>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</si>
  <si>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</si>
  <si>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</si>
  <si>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</si>
  <si>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</si>
  <si>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</si>
  <si>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</si>
  <si>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</si>
  <si>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</si>
  <si>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</si>
  <si>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</si>
  <si>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</si>
  <si>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</si>
  <si>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</si>
  <si>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</si>
  <si>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</si>
  <si>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</si>
  <si>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</si>
  <si>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</si>
  <si>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</si>
  <si>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</si>
  <si>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</si>
  <si>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</si>
  <si>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</si>
  <si>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</si>
  <si>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</si>
  <si>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</si>
  <si>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</si>
  <si>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</si>
  <si>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</si>
  <si>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</si>
  <si>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</si>
  <si>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</si>
  <si>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</si>
  <si>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</si>
  <si>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</si>
  <si>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</si>
  <si>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</si>
  <si>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</si>
  <si>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</si>
  <si>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</si>
  <si>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</si>
  <si>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</si>
  <si>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</si>
  <si>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</si>
  <si>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</si>
  <si>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</si>
  <si>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</si>
  <si>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</si>
  <si>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</si>
  <si>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</si>
  <si>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</si>
  <si>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</si>
  <si>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</si>
  <si>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</si>
  <si>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</si>
  <si>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</si>
  <si>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</si>
  <si>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</si>
  <si>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</si>
  <si>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</si>
  <si>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</si>
  <si>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</si>
  <si>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</si>
  <si>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</si>
  <si>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</si>
  <si>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</si>
  <si>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</si>
  <si>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</si>
  <si>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</si>
  <si>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</si>
  <si>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</si>
  <si>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</si>
  <si>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</si>
  <si>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</si>
  <si>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</si>
  <si>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</si>
  <si>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</si>
  <si>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</si>
  <si>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</si>
  <si>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</si>
  <si>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</si>
  <si>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</si>
  <si>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</si>
  <si>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</si>
  <si>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</si>
  <si>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</si>
  <si>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</si>
  <si>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</si>
  <si>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</si>
  <si>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</si>
  <si>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</si>
  <si>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</si>
  <si>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</si>
  <si>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</si>
  <si>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</si>
  <si>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</si>
  <si>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</si>
  <si>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</si>
  <si>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</si>
  <si>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</si>
  <si>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</si>
  <si>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</si>
  <si>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</si>
  <si>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</si>
  <si>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</si>
  <si>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</si>
  <si>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</si>
  <si>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</si>
  <si>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</si>
  <si>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</si>
  <si>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</si>
  <si>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</si>
  <si>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</si>
  <si>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</si>
  <si>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</si>
  <si>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</si>
  <si>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</si>
  <si>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</si>
  <si>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</si>
  <si>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</si>
  <si>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</si>
  <si>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</si>
  <si>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</si>
  <si>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</si>
  <si>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</si>
  <si>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</si>
  <si>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</si>
  <si>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</si>
  <si>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</si>
  <si>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</si>
  <si>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</si>
  <si>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</si>
  <si>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</si>
  <si>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</si>
  <si>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</si>
  <si>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</si>
  <si>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</si>
  <si>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</si>
  <si>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</si>
  <si>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</si>
  <si>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</si>
  <si>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</si>
  <si>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</si>
  <si>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</si>
  <si>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</si>
  <si>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</si>
  <si>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</si>
  <si>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</si>
  <si>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</si>
  <si>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</si>
  <si>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</si>
  <si>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</si>
  <si>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</si>
  <si>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</si>
  <si>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</si>
  <si>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</si>
  <si>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</si>
  <si>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</si>
  <si>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</si>
  <si>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</si>
  <si>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</si>
  <si>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</si>
  <si>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</si>
  <si>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</si>
  <si>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</si>
  <si>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</si>
  <si>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</si>
  <si>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</si>
  <si>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</si>
  <si>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</si>
  <si>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</si>
  <si>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</si>
  <si>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</si>
  <si>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</si>
  <si>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</si>
  <si>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</si>
  <si>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</si>
  <si>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</si>
  <si>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</si>
  <si>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</si>
  <si>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</si>
  <si>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</si>
  <si>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</si>
  <si>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</si>
  <si>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</si>
  <si>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</si>
  <si>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</si>
  <si>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</si>
  <si>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</si>
  <si>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</si>
  <si>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</si>
  <si>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</si>
  <si>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</si>
  <si>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</si>
  <si>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</si>
  <si>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</si>
  <si>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</si>
  <si>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</si>
  <si>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</si>
  <si>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</si>
  <si>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</si>
  <si>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</si>
  <si>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</si>
  <si>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</si>
  <si>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</si>
  <si>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</si>
  <si>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</si>
  <si>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</si>
  <si>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</si>
  <si>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</si>
  <si>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</si>
  <si>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</si>
  <si>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</si>
  <si>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</si>
  <si>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</si>
  <si>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</si>
  <si>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</si>
  <si>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</si>
  <si>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</si>
  <si>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</si>
  <si>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</si>
  <si>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</si>
  <si>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</si>
  <si>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</si>
  <si>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</si>
  <si>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</si>
  <si>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</si>
  <si>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</si>
  <si>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</si>
  <si>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</si>
  <si>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</si>
  <si>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</si>
  <si>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</si>
  <si>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</si>
  <si>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</si>
  <si>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</si>
  <si>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</si>
  <si>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</si>
  <si>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</si>
  <si>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</si>
  <si>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</si>
  <si>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</si>
  <si>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</si>
  <si>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</si>
  <si>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</si>
  <si>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</si>
  <si>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</si>
  <si>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</si>
  <si>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</si>
  <si>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</si>
  <si>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</si>
  <si>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</si>
  <si>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</si>
  <si>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</si>
  <si>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</si>
  <si>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</si>
  <si>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</si>
  <si>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</si>
  <si>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</si>
  <si>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</si>
  <si>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</si>
  <si>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</si>
  <si>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</si>
  <si>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</si>
  <si>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</si>
  <si>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</si>
  <si>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</si>
  <si>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</si>
  <si>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</si>
  <si>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</si>
  <si>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</si>
  <si>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</si>
  <si>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</si>
  <si>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</si>
  <si>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</si>
  <si>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</si>
  <si>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</si>
  <si>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</si>
  <si>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</si>
  <si>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</si>
  <si>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</si>
  <si>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</si>
  <si>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</si>
  <si>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</si>
  <si>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</si>
  <si>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</si>
  <si>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</si>
  <si>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</si>
  <si>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</si>
  <si>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</si>
  <si>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</si>
  <si>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</si>
  <si>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</si>
  <si>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</si>
  <si>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</si>
  <si>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</si>
  <si>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</si>
  <si>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</si>
  <si>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</si>
  <si>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</si>
  <si>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</si>
  <si>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</si>
  <si>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</si>
  <si>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</si>
  <si>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</si>
  <si>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</si>
  <si>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</si>
  <si>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</si>
  <si>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</si>
  <si>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</si>
  <si>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</si>
  <si>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</si>
  <si>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</si>
  <si>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</si>
  <si>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</si>
  <si>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</si>
  <si>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</si>
  <si>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</si>
  <si>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</si>
  <si>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</si>
  <si>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</si>
  <si>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</si>
  <si>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</si>
  <si>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</si>
  <si>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</si>
  <si>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</si>
  <si>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</si>
  <si>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</si>
  <si>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</si>
  <si>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</si>
  <si>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</si>
  <si>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</si>
  <si>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</si>
  <si>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</si>
  <si>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</si>
  <si>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</si>
  <si>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</si>
  <si>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</si>
  <si>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</si>
  <si>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</si>
  <si>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</si>
  <si>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</si>
  <si>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</si>
  <si>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</si>
  <si>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</si>
  <si>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</si>
  <si>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</si>
  <si>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</si>
  <si>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</si>
  <si>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</si>
  <si>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</si>
  <si>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</si>
  <si>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</si>
  <si>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</si>
  <si>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</si>
  <si>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</si>
  <si>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</si>
  <si>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</si>
  <si>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</si>
  <si>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</si>
  <si>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</si>
  <si>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</si>
  <si>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</si>
  <si>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</si>
  <si>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</si>
  <si>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</si>
  <si>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</si>
  <si>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</si>
  <si>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</si>
  <si>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</si>
  <si>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</si>
  <si>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</si>
  <si>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</si>
  <si>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</si>
  <si>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</si>
  <si>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</si>
  <si>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</si>
  <si>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</si>
  <si>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</si>
  <si>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</si>
  <si>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</si>
  <si>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</si>
  <si>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</si>
  <si>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</si>
  <si>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</si>
  <si>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</si>
  <si>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</si>
  <si>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</si>
  <si>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</si>
  <si>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</si>
  <si>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</si>
  <si>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</si>
  <si>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</si>
  <si>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</si>
  <si>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</si>
  <si>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</si>
  <si>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</si>
  <si>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</si>
  <si>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</si>
  <si>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</si>
  <si>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</si>
  <si>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</si>
  <si>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</si>
  <si>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</si>
  <si>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</si>
  <si>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</si>
  <si>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</si>
  <si>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</si>
  <si>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</si>
  <si>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</si>
  <si>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</si>
  <si>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</si>
  <si>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</si>
  <si>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</si>
  <si>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</si>
  <si>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</si>
  <si>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</si>
  <si>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</si>
  <si>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</si>
  <si>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</si>
  <si>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</si>
  <si>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</si>
  <si>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</si>
  <si>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</si>
  <si>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</si>
  <si>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</si>
  <si>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</si>
  <si>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</si>
  <si>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</si>
  <si>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</si>
  <si>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</si>
  <si>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</si>
  <si>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</si>
  <si>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</si>
  <si>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</si>
  <si>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</si>
  <si>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</si>
  <si>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</si>
  <si>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</si>
  <si>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</si>
  <si>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</si>
  <si>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</si>
  <si>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</si>
  <si>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</si>
  <si>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</si>
  <si>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</si>
  <si>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</si>
  <si>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</si>
  <si>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</si>
  <si>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</si>
  <si>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</si>
  <si>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</si>
  <si>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</si>
  <si>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</si>
  <si>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</si>
  <si>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</si>
  <si>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</si>
  <si>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</si>
  <si>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</si>
  <si>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</si>
  <si>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</si>
  <si>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</si>
  <si>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</si>
  <si>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</si>
  <si>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</si>
  <si>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</si>
  <si>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</si>
  <si>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</si>
  <si>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</si>
  <si>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</si>
  <si>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</si>
  <si>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</si>
  <si>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</si>
  <si>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</si>
  <si>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</si>
  <si>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</si>
  <si>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</si>
  <si>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</si>
  <si>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</si>
  <si>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</si>
  <si>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</si>
  <si>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</si>
  <si>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</si>
  <si>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</si>
  <si>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</si>
  <si>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</si>
  <si>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</si>
  <si>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</si>
  <si>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</si>
  <si>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</si>
  <si>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</si>
  <si>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</si>
  <si>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</si>
  <si>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</si>
  <si>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</si>
  <si>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</si>
  <si>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</si>
  <si>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</si>
  <si>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</si>
  <si>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</si>
  <si>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</si>
  <si>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</si>
  <si>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</si>
  <si>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</si>
  <si>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</si>
  <si>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</si>
  <si>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</si>
  <si>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</si>
  <si>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</si>
  <si>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</si>
  <si>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</si>
  <si>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</si>
  <si>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</si>
  <si>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</si>
  <si>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</si>
  <si>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</si>
  <si>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</si>
  <si>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</si>
  <si>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</si>
  <si>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</si>
  <si>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</si>
  <si>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</si>
  <si>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</si>
  <si>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</si>
  <si>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</si>
  <si>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</si>
  <si>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</si>
  <si>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</si>
  <si>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</si>
  <si>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</si>
  <si>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</si>
  <si>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</si>
  <si>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</si>
  <si>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</si>
  <si>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</si>
  <si>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</si>
  <si>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</si>
  <si>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</si>
  <si>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</si>
  <si>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</si>
  <si>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</si>
  <si>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</si>
  <si>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</si>
  <si>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</si>
  <si>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</si>
  <si>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</si>
  <si>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</si>
  <si>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</si>
  <si>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</si>
  <si>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</si>
  <si>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</si>
  <si>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</si>
  <si>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</si>
  <si>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</si>
  <si>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</si>
  <si>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</si>
  <si>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</si>
  <si>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</si>
  <si>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</si>
  <si>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</si>
  <si>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</si>
  <si>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</si>
  <si>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</si>
  <si>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</si>
  <si>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</si>
  <si>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</si>
  <si>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</si>
  <si>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</si>
  <si>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</si>
  <si>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</si>
  <si>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</si>
  <si>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</si>
  <si>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</si>
  <si>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</si>
  <si>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</si>
  <si>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</si>
  <si>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</si>
  <si>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</si>
  <si>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</si>
  <si>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</si>
  <si>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</si>
  <si>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</si>
  <si>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</si>
  <si>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</si>
  <si>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</si>
  <si>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</si>
  <si>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</si>
  <si>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</si>
  <si>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</si>
  <si>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</si>
  <si>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</si>
  <si>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</si>
  <si>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</si>
  <si>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</si>
  <si>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</si>
  <si>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</si>
  <si>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</si>
  <si>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</si>
  <si>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</si>
  <si>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</si>
  <si>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</si>
  <si>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</si>
  <si>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</si>
  <si>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</si>
  <si>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</si>
  <si>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</si>
  <si>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</si>
  <si>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</si>
  <si>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</si>
  <si>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</si>
  <si>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</si>
  <si>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</si>
  <si>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</si>
  <si>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</si>
  <si>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</si>
  <si>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</si>
  <si>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</si>
  <si>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</si>
  <si>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</si>
  <si>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</si>
  <si>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</si>
  <si>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</si>
  <si>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</si>
  <si>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</si>
  <si>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</si>
  <si>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</si>
  <si>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</si>
  <si>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</si>
  <si>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</si>
  <si>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</si>
  <si>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</si>
  <si>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</si>
  <si>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</si>
  <si>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</si>
  <si>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</si>
  <si>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</si>
  <si>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</si>
  <si>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</si>
  <si>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</si>
  <si>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</si>
  <si>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</si>
  <si>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</si>
  <si>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</si>
  <si>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</si>
  <si>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</si>
  <si>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</si>
  <si>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</si>
  <si>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</si>
  <si>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</si>
  <si>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</si>
  <si>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</si>
  <si>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</si>
  <si>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</si>
  <si>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</si>
  <si>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</si>
  <si>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</si>
  <si>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</si>
  <si>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</si>
  <si>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</si>
  <si>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</si>
  <si>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</si>
  <si>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</si>
  <si>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</si>
  <si>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</si>
  <si>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</si>
  <si>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</si>
  <si>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</si>
  <si>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</si>
  <si>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</si>
  <si>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</si>
  <si>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</si>
  <si>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</si>
  <si>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</si>
  <si>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</si>
  <si>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</si>
  <si>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</si>
  <si>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</si>
  <si>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</si>
  <si>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</si>
  <si>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</si>
  <si>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</si>
  <si>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</si>
  <si>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</si>
  <si>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</si>
  <si>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</si>
  <si>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</si>
  <si>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</si>
  <si>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</si>
  <si>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</si>
  <si>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</si>
  <si>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</si>
  <si>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</si>
  <si>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</si>
  <si>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</si>
  <si>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</si>
  <si>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</si>
  <si>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</si>
  <si>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</si>
  <si>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</si>
  <si>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</si>
  <si>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</si>
  <si>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</si>
  <si>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</si>
  <si>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</si>
  <si>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</si>
  <si>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</si>
  <si>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</si>
  <si>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</si>
  <si>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</si>
  <si>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</si>
  <si>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</si>
  <si>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</si>
  <si>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</si>
  <si>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</si>
  <si>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</si>
  <si>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</si>
  <si>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</si>
  <si>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</si>
  <si>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</si>
  <si>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</si>
  <si>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</si>
  <si>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</si>
  <si>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</si>
  <si>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</si>
  <si>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</si>
  <si>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</si>
  <si>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</si>
  <si>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</si>
  <si>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</si>
  <si>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</si>
  <si>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</si>
  <si>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</si>
  <si>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</si>
  <si>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</si>
  <si>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</si>
  <si>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</si>
  <si>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</si>
  <si>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</si>
  <si>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</si>
  <si>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</si>
  <si>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</si>
  <si>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</si>
  <si>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</si>
  <si>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</si>
  <si>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</si>
  <si>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</si>
  <si>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</si>
  <si>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</si>
  <si>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</si>
  <si>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</si>
  <si>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</si>
  <si>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</si>
  <si>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</si>
  <si>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</si>
  <si>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</si>
  <si>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</si>
  <si>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</si>
  <si>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</si>
  <si>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</si>
  <si>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</si>
  <si>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</si>
  <si>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</si>
  <si>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</si>
  <si>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</si>
  <si>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</si>
  <si>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</si>
  <si>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</si>
  <si>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</si>
  <si>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</si>
  <si>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</si>
  <si>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</si>
  <si>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</si>
  <si>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</si>
  <si>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</si>
  <si>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</si>
  <si>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</si>
  <si>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</si>
  <si>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</si>
  <si>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</si>
  <si>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</si>
  <si>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</si>
  <si>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</si>
  <si>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</si>
  <si>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</si>
  <si>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</si>
  <si>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</si>
  <si>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</si>
  <si>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</si>
  <si>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</si>
  <si>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</si>
  <si>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</si>
  <si>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</si>
  <si>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</si>
  <si>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</si>
  <si>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</si>
  <si>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</si>
  <si>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</si>
  <si>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</si>
  <si>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</si>
  <si>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</si>
  <si>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</si>
  <si>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</si>
  <si>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</si>
  <si>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</si>
  <si>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</si>
  <si>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</si>
  <si>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</si>
  <si>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</si>
  <si>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</si>
  <si>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</si>
  <si>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</si>
  <si>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</si>
  <si>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</si>
  <si>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</si>
  <si>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</si>
  <si>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</si>
  <si>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</si>
  <si>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</si>
  <si>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</si>
  <si>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</si>
  <si>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</si>
  <si>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</si>
  <si>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</si>
  <si>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</si>
  <si>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</si>
  <si>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</si>
  <si>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</si>
  <si>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</si>
  <si>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</si>
  <si>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</si>
  <si>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</si>
  <si>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</si>
  <si>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</si>
  <si>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</si>
  <si>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</si>
  <si>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</si>
  <si>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</si>
  <si>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</si>
  <si>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</si>
  <si>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</si>
  <si>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</si>
  <si>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</si>
  <si>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</si>
  <si>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</si>
  <si>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</si>
  <si>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</si>
  <si>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</si>
  <si>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</si>
  <si>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</si>
  <si>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</si>
  <si>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</si>
  <si>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</si>
  <si>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</si>
  <si>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</si>
  <si>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</si>
  <si>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</si>
  <si>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</si>
  <si>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</si>
  <si>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</si>
  <si>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</si>
  <si>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</si>
  <si>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</si>
  <si>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</si>
  <si>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</si>
  <si>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</si>
  <si>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</si>
  <si>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</si>
  <si>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</si>
  <si>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</si>
  <si>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</si>
  <si>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</si>
  <si>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</si>
  <si>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</si>
  <si>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</si>
  <si>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</si>
  <si>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</si>
  <si>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</si>
  <si>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</si>
  <si>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</si>
  <si>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</si>
  <si>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</si>
  <si>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</si>
  <si>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</si>
  <si>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</si>
  <si>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</si>
  <si>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</si>
  <si>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</si>
  <si>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</si>
  <si>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</si>
  <si>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</si>
  <si>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</si>
  <si>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</si>
  <si>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</si>
  <si>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</si>
  <si>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</si>
  <si>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</si>
  <si>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</si>
  <si>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</si>
  <si>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</si>
  <si>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</si>
  <si>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</si>
  <si>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</si>
  <si>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</si>
  <si>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</si>
  <si>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</si>
  <si>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</si>
  <si>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</si>
  <si>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</si>
  <si>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</si>
  <si>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</si>
  <si>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</si>
  <si>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</si>
  <si>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</si>
  <si>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</si>
  <si>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</si>
  <si>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</si>
  <si>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</si>
  <si>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</si>
  <si>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</si>
  <si>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</si>
  <si>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</si>
  <si>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</si>
  <si>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</si>
  <si>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</si>
  <si>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</si>
  <si>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</si>
  <si>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</si>
  <si>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</si>
  <si>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</si>
  <si>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</si>
  <si>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</si>
  <si>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</si>
  <si>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</si>
  <si>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</si>
  <si>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</si>
  <si>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</si>
  <si>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</si>
  <si>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</si>
  <si>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</si>
  <si>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</si>
  <si>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</si>
  <si>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</si>
  <si>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</si>
  <si>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</si>
  <si>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</si>
  <si>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</si>
  <si>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</si>
  <si>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</si>
  <si>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</si>
  <si>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</si>
  <si>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</si>
  <si>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</si>
  <si>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</si>
  <si>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</si>
  <si>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</si>
  <si>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</si>
  <si>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</si>
  <si>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</si>
  <si>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</si>
  <si>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</si>
  <si>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</si>
  <si>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</si>
  <si>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</si>
  <si>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</si>
  <si>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</si>
  <si>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</si>
  <si>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</si>
  <si>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</si>
  <si>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</si>
  <si>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</si>
  <si>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</si>
  <si>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</si>
  <si>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</si>
  <si>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</si>
  <si>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</si>
  <si>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</si>
  <si>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</si>
  <si>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</si>
  <si>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</si>
  <si>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</si>
  <si>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</si>
  <si>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</si>
  <si>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</si>
  <si>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</si>
  <si>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</si>
  <si>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</si>
  <si>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</si>
  <si>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</si>
  <si>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</si>
  <si>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</si>
  <si>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</si>
  <si>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</si>
  <si>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</si>
  <si>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</si>
  <si>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</si>
  <si>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</si>
  <si>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</si>
  <si>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</si>
  <si>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</si>
  <si>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</si>
  <si>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</si>
  <si>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</si>
  <si>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</si>
  <si>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</si>
  <si>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</si>
  <si>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</si>
  <si>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</si>
  <si>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</si>
  <si>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</si>
  <si>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</si>
  <si>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</si>
  <si>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</si>
  <si>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</si>
  <si>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</si>
  <si>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</si>
  <si>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</si>
  <si>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</si>
  <si>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</si>
  <si>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</si>
  <si>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</si>
  <si>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</si>
  <si>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</si>
  <si>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</si>
  <si>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</si>
  <si>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</si>
  <si>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</si>
  <si>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</si>
  <si>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</si>
  <si>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</si>
  <si>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</si>
  <si>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</si>
  <si>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</si>
  <si>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</si>
  <si>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</si>
  <si>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</si>
  <si>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</si>
  <si>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</si>
  <si>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</si>
  <si>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</si>
  <si>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</si>
  <si>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</si>
  <si>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</si>
  <si>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</si>
  <si>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</si>
  <si>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</si>
  <si>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</si>
  <si>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</si>
  <si>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</si>
  <si>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</si>
  <si>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</si>
  <si>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</si>
  <si>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</si>
  <si>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</si>
  <si>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</si>
  <si>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</si>
  <si>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</si>
  <si>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</si>
  <si>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</si>
  <si>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</si>
  <si>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</si>
  <si>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</si>
  <si>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</si>
  <si>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</si>
  <si>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</si>
  <si>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</si>
  <si>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</si>
  <si>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</si>
  <si>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</si>
  <si>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</si>
  <si>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</si>
  <si>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</si>
  <si>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</si>
  <si>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</si>
  <si>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</si>
  <si>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</si>
  <si>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</si>
  <si>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</si>
  <si>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</si>
  <si>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</si>
  <si>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</si>
  <si>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</si>
  <si>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</si>
  <si>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</si>
  <si>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</si>
  <si>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</si>
  <si>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</si>
  <si>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</si>
  <si>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</si>
  <si>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</si>
  <si>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</si>
  <si>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</si>
  <si>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</si>
  <si>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</si>
  <si>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Kankakee</t>
  </si>
  <si>
    <t>4120 S. Wheeler Road</t>
  </si>
  <si>
    <t>Hopkins Park</t>
  </si>
  <si>
    <t>Jodi K. Gill, CPA</t>
  </si>
  <si>
    <t>Jodi K. Gill</t>
  </si>
  <si>
    <t>33 N. Main Street, Ste. #2</t>
  </si>
  <si>
    <t>Manteno</t>
  </si>
  <si>
    <t>Il</t>
  </si>
  <si>
    <t>815-468-8802</t>
  </si>
  <si>
    <t>815-468-8805</t>
  </si>
  <si>
    <t>jodi@jodigillcpa.com</t>
  </si>
  <si>
    <t>Dr. Marcus Alexander</t>
  </si>
  <si>
    <t>malexander@pembroke.k12.il.us</t>
  </si>
  <si>
    <t>815-944-5448</t>
  </si>
  <si>
    <t>815-944-6750</t>
  </si>
  <si>
    <t>Working Cash Bond</t>
  </si>
  <si>
    <t>815-944-5219</t>
  </si>
  <si>
    <t>Ed-Direction of Central Support Services</t>
  </si>
  <si>
    <t>Ed - Food Services</t>
  </si>
  <si>
    <t>Cloverleaf Farms</t>
  </si>
  <si>
    <t>OBM-Operation &amp; Maint. Of Plant Services</t>
  </si>
  <si>
    <t>Friendly Signs</t>
  </si>
  <si>
    <t>Protection Associates</t>
  </si>
  <si>
    <t>Blades of Glory</t>
  </si>
  <si>
    <t>KPI Electric</t>
  </si>
  <si>
    <t>Trans.- Pupil Transportation Services</t>
  </si>
  <si>
    <t>Santander</t>
  </si>
  <si>
    <t>Converging Networks Group</t>
  </si>
  <si>
    <t>X</t>
  </si>
  <si>
    <t xml:space="preserve"> Pembroke CCSD 259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</si>
</sst>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0" fontId="58" fillId="16" borderId="30" xfId="0" applyFont="1" applyFill="1" applyBorder="1" applyAlignment="1">
      <alignment horizontal="left" vertical="top"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6</xdr:row>
          <xdr:rowOff>466725</xdr:rowOff>
        </xdr:from>
        <xdr:to>
          <xdr:col>5</xdr:col>
          <xdr:colOff>1495425</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104775</xdr:rowOff>
        </xdr:from>
        <xdr:to>
          <xdr:col>1</xdr:col>
          <xdr:colOff>914400</xdr:colOff>
          <xdr:row>5</xdr:row>
          <xdr:rowOff>142875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32046259004</v>
      </c>
      <c r="B13" s="2088"/>
      <c r="C13" s="2088"/>
      <c r="D13" s="2088"/>
      <c r="E13" s="2088"/>
      <c r="F13" s="2088"/>
      <c r="G13" s="2088"/>
      <c r="H13" s="2089"/>
      <c r="I13" s="31"/>
      <c r="J13" s="30"/>
      <c r="K13" s="28"/>
      <c r="L13" s="30"/>
      <c r="M13" s="30"/>
      <c r="N13" s="30"/>
      <c r="O13" s="30"/>
      <c r="P13" s="30"/>
      <c r="Q13" s="30"/>
      <c r="R13" s="30"/>
      <c r="S13" s="30"/>
      <c r="T13" s="2092" t="s">
        <v>2055</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2056</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2081</v>
      </c>
      <c r="B17" s="2115"/>
      <c r="C17" s="2115"/>
      <c r="D17" s="2115"/>
      <c r="E17" s="2115"/>
      <c r="F17" s="2115"/>
      <c r="G17" s="2115"/>
      <c r="H17" s="2116"/>
      <c r="T17" s="2102" t="s">
        <v>2057</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2053</v>
      </c>
      <c r="B19" s="2086"/>
      <c r="C19" s="2086"/>
      <c r="D19" s="2086"/>
      <c r="E19" s="2086"/>
      <c r="F19" s="2086"/>
      <c r="G19" s="2086"/>
      <c r="H19" s="2084"/>
      <c r="I19" s="30"/>
      <c r="J19" s="96"/>
      <c r="K19" s="40"/>
      <c r="L19" s="38"/>
      <c r="M19" s="109" t="s">
        <v>312</v>
      </c>
      <c r="P19" s="27"/>
      <c r="Q19" s="27"/>
      <c r="R19" s="27"/>
      <c r="S19" s="31"/>
      <c r="T19" s="2085" t="s">
        <v>2058</v>
      </c>
      <c r="U19" s="2083"/>
      <c r="V19" s="2083"/>
      <c r="W19" s="2084"/>
      <c r="X19" s="2100" t="s">
        <v>2059</v>
      </c>
      <c r="Y19" s="2101"/>
      <c r="Z19" s="2098">
        <v>60950</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2054</v>
      </c>
      <c r="B21" s="2083"/>
      <c r="C21" s="2083"/>
      <c r="D21" s="2083"/>
      <c r="E21" s="2083"/>
      <c r="F21" s="2083"/>
      <c r="G21" s="2083"/>
      <c r="H21" s="2084"/>
      <c r="I21" s="2108" t="s">
        <v>673</v>
      </c>
      <c r="J21" s="2071"/>
      <c r="K21" s="2071"/>
      <c r="L21" s="2071"/>
      <c r="M21" s="2071"/>
      <c r="N21" s="2071"/>
      <c r="O21" s="2071"/>
      <c r="P21" s="2071"/>
      <c r="Q21" s="2071"/>
      <c r="R21" s="2071"/>
      <c r="S21" s="2072"/>
      <c r="T21" s="2050" t="s">
        <v>2060</v>
      </c>
      <c r="U21" s="2051"/>
      <c r="V21" s="2051"/>
      <c r="W21" s="2051"/>
      <c r="X21" s="2064" t="s">
        <v>2061</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2064</v>
      </c>
      <c r="B23" s="2106"/>
      <c r="C23" s="2106"/>
      <c r="D23" s="2106"/>
      <c r="E23" s="2106"/>
      <c r="F23" s="2106"/>
      <c r="G23" s="2106"/>
      <c r="H23" s="2107"/>
      <c r="T23" s="2045">
        <v>65.023278000000005</v>
      </c>
      <c r="U23" s="2046"/>
      <c r="V23" s="2046"/>
      <c r="W23" s="2046"/>
      <c r="X23" s="2061">
        <v>44469</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60964</v>
      </c>
      <c r="B25" s="2083"/>
      <c r="C25" s="2083"/>
      <c r="D25" s="2083"/>
      <c r="E25" s="2083"/>
      <c r="F25" s="2083"/>
      <c r="G25" s="2083"/>
      <c r="H25" s="2084"/>
      <c r="I25" s="110"/>
      <c r="J25" s="2149"/>
      <c r="K25" s="2149"/>
      <c r="L25" s="2149"/>
      <c r="M25" s="2149"/>
      <c r="N25" s="2149"/>
      <c r="O25" s="2149"/>
      <c r="P25" s="2149"/>
      <c r="Q25" s="2149"/>
      <c r="R25" s="2149"/>
      <c r="S25" s="2150"/>
      <c r="T25" s="2042" t="s">
        <v>2062</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2063</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2064</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2065</v>
      </c>
      <c r="B42" s="2132"/>
      <c r="C42" s="2133"/>
      <c r="D42" s="2146" t="s">
        <v>2066</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190882</v>
      </c>
      <c r="C4" s="1722"/>
      <c r="D4" s="1723">
        <f>B4-C4</f>
        <v>190882</v>
      </c>
      <c r="E4" s="1722">
        <v>168997</v>
      </c>
      <c r="F4" s="1723">
        <f>E4-C4</f>
        <v>168997</v>
      </c>
    </row>
    <row r="5" spans="1:8" ht="13.7" customHeight="1" x14ac:dyDescent="0.2">
      <c r="A5" s="579" t="s">
        <v>865</v>
      </c>
      <c r="B5" s="1724">
        <f>'Revenues 9-14'!D5</f>
        <v>42720</v>
      </c>
      <c r="C5" s="1664"/>
      <c r="D5" s="1725">
        <f t="shared" ref="D5:D18" si="0">B5-C5</f>
        <v>42720</v>
      </c>
      <c r="E5" s="1664">
        <v>38058</v>
      </c>
      <c r="F5" s="1725">
        <f>E5-C5</f>
        <v>38058</v>
      </c>
    </row>
    <row r="6" spans="1:8" ht="13.7" customHeight="1" x14ac:dyDescent="0.2">
      <c r="A6" s="579" t="s">
        <v>408</v>
      </c>
      <c r="B6" s="1724">
        <f>'Revenues 9-14'!E5</f>
        <v>40348</v>
      </c>
      <c r="C6" s="1664"/>
      <c r="D6" s="1725">
        <f t="shared" si="0"/>
        <v>40348</v>
      </c>
      <c r="E6" s="1664">
        <v>34693</v>
      </c>
      <c r="F6" s="1725">
        <f t="shared" ref="F6:F18" si="1">E6-C6</f>
        <v>34693</v>
      </c>
    </row>
    <row r="7" spans="1:8" ht="13.7" customHeight="1" x14ac:dyDescent="0.2">
      <c r="A7" s="579" t="s">
        <v>154</v>
      </c>
      <c r="B7" s="1724">
        <f>'Revenues 9-14'!F5</f>
        <v>20496</v>
      </c>
      <c r="C7" s="1664"/>
      <c r="D7" s="1725">
        <f t="shared" si="0"/>
        <v>20496</v>
      </c>
      <c r="E7" s="1664">
        <v>18267</v>
      </c>
      <c r="F7" s="1725">
        <f t="shared" si="1"/>
        <v>18267</v>
      </c>
    </row>
    <row r="8" spans="1:8" ht="13.7" customHeight="1" x14ac:dyDescent="0.2">
      <c r="A8" s="579" t="s">
        <v>1169</v>
      </c>
      <c r="B8" s="1724">
        <f>'Revenues 9-14'!G5</f>
        <v>75811</v>
      </c>
      <c r="C8" s="1664"/>
      <c r="D8" s="1725">
        <f t="shared" si="0"/>
        <v>75811</v>
      </c>
      <c r="E8" s="1664">
        <v>91917</v>
      </c>
      <c r="F8" s="1725">
        <f t="shared" si="1"/>
        <v>91917</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8554</v>
      </c>
      <c r="C10" s="1664"/>
      <c r="D10" s="1725">
        <f t="shared" si="0"/>
        <v>8554</v>
      </c>
      <c r="E10" s="1664">
        <v>7611</v>
      </c>
      <c r="F10" s="1725">
        <f t="shared" si="1"/>
        <v>7611</v>
      </c>
    </row>
    <row r="11" spans="1:8" x14ac:dyDescent="0.2">
      <c r="A11" s="579" t="s">
        <v>406</v>
      </c>
      <c r="B11" s="1724">
        <f>'Revenues 9-14'!J5</f>
        <v>56886</v>
      </c>
      <c r="C11" s="1664"/>
      <c r="D11" s="1725">
        <f t="shared" si="0"/>
        <v>56886</v>
      </c>
      <c r="E11" s="1664">
        <v>51652</v>
      </c>
      <c r="F11" s="1725">
        <f t="shared" si="1"/>
        <v>51652</v>
      </c>
    </row>
    <row r="12" spans="1:8" ht="13.7" customHeight="1" x14ac:dyDescent="0.2">
      <c r="A12" s="579" t="s">
        <v>156</v>
      </c>
      <c r="B12" s="1724">
        <f>'Revenues 9-14'!K5</f>
        <v>8554</v>
      </c>
      <c r="C12" s="1664"/>
      <c r="D12" s="1725">
        <f t="shared" si="0"/>
        <v>8554</v>
      </c>
      <c r="E12" s="1664">
        <v>7611</v>
      </c>
      <c r="F12" s="1725">
        <f t="shared" si="1"/>
        <v>7611</v>
      </c>
    </row>
    <row r="13" spans="1:8" ht="13.7" customHeight="1" x14ac:dyDescent="0.2">
      <c r="A13" s="579" t="s">
        <v>930</v>
      </c>
      <c r="B13" s="1724">
        <f>SUM('Revenues 9-14'!C6:D6)</f>
        <v>8554</v>
      </c>
      <c r="C13" s="1664"/>
      <c r="D13" s="1725">
        <f t="shared" si="0"/>
        <v>8554</v>
      </c>
      <c r="E13" s="1664">
        <v>7611</v>
      </c>
      <c r="F13" s="1725">
        <f t="shared" si="1"/>
        <v>7611</v>
      </c>
    </row>
    <row r="14" spans="1:8" ht="13.7" customHeight="1" x14ac:dyDescent="0.2">
      <c r="A14" s="579" t="s">
        <v>407</v>
      </c>
      <c r="B14" s="1724">
        <f>SUM('Revenues 9-14'!C7:D7,'Revenues 9-14'!F7:H7)</f>
        <v>3422</v>
      </c>
      <c r="C14" s="1664"/>
      <c r="D14" s="1725">
        <f t="shared" si="0"/>
        <v>3422</v>
      </c>
      <c r="E14" s="1664">
        <v>3044</v>
      </c>
      <c r="F14" s="1725">
        <f t="shared" si="1"/>
        <v>3044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25421</v>
      </c>
      <c r="C16" s="1664"/>
      <c r="D16" s="1725">
        <f t="shared" si="0"/>
        <v>25421</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481648</v>
      </c>
      <c r="C19" s="1726">
        <f>SUM(C4:C18)</f>
        <v>0</v>
      </c>
      <c r="D19" s="1726">
        <f>SUM(D4:D18)</f>
        <v>481648</v>
      </c>
      <c r="E19" s="1726">
        <f>SUM(E4:E18)</f>
        <v>429461</v>
      </c>
      <c r="F19" s="1726">
        <f>SUM(F4:F18)</f>
        <v>429461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32" sqref="A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43515</v>
      </c>
      <c r="C31" s="1734">
        <v>145100</v>
      </c>
      <c r="D31" s="1735">
        <v>1</v>
      </c>
      <c r="E31" s="1734">
        <v>145100</v>
      </c>
      <c r="F31" s="1734"/>
      <c r="G31" s="1734"/>
      <c r="H31" s="1734">
        <v>30000</v>
      </c>
      <c r="I31" s="1736">
        <f>((E31+F31)-H31)+G31</f>
        <v>115100</v>
      </c>
      <c r="J31" s="1734">
        <v>115100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145100</v>
      </c>
      <c r="D49" s="1742"/>
      <c r="E49" s="1736">
        <f t="shared" ref="E49:J49" si="2">SUM(E31:E48)</f>
        <v>145100</v>
      </c>
      <c r="F49" s="1736">
        <f t="shared" si="2"/>
        <v>0</v>
      </c>
      <c r="G49" s="1736">
        <f t="shared" si="2"/>
        <v>0</v>
      </c>
      <c r="H49" s="1736">
        <f t="shared" si="2"/>
        <v>30000</v>
      </c>
      <c r="I49" s="1736">
        <f t="shared" si="2"/>
        <v>115100</v>
      </c>
      <c r="J49" s="1736">
        <f t="shared" si="2"/>
        <v>115100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3422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3422</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3422</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3422</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19000</v>
      </c>
      <c r="D5" s="1770"/>
      <c r="E5" s="1770"/>
      <c r="F5" s="1765">
        <f>(C5+D5)-E5</f>
        <v>19000</v>
      </c>
      <c r="G5" s="676"/>
      <c r="H5" s="680"/>
      <c r="I5" s="680"/>
      <c r="J5" s="680"/>
      <c r="K5" s="637"/>
      <c r="L5" s="1442">
        <f>F5-K5</f>
        <v>19000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1918023</v>
      </c>
      <c r="D8" s="1771"/>
      <c r="E8" s="1771"/>
      <c r="F8" s="1765">
        <f>(C8+D8)-E8</f>
        <v>1918023</v>
      </c>
      <c r="G8" s="681">
        <v>50</v>
      </c>
      <c r="H8" s="619">
        <v>1489738</v>
      </c>
      <c r="I8" s="619">
        <v>38360</v>
      </c>
      <c r="J8" s="619"/>
      <c r="K8" s="1442">
        <f>(H8+I8)-J8</f>
        <v>1528098</v>
      </c>
      <c r="L8" s="1442">
        <f>F8-K8</f>
        <v>389925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534996</v>
      </c>
      <c r="D10" s="1772"/>
      <c r="E10" s="1772"/>
      <c r="F10" s="1773">
        <f>(C10+D10)-E10</f>
        <v>534996</v>
      </c>
      <c r="G10" s="681">
        <v>20</v>
      </c>
      <c r="H10" s="683">
        <v>259066</v>
      </c>
      <c r="I10" s="683">
        <v>17487</v>
      </c>
      <c r="J10" s="683"/>
      <c r="K10" s="1442">
        <f>(H10+I10)-J10</f>
        <v>276553</v>
      </c>
      <c r="L10" s="1442">
        <f>F10-K10</f>
        <v>258443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1852373</v>
      </c>
      <c r="D12" s="1771"/>
      <c r="E12" s="1771"/>
      <c r="F12" s="1765">
        <f>(C12+D12)-E12</f>
        <v>1852373</v>
      </c>
      <c r="G12" s="681">
        <v>10</v>
      </c>
      <c r="H12" s="619">
        <v>1787545</v>
      </c>
      <c r="I12" s="619">
        <v>14422</v>
      </c>
      <c r="J12" s="619"/>
      <c r="K12" s="1442">
        <f>(H12+I12)-J12</f>
        <v>1801967</v>
      </c>
      <c r="L12" s="1442">
        <f>F12-K12</f>
        <v>50406</v>
      </c>
    </row>
    <row r="13" spans="1:14" ht="14.25" thickTop="1" thickBot="1" x14ac:dyDescent="0.25">
      <c r="A13" s="684" t="s">
        <v>1112</v>
      </c>
      <c r="B13" s="679">
        <v>252</v>
      </c>
      <c r="C13" s="1771">
        <v>1117612</v>
      </c>
      <c r="D13" s="1771"/>
      <c r="E13" s="1771"/>
      <c r="F13" s="1765">
        <f>(C13+D13)-E13</f>
        <v>1117612</v>
      </c>
      <c r="G13" s="681">
        <v>5</v>
      </c>
      <c r="H13" s="619">
        <v>1096825</v>
      </c>
      <c r="I13" s="619">
        <v>14251</v>
      </c>
      <c r="J13" s="619"/>
      <c r="K13" s="1442">
        <f>(H13+I13)-J13</f>
        <v>1111076</v>
      </c>
      <c r="L13" s="1442">
        <f>F13-K13</f>
        <v>6536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5442004</v>
      </c>
      <c r="D16" s="1765">
        <f>SUM(D3,D5:D6,D8:D10,D12:D15)</f>
        <v>0</v>
      </c>
      <c r="E16" s="1765">
        <f>SUM(E3,E5:E6,E8:E10,E12:E15)</f>
        <v>0</v>
      </c>
      <c r="F16" s="1765">
        <f>SUM(F3,F5:F6,F8:F10,F12:F15)</f>
        <v>5442004</v>
      </c>
      <c r="G16" s="681"/>
      <c r="H16" s="1435">
        <f>SUM(H3,H6,H8:H10,H12:H14,)</f>
        <v>4633174</v>
      </c>
      <c r="I16" s="1435">
        <f>SUM(I3,I6,I8:I10,I12:I14,)</f>
        <v>84520</v>
      </c>
      <c r="J16" s="1435">
        <f>SUM(J3,J6,J8:J10,J12:J14,)</f>
        <v>0</v>
      </c>
      <c r="K16" s="1435">
        <f>(H16+I16)-J16</f>
        <v>4717694</v>
      </c>
      <c r="L16" s="1435">
        <f>F16-K16</f>
        <v>724310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59657</v>
      </c>
      <c r="G17" s="676">
        <v>10</v>
      </c>
      <c r="H17" s="621"/>
      <c r="I17" s="1442">
        <f>F17/G17</f>
        <v>5965.7</v>
      </c>
      <c r="J17" s="621"/>
      <c r="K17" s="638"/>
      <c r="L17" s="638"/>
    </row>
    <row r="18" spans="1:12" ht="14.25" thickTop="1" thickBot="1" x14ac:dyDescent="0.25">
      <c r="A18" s="1440" t="s">
        <v>680</v>
      </c>
      <c r="B18" s="1441"/>
      <c r="C18" s="623"/>
      <c r="D18" s="623"/>
      <c r="E18" s="623"/>
      <c r="F18" s="686"/>
      <c r="G18" s="687"/>
      <c r="H18" s="624"/>
      <c r="I18" s="1435">
        <f>SUM(I16,I17)</f>
        <v>90485.7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2636336</v>
      </c>
      <c r="G8" s="701"/>
    </row>
    <row r="9" spans="1:9" x14ac:dyDescent="0.2">
      <c r="A9" s="705" t="s">
        <v>457</v>
      </c>
      <c r="B9" s="706" t="s">
        <v>1848</v>
      </c>
      <c r="C9" s="707"/>
      <c r="D9" s="705" t="s">
        <v>498</v>
      </c>
      <c r="E9" s="704"/>
      <c r="F9" s="1775">
        <f>'Expenditures 15-22'!K151</f>
        <v>480599</v>
      </c>
      <c r="G9" s="708"/>
    </row>
    <row r="10" spans="1:9" x14ac:dyDescent="0.2">
      <c r="A10" s="705" t="s">
        <v>496</v>
      </c>
      <c r="B10" s="706" t="s">
        <v>1849</v>
      </c>
      <c r="C10" s="707"/>
      <c r="D10" s="705" t="s">
        <v>498</v>
      </c>
      <c r="E10" s="704"/>
      <c r="F10" s="1775">
        <f>'Expenditures 15-22'!K174</f>
        <v>37236</v>
      </c>
      <c r="G10" s="708"/>
    </row>
    <row r="11" spans="1:9" x14ac:dyDescent="0.2">
      <c r="A11" s="705" t="s">
        <v>458</v>
      </c>
      <c r="B11" s="706" t="s">
        <v>1850</v>
      </c>
      <c r="C11" s="707"/>
      <c r="D11" s="705" t="s">
        <v>498</v>
      </c>
      <c r="E11" s="704"/>
      <c r="F11" s="1775">
        <f>'Expenditures 15-22'!K210</f>
        <v>239098</v>
      </c>
      <c r="G11" s="708"/>
    </row>
    <row r="12" spans="1:9" x14ac:dyDescent="0.2">
      <c r="A12" s="705" t="s">
        <v>459</v>
      </c>
      <c r="B12" s="706" t="s">
        <v>1851</v>
      </c>
      <c r="C12" s="707"/>
      <c r="D12" s="705" t="s">
        <v>498</v>
      </c>
      <c r="E12" s="704"/>
      <c r="F12" s="1775">
        <f>'Expenditures 15-22'!K295</f>
        <v>103407</v>
      </c>
      <c r="G12" s="708"/>
    </row>
    <row r="13" spans="1:9" x14ac:dyDescent="0.2">
      <c r="A13" s="705" t="s">
        <v>106</v>
      </c>
      <c r="B13" s="706" t="s">
        <v>1852</v>
      </c>
      <c r="C13" s="707"/>
      <c r="D13" s="705" t="s">
        <v>498</v>
      </c>
      <c r="E13" s="704"/>
      <c r="F13" s="1775">
        <f>'Expenditures 15-22'!K342</f>
        <v>61838</v>
      </c>
      <c r="G13" s="709"/>
    </row>
    <row r="14" spans="1:9" ht="12" customHeight="1" thickBot="1" x14ac:dyDescent="0.25">
      <c r="A14" s="1443"/>
      <c r="B14" s="1444"/>
      <c r="C14" s="1445"/>
      <c r="D14" s="1446" t="s">
        <v>498</v>
      </c>
      <c r="E14" s="1447" t="s">
        <v>952</v>
      </c>
      <c r="F14" s="1776">
        <f>SUM(F8:F13)</f>
        <v>3558514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133988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118195</v>
      </c>
      <c r="G52" s="701"/>
    </row>
    <row r="53" spans="1:7" x14ac:dyDescent="0.2">
      <c r="A53" s="705" t="s">
        <v>456</v>
      </c>
      <c r="B53" s="705" t="s">
        <v>1458</v>
      </c>
      <c r="C53" s="724">
        <f>'Expenditures 15-22'!B102</f>
        <v>4000</v>
      </c>
      <c r="D53" s="723" t="str">
        <f>'Expenditures 15-22'!A102</f>
        <v>Total Payments to Other Govt Units</v>
      </c>
      <c r="E53" s="704"/>
      <c r="F53" s="1782">
        <f>'Expenditures 15-22'!K102</f>
        <v>71400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59657</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4792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7779</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425811</v>
      </c>
      <c r="G77" s="701"/>
    </row>
    <row r="78" spans="1:9" s="728" customFormat="1" ht="12" customHeight="1" thickTop="1" thickBot="1" x14ac:dyDescent="0.25">
      <c r="A78" s="1450"/>
      <c r="B78" s="1448"/>
      <c r="C78" s="1445"/>
      <c r="D78" s="1449" t="s">
        <v>2012</v>
      </c>
      <c r="E78" s="1447"/>
      <c r="F78" s="1788">
        <f>(F14-F77)</f>
        <v>3132703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180.18</v>
      </c>
      <c r="G79" s="733"/>
      <c r="H79" s="705"/>
      <c r="I79" s="705"/>
    </row>
    <row r="80" spans="1:9" s="728" customFormat="1" ht="12" customHeight="1" thickBot="1" x14ac:dyDescent="0.25">
      <c r="A80" s="1452"/>
      <c r="B80" s="1448"/>
      <c r="C80" s="1445"/>
      <c r="D80" s="1449" t="s">
        <v>2013</v>
      </c>
      <c r="E80" s="1447" t="s">
        <v>952</v>
      </c>
      <c r="F80" s="1790">
        <f>IF(F79&gt;0,F78/F79," Complete Line 79")</f>
        <v>17386.519036519036</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3184</v>
      </c>
      <c r="G95" s="745"/>
    </row>
    <row r="96" spans="1:7" x14ac:dyDescent="0.2">
      <c r="A96" s="741" t="s">
        <v>139</v>
      </c>
      <c r="B96" s="741" t="s">
        <v>174</v>
      </c>
      <c r="C96" s="743">
        <v>1700</v>
      </c>
      <c r="D96" s="751" t="str">
        <f>'Revenues 9-14'!A82</f>
        <v>Total District/School Activity Income</v>
      </c>
      <c r="E96" s="739"/>
      <c r="F96" s="1793">
        <f>SUM('Revenues 9-14'!C82,'Revenues 9-14'!D82)</f>
        <v>261</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243</v>
      </c>
      <c r="G105" s="745"/>
    </row>
    <row r="106" spans="1:7" x14ac:dyDescent="0.2">
      <c r="A106" s="741" t="s">
        <v>500</v>
      </c>
      <c r="B106" s="741" t="s">
        <v>1910</v>
      </c>
      <c r="C106" s="746">
        <v>3100</v>
      </c>
      <c r="D106" s="752" t="str">
        <f>'Revenues 9-14'!A132</f>
        <v>Total Special Education</v>
      </c>
      <c r="E106" s="739"/>
      <c r="F106" s="1793">
        <f>SUM('Revenues 9-14'!C132:D132,'Revenues 9-14'!F132)</f>
        <v>3887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2210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186810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11420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4470</v>
      </c>
      <c r="G125" s="763"/>
    </row>
    <row r="126" spans="1:7" x14ac:dyDescent="0.2">
      <c r="A126" s="760" t="s">
        <v>659</v>
      </c>
      <c r="B126" s="760" t="s">
        <v>1930</v>
      </c>
      <c r="C126" s="765">
        <v>4200</v>
      </c>
      <c r="D126" s="762" t="str">
        <f>'Revenues 9-14'!A198</f>
        <v>Total Food Service</v>
      </c>
      <c r="E126" s="739"/>
      <c r="F126" s="1793">
        <f>SUM('Revenues 9-14'!C198,'Revenues 9-14'!G198)</f>
        <v>145496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267569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19552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81846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14995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13716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1051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20721</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777431</v>
      </c>
    </row>
    <row r="176" spans="1:7" ht="12" customHeight="1" x14ac:dyDescent="0.2">
      <c r="A176" s="1443"/>
      <c r="B176" s="1453"/>
      <c r="C176" s="1454"/>
      <c r="D176" s="1455" t="s">
        <v>2014</v>
      </c>
      <c r="E176" s="1456"/>
      <c r="F176" s="1793">
        <f>'PCTC-OEPP 27-28'!F78-F175</f>
        <v>2355272</v>
      </c>
    </row>
    <row r="177" spans="1:9" ht="12" customHeight="1" x14ac:dyDescent="0.2">
      <c r="A177" s="1443"/>
      <c r="B177" s="1453"/>
      <c r="C177" s="1454"/>
      <c r="D177" s="1455" t="s">
        <v>1794</v>
      </c>
      <c r="E177" s="1456"/>
      <c r="F177" s="1793">
        <f>'Cap Outlay Deprec 26'!I18</f>
        <v>90485.7</v>
      </c>
    </row>
    <row r="178" spans="1:9" ht="12" customHeight="1" x14ac:dyDescent="0.2">
      <c r="A178" s="1443"/>
      <c r="B178" s="1453"/>
      <c r="C178" s="1454"/>
      <c r="D178" s="1455" t="s">
        <v>2015</v>
      </c>
      <c r="E178" s="1456"/>
      <c r="F178" s="1793">
        <f>F176+F177</f>
        <v>2445757.7000000002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180.18</v>
      </c>
      <c r="G179" s="763"/>
      <c r="I179" s="701"/>
    </row>
    <row r="180" spans="1:9" ht="12" customHeight="1" thickBot="1" x14ac:dyDescent="0.25">
      <c r="A180" s="1443"/>
      <c r="B180" s="1457"/>
      <c r="C180" s="1454"/>
      <c r="D180" s="1455" t="s">
        <v>2017</v>
      </c>
      <c r="E180" s="1456" t="s">
        <v>1528</v>
      </c>
      <c r="F180" s="1798">
        <f>F178/F179</f>
        <v>13573.96880896881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3"/>
  <sheetViews>
    <sheetView showGridLines="0" zoomScaleNormal="100" workbookViewId="0">
      <selection activeCell="D26" sqref="D26"/>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1913"/>
      <c r="B18" s="1907"/>
      <c r="C18" s="1914"/>
      <c r="D18" s="1885"/>
      <c r="E18" s="1905">
        <f t="shared" ref="E18:E30" si="0">IF(D18&lt;25000,D18,"25,000")</f>
        <v>0</v>
      </c>
      <c r="F18" s="1905" t="str">
        <f t="shared" ref="F18:F30" si="1">IF(D18&gt;=25000,(D18-E18),"0")</f>
        <v>0</v>
      </c>
      <c r="G18" s="1886"/>
    </row>
    <row r="19" spans="1:7" x14ac:dyDescent="0.25">
      <c r="A19" s="2036" t="s">
        <v>2069</v>
      </c>
      <c r="B19" s="1907">
        <v>102610300</v>
      </c>
      <c r="C19" s="2037" t="s">
        <v>2055</v>
      </c>
      <c r="D19" s="1885">
        <v>9500</v>
      </c>
      <c r="E19" s="1905">
        <f t="shared" si="0"/>
        <v>9500</v>
      </c>
      <c r="F19" s="1905" t="str">
        <f t="shared" si="1"/>
        <v>0</v>
      </c>
    </row>
    <row r="20" spans="1:7" x14ac:dyDescent="0.25">
      <c r="A20" s="2036" t="s">
        <v>2070</v>
      </c>
      <c r="B20" s="1907">
        <v>102560400</v>
      </c>
      <c r="C20" s="2037" t="s">
        <v>2071</v>
      </c>
      <c r="D20" s="1885">
        <v>14499</v>
      </c>
      <c r="E20" s="1905">
        <f t="shared" si="0"/>
        <v>14499</v>
      </c>
      <c r="F20" s="1905" t="str">
        <f t="shared" si="1"/>
        <v>0</v>
      </c>
    </row>
    <row r="21" spans="1:7" x14ac:dyDescent="0.25">
      <c r="A21" s="2036" t="s">
        <v>2072</v>
      </c>
      <c r="B21" s="1907">
        <v>102540300</v>
      </c>
      <c r="C21" s="2037" t="s">
        <v>2073</v>
      </c>
      <c r="D21" s="1885">
        <v>3272</v>
      </c>
      <c r="E21" s="1905">
        <f t="shared" si="0"/>
        <v>3272</v>
      </c>
      <c r="F21" s="1905" t="str">
        <f t="shared" si="1"/>
        <v>0</v>
      </c>
    </row>
    <row r="22" spans="1:7" x14ac:dyDescent="0.25">
      <c r="A22" s="2036" t="s">
        <v>2072</v>
      </c>
      <c r="B22" s="1907">
        <v>102540300</v>
      </c>
      <c r="C22" s="2037" t="s">
        <v>2074</v>
      </c>
      <c r="D22" s="1885">
        <v>6412</v>
      </c>
      <c r="E22" s="1905">
        <f t="shared" si="0"/>
        <v>6412</v>
      </c>
      <c r="F22" s="1905" t="str">
        <f t="shared" si="1"/>
        <v>0</v>
      </c>
    </row>
    <row r="23" spans="1:7" x14ac:dyDescent="0.25">
      <c r="A23" s="2036" t="s">
        <v>2072</v>
      </c>
      <c r="B23" s="1907">
        <v>102540300</v>
      </c>
      <c r="C23" s="2037" t="s">
        <v>2075</v>
      </c>
      <c r="D23" s="1885">
        <v>8750</v>
      </c>
      <c r="E23" s="1905">
        <f t="shared" si="0"/>
        <v>8750</v>
      </c>
      <c r="F23" s="1905" t="str">
        <f t="shared" si="1"/>
        <v>0</v>
      </c>
    </row>
    <row r="24" spans="1:7" x14ac:dyDescent="0.25">
      <c r="A24" s="2036" t="s">
        <v>2072</v>
      </c>
      <c r="B24" s="1907">
        <v>102540300</v>
      </c>
      <c r="C24" s="2037" t="s">
        <v>2076</v>
      </c>
      <c r="D24" s="1885">
        <v>9647</v>
      </c>
      <c r="E24" s="1905">
        <f t="shared" si="0"/>
        <v>9647</v>
      </c>
      <c r="F24" s="1905" t="str">
        <f t="shared" si="1"/>
        <v>0</v>
      </c>
    </row>
    <row r="25" spans="1:7" x14ac:dyDescent="0.25">
      <c r="A25" s="2036" t="s">
        <v>2072</v>
      </c>
      <c r="B25" s="1907">
        <v>102540300</v>
      </c>
      <c r="C25" s="2037" t="s">
        <v>2079</v>
      </c>
      <c r="D25" s="1885">
        <v>2170</v>
      </c>
      <c r="E25" s="1905"/>
      <c r="F25" s="1905"/>
    </row>
    <row r="26" spans="1:7" x14ac:dyDescent="0.25">
      <c r="A26" s="2036" t="s">
        <v>2077</v>
      </c>
      <c r="B26" s="1907">
        <v>402550300</v>
      </c>
      <c r="C26" s="2037" t="s">
        <v>2078</v>
      </c>
      <c r="D26" s="1885">
        <v>69840</v>
      </c>
      <c r="E26" s="1905" t="str">
        <f t="shared" si="0"/>
        <v>25,000</v>
      </c>
      <c r="F26" s="1905">
        <f t="shared" si="1"/>
        <v>44840</v>
      </c>
    </row>
    <row r="27" spans="1:7" x14ac:dyDescent="0.25">
      <c r="A27" s="1887"/>
      <c r="B27" s="1907"/>
      <c r="C27" s="1884"/>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8"/>
      <c r="C31" s="1888"/>
      <c r="D31" s="1885"/>
      <c r="E31" s="1905">
        <f t="shared" ref="E31:E32" si="2">IF(D31&lt;25000,D31,"25,000")</f>
        <v>0</v>
      </c>
      <c r="F31" s="1905" t="str">
        <f t="shared" ref="F31:F32" si="3">IF(D31&gt;=25000,(D31-E31),"0")</f>
        <v>0</v>
      </c>
    </row>
    <row r="32" spans="1:7" x14ac:dyDescent="0.25">
      <c r="A32" s="1887"/>
      <c r="B32" s="1909"/>
      <c r="C32" s="1888"/>
      <c r="D32" s="1885"/>
      <c r="E32" s="1905">
        <f t="shared" si="2"/>
        <v>0</v>
      </c>
      <c r="F32" s="1905" t="str">
        <f t="shared" si="3"/>
        <v>0</v>
      </c>
    </row>
    <row r="33" spans="1:6" x14ac:dyDescent="0.25">
      <c r="A33" s="1889" t="s">
        <v>155</v>
      </c>
      <c r="B33" s="1910"/>
      <c r="C33" s="1890"/>
      <c r="D33" s="1891">
        <f>SUM(D18:D32)</f>
        <v>124090</v>
      </c>
      <c r="E33" s="1892">
        <f>SUM(E18:E32)</f>
        <v>52080</v>
      </c>
      <c r="F33" s="1893">
        <f>SUM(F18:F32)</f>
        <v>44840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581025</xdr:colOff>
                <xdr:row>6</xdr:row>
                <xdr:rowOff>466725</xdr:rowOff>
              </from>
              <to>
                <xdr:col>5</xdr:col>
                <xdr:colOff>1495425</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1405852</v>
      </c>
      <c r="F19" s="1802"/>
      <c r="G19" s="1804">
        <f>'Expenditures 15-22'!K33-SUM('Expenditures 15-22'!G33,'Expenditures 15-22'!I33)+'Expenditures 15-22'!D229</f>
        <v>1405852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104961</v>
      </c>
      <c r="F21" s="1805"/>
      <c r="G21" s="1808">
        <f>'Expenditures 15-22'!K42-SUM('Expenditures 15-22'!G42,'Expenditures 15-22'!I42)+'Expenditures 15-22'!K120-SUM('Expenditures 15-22'!G120,'Expenditures 15-22'!I120)+'Expenditures 15-22'!K180-SUM('Expenditures 15-22'!G180,'Expenditures 15-22'!I180)+'Expenditures 15-22'!D238</f>
        <v>104961</v>
      </c>
      <c r="H21" s="817"/>
      <c r="I21" s="157"/>
    </row>
    <row r="22" spans="1:9" s="542" customFormat="1" ht="12" customHeight="1" x14ac:dyDescent="0.2">
      <c r="A22" s="824" t="s">
        <v>560</v>
      </c>
      <c r="B22" s="825"/>
      <c r="C22" s="823">
        <v>2200</v>
      </c>
      <c r="D22" s="1805"/>
      <c r="E22" s="1807">
        <f>'Expenditures 15-22'!K47-SUM('Expenditures 15-22'!G47,'Expenditures 15-22'!I47)+'Expenditures 15-22'!D243</f>
        <v>64937</v>
      </c>
      <c r="F22" s="1805"/>
      <c r="G22" s="1808">
        <f>'Expenditures 15-22'!K47-SUM('Expenditures 15-22'!G47,'Expenditures 15-22'!I47)+'Expenditures 15-22'!D243</f>
        <v>64937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414618</v>
      </c>
      <c r="F23" s="1805"/>
      <c r="G23" s="1807">
        <f>'Expenditures 15-22'!K53-SUM('Expenditures 15-22'!G53,'Expenditures 15-22'!I53)+'Expenditures 15-22'!D257+'Expenditures 15-22'!K330-SUM('Expenditures 15-22'!G330,'Expenditures 15-22'!I330)</f>
        <v>414618</v>
      </c>
      <c r="H23" s="817"/>
      <c r="I23" s="157"/>
    </row>
    <row r="24" spans="1:9" s="542" customFormat="1" ht="12" customHeight="1" x14ac:dyDescent="0.2">
      <c r="A24" s="824" t="s">
        <v>562</v>
      </c>
      <c r="B24" s="825"/>
      <c r="C24" s="823">
        <v>2400</v>
      </c>
      <c r="D24" s="1805"/>
      <c r="E24" s="1807">
        <f>'Expenditures 15-22'!K57-SUM('Expenditures 15-22'!G57,'Expenditures 15-22'!I57)+'Expenditures 15-22'!D261</f>
        <v>252589</v>
      </c>
      <c r="F24" s="1805"/>
      <c r="G24" s="1808">
        <f>'Expenditures 15-22'!K57-SUM('Expenditures 15-22'!G57,'Expenditures 15-22'!I57)+'Expenditures 15-22'!D261</f>
        <v>252589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505144</v>
      </c>
      <c r="F28" s="1809">
        <f>'Expenditures 15-22'!K61-SUM('Expenditures 15-22'!G61,'Expenditures 15-22'!I61)+'Expenditures 15-22'!K124-SUM('Expenditures 15-22'!G124,'Expenditures 15-22'!I124)+'Expenditures 15-22'!D266-E9</f>
        <v>505144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276089</v>
      </c>
      <c r="F29" s="1805"/>
      <c r="G29" s="1808">
        <f>'Expenditures 15-22'!K62-SUM('Expenditures 15-22'!G62,'Expenditures 15-22'!I62)+'Expenditures 15-22'!K125-SUM('Expenditures 15-22'!G125,'Expenditures 15-22'!I125)+'Expenditures 15-22'!K182-SUM('Expenditures 15-22'!G182,'Expenditures 15-22'!I182)+'Expenditures 15-22'!D267</f>
        <v>276089</v>
      </c>
      <c r="H29" s="815"/>
    </row>
    <row r="30" spans="1:9" ht="12" customHeight="1" x14ac:dyDescent="0.2">
      <c r="A30" s="824" t="s">
        <v>100</v>
      </c>
      <c r="B30" s="827"/>
      <c r="C30" s="823">
        <v>2560</v>
      </c>
      <c r="D30" s="1805"/>
      <c r="E30" s="1807">
        <f>'Expenditures 15-22'!K63-SUM('Expenditures 15-22'!G63,'Expenditures 15-22'!I63)+'Expenditures 15-22'!D268-E10</f>
        <v>155562</v>
      </c>
      <c r="F30" s="1805"/>
      <c r="G30" s="1807">
        <f>'Expenditures 15-22'!K63-SUM('Expenditures 15-22'!G63,'Expenditures 15-22'!I63)+'Expenditures 15-22'!D268-E10</f>
        <v>155562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17418</v>
      </c>
      <c r="F33" s="1805"/>
      <c r="G33" s="1807">
        <f>'Expenditures 15-22'!K67-SUM('Expenditures 15-22'!G67,'Expenditures 15-22'!I67)+'Expenditures 15-22'!D272</f>
        <v>17418</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64924</v>
      </c>
      <c r="F35" s="1805"/>
      <c r="G35" s="1807">
        <f>'Expenditures 15-22'!K69-SUM('Expenditures 15-22'!G69,'Expenditures 15-22'!I69)+'Expenditures 15-22'!D274</f>
        <v>64924</v>
      </c>
    </row>
    <row r="36" spans="1:7" ht="12" customHeight="1" x14ac:dyDescent="0.2">
      <c r="A36" s="824" t="s">
        <v>400</v>
      </c>
      <c r="B36" s="827"/>
      <c r="C36" s="823">
        <v>2640</v>
      </c>
      <c r="D36" s="1807">
        <f>'Expenditures 15-22'!K70-SUM('Expenditures 15-22'!G70,'Expenditures 15-22'!I70)+'Expenditures 15-22'!D275-E13</f>
        <v>1598</v>
      </c>
      <c r="E36" s="1807">
        <f>E13</f>
        <v>0</v>
      </c>
      <c r="F36" s="1807">
        <f>'Expenditures 15-22'!K70-SUM('Expenditures 15-22'!G70,'Expenditures 15-22'!I70)+'Expenditures 15-22'!D275-E13</f>
        <v>1598</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555</v>
      </c>
      <c r="F38" s="1805"/>
      <c r="G38" s="1807">
        <f>'Expenditures 15-22'!K73-SUM('Expenditures 15-22'!G73,'Expenditures 15-22'!I73)+'Expenditures 15-22'!K128-SUM('Expenditures 15-22'!G128,'Expenditures 15-22'!I128)+'Expenditures 15-22'!K183-SUM('Expenditures 15-22'!G183,'Expenditures 15-22'!I183)+'Expenditures 15-22'!D278</f>
        <v>555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125974</v>
      </c>
      <c r="F39" s="1805"/>
      <c r="G39" s="1807">
        <f>'Expenditures 15-22'!K75-SUM('Expenditures 15-22'!G75,'Expenditures 15-22'!I75)+'Expenditures 15-22'!K130-SUM('Expenditures 15-22'!G130,'Expenditures 15-22'!I130)+'Expenditures 15-22'!K185-SUM('Expenditures 15-22'!G185,'Expenditures 15-22'!I185)+'Expenditures 15-22'!D280</f>
        <v>125974</v>
      </c>
    </row>
    <row r="40" spans="1:7" ht="12" customHeight="1" x14ac:dyDescent="0.2">
      <c r="A40" s="820" t="s">
        <v>1798</v>
      </c>
      <c r="B40" s="821"/>
      <c r="C40" s="823"/>
      <c r="D40" s="1805"/>
      <c r="E40" s="1809">
        <f>-'Contracts Paid in CY 29'!F33</f>
        <v>-44840</v>
      </c>
      <c r="F40" s="1805"/>
      <c r="G40" s="1809">
        <f>-'Contracts Paid in CY 29'!F33</f>
        <v>-44840</v>
      </c>
    </row>
    <row r="41" spans="1:7" ht="12" customHeight="1" x14ac:dyDescent="0.2">
      <c r="A41" s="828" t="s">
        <v>155</v>
      </c>
      <c r="B41" s="829"/>
      <c r="C41" s="830"/>
      <c r="D41" s="1809">
        <f>SUM(D19:D39)</f>
        <v>1598</v>
      </c>
      <c r="E41" s="1809">
        <f>SUM(E19:E40)</f>
        <v>3343783</v>
      </c>
      <c r="F41" s="1809">
        <f>SUM(F19:F39)</f>
        <v>506742</v>
      </c>
      <c r="G41" s="1809">
        <f>SUM(G19:G40)</f>
        <v>2838639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1598</v>
      </c>
      <c r="F43" s="1458" t="s">
        <v>470</v>
      </c>
      <c r="G43" s="1810">
        <f>F41</f>
        <v>506742</v>
      </c>
    </row>
    <row r="44" spans="1:7" ht="12" customHeight="1" x14ac:dyDescent="0.2">
      <c r="A44" s="817"/>
      <c r="B44" s="157"/>
      <c r="C44" s="831"/>
      <c r="D44" s="1458" t="s">
        <v>471</v>
      </c>
      <c r="E44" s="1810">
        <f>E41</f>
        <v>3343783</v>
      </c>
      <c r="F44" s="1458" t="s">
        <v>471</v>
      </c>
      <c r="G44" s="1810">
        <f>G41</f>
        <v>2838639</v>
      </c>
    </row>
    <row r="45" spans="1:7" ht="12" customHeight="1" x14ac:dyDescent="0.2">
      <c r="A45" s="817"/>
      <c r="B45" s="157"/>
      <c r="C45" s="157"/>
      <c r="D45" s="1459" t="s">
        <v>999</v>
      </c>
      <c r="E45" s="1811">
        <f>(E43/E44)</f>
        <v>4.7790182556702992E-4</v>
      </c>
      <c r="F45" s="1459" t="s">
        <v>999</v>
      </c>
      <c r="G45" s="1811">
        <f>(G43/G44)</f>
        <v>0.17851583100211052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2" sqref="F2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Pembroke CCSD 259</v>
      </c>
      <c r="D6" s="2405"/>
      <c r="E6" s="2405"/>
      <c r="F6" s="1482"/>
      <c r="G6" s="1507"/>
      <c r="L6" s="1507"/>
      <c r="M6" s="1855"/>
      <c r="N6" s="1855"/>
      <c r="O6" s="1855"/>
    </row>
    <row r="7" spans="1:15" ht="11.25" customHeight="1" thickBot="1" x14ac:dyDescent="0.3">
      <c r="A7" s="1480"/>
      <c r="B7" s="1481"/>
      <c r="C7" s="2406">
        <f>COVER!A13</f>
        <v>32046259004</v>
      </c>
      <c r="D7" s="2406"/>
      <c r="E7" s="2406"/>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 xml:space="preserve"> Pembroke CCSD 259</v>
      </c>
      <c r="K6" s="2421"/>
      <c r="L6" s="2422"/>
      <c r="M6" s="838"/>
      <c r="N6" s="1999"/>
    </row>
    <row r="7" spans="1:14" x14ac:dyDescent="0.2">
      <c r="A7" s="2423" t="s">
        <v>864</v>
      </c>
      <c r="B7" s="2424"/>
      <c r="C7" s="2424"/>
      <c r="D7" s="2424"/>
      <c r="E7" s="2425"/>
      <c r="F7" s="839"/>
      <c r="G7" s="838"/>
      <c r="H7" s="838"/>
      <c r="I7" s="1925" t="s">
        <v>369</v>
      </c>
      <c r="J7" s="2426">
        <f>COVER!A13</f>
        <v>32046259004</v>
      </c>
      <c r="K7" s="2426"/>
      <c r="L7" s="2426"/>
      <c r="M7" s="838"/>
      <c r="N7" s="1999"/>
    </row>
    <row r="8" spans="1:14" x14ac:dyDescent="0.2">
      <c r="A8" s="2001"/>
      <c r="B8" s="1926"/>
      <c r="C8" s="1926"/>
      <c r="D8" s="1926"/>
      <c r="E8" s="1927"/>
      <c r="F8" s="1928"/>
      <c r="G8" s="1911"/>
      <c r="H8" s="1911"/>
      <c r="I8" s="1911"/>
      <c r="J8" s="1911"/>
      <c r="K8" s="1911"/>
      <c r="L8" s="1911"/>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219981</v>
      </c>
      <c r="F12" s="1943"/>
      <c r="G12" s="1969">
        <f>G68</f>
        <v>0</v>
      </c>
      <c r="H12" s="1945">
        <f t="shared" ref="H12:H18" si="0">SUM(E12:G12)</f>
        <v>219981</v>
      </c>
      <c r="I12" s="1944">
        <v>208500</v>
      </c>
      <c r="J12" s="1943"/>
      <c r="K12" s="1944"/>
      <c r="L12" s="1945">
        <f t="shared" ref="L12:L18" si="1">SUM(I12:K12)</f>
        <v>208500</v>
      </c>
      <c r="M12" s="838"/>
      <c r="N12" s="1999"/>
    </row>
    <row r="13" spans="1:14" x14ac:dyDescent="0.2">
      <c r="A13" s="2004">
        <v>2</v>
      </c>
      <c r="B13" s="1941" t="s">
        <v>42</v>
      </c>
      <c r="C13" s="842"/>
      <c r="D13" s="1942">
        <v>2330</v>
      </c>
      <c r="E13" s="1945">
        <f>'Expenditures 15-22'!K51</f>
        <v>84456</v>
      </c>
      <c r="F13" s="1943"/>
      <c r="G13" s="1969">
        <f>H68</f>
        <v>0</v>
      </c>
      <c r="H13" s="1945">
        <f t="shared" si="0"/>
        <v>84456</v>
      </c>
      <c r="I13" s="1944">
        <v>85000</v>
      </c>
      <c r="J13" s="1943"/>
      <c r="K13" s="1944"/>
      <c r="L13" s="1945">
        <f t="shared" si="1"/>
        <v>85000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17418</v>
      </c>
      <c r="F17" s="1943"/>
      <c r="G17" s="1969">
        <f>L68</f>
        <v>0</v>
      </c>
      <c r="H17" s="1945">
        <f t="shared" si="0"/>
        <v>17418</v>
      </c>
      <c r="I17" s="1944">
        <v>30000</v>
      </c>
      <c r="J17" s="1943"/>
      <c r="K17" s="1944"/>
      <c r="L17" s="1945">
        <f t="shared" si="1"/>
        <v>30000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321855</v>
      </c>
      <c r="F19" s="1951">
        <f t="shared" si="2"/>
        <v>0</v>
      </c>
      <c r="G19" s="1951">
        <f t="shared" ref="G19" si="3">SUM(G12:G17)-G18</f>
        <v>0</v>
      </c>
      <c r="H19" s="1951">
        <f t="shared" si="2"/>
        <v>321855</v>
      </c>
      <c r="I19" s="1951">
        <f t="shared" si="2"/>
        <v>323500</v>
      </c>
      <c r="J19" s="1951">
        <f t="shared" si="2"/>
        <v>0</v>
      </c>
      <c r="K19" s="1951">
        <f t="shared" si="2"/>
        <v>0</v>
      </c>
      <c r="L19" s="1951">
        <f t="shared" si="2"/>
        <v>323500</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5.1109971881747995E-3</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t="s">
        <v>2063</v>
      </c>
      <c r="D29" s="2438"/>
      <c r="E29" s="845"/>
      <c r="F29" s="2438" t="s">
        <v>2068</v>
      </c>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 xml:space="preserve"> Pembroke CCSD 259</v>
      </c>
      <c r="M52" s="2421"/>
      <c r="N52" s="2451"/>
    </row>
    <row r="53" spans="1:14" x14ac:dyDescent="0.2">
      <c r="A53" s="1983"/>
      <c r="B53" s="1984"/>
      <c r="C53" s="1984"/>
      <c r="D53" s="1984"/>
      <c r="E53" s="1984"/>
      <c r="F53" s="1984"/>
      <c r="G53" s="1984"/>
      <c r="H53" s="1984"/>
      <c r="I53" s="1984"/>
      <c r="J53" s="1984"/>
      <c r="K53" s="1925" t="s">
        <v>369</v>
      </c>
      <c r="L53" s="2426">
        <f>J7</f>
        <v>32046259004</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2041</v>
      </c>
      <c r="B58" s="2440"/>
      <c r="C58" s="2440"/>
      <c r="D58" s="1968">
        <v>2362</v>
      </c>
      <c r="E58" s="1978">
        <f>'Expenditures 15-22'!K320</f>
        <v>15321</v>
      </c>
      <c r="F58" s="1973"/>
      <c r="G58" s="2032"/>
      <c r="H58" s="2033"/>
      <c r="I58" s="2033"/>
      <c r="J58" s="2033"/>
      <c r="K58" s="2033"/>
      <c r="L58" s="2033"/>
      <c r="M58" s="2033"/>
      <c r="N58" s="1976" t="str">
        <f>IF((SUM(G58:M58))=E58,SUM(G58:M58),"Column N does not agree with Column E")</f>
        <v>Column N does not agree with Column E</v>
      </c>
    </row>
    <row r="59" spans="1:14" ht="24.75" customHeight="1" x14ac:dyDescent="0.2">
      <c r="A59" s="2462" t="s">
        <v>297</v>
      </c>
      <c r="B59" s="2463"/>
      <c r="C59" s="246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2" t="s">
        <v>236</v>
      </c>
      <c r="B60" s="2463"/>
      <c r="C60" s="2463"/>
      <c r="D60" s="1968">
        <v>2364</v>
      </c>
      <c r="E60" s="1978">
        <f>'Expenditures 15-22'!K322</f>
        <v>37392</v>
      </c>
      <c r="F60" s="1973"/>
      <c r="G60" s="2032"/>
      <c r="H60" s="2033"/>
      <c r="I60" s="2033"/>
      <c r="J60" s="2033"/>
      <c r="K60" s="2033"/>
      <c r="L60" s="2033"/>
      <c r="M60" s="2033"/>
      <c r="N60" s="1976" t="str">
        <f t="shared" ref="N60:N67" si="4">IF((SUM(G60:M60))=E60,SUM(G60:M60),"Column N does not agree with Column E")</f>
        <v>Column N does not agree with Column E</v>
      </c>
    </row>
    <row r="61" spans="1:14" ht="24.75" customHeight="1" x14ac:dyDescent="0.2">
      <c r="A61" s="2462" t="s">
        <v>697</v>
      </c>
      <c r="B61" s="2463"/>
      <c r="C61" s="2463"/>
      <c r="D61" s="1968">
        <v>2365</v>
      </c>
      <c r="E61" s="1978">
        <f>'Expenditures 15-22'!K323</f>
        <v>1000</v>
      </c>
      <c r="F61" s="1973"/>
      <c r="G61" s="2032"/>
      <c r="H61" s="2033"/>
      <c r="I61" s="2033"/>
      <c r="J61" s="2033"/>
      <c r="K61" s="2033"/>
      <c r="L61" s="2033"/>
      <c r="M61" s="2033"/>
      <c r="N61" s="1976" t="str">
        <f t="shared" si="4"/>
        <v>Column N does not agree with Column E</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0</v>
      </c>
      <c r="F63" s="1973"/>
      <c r="G63" s="2032"/>
      <c r="H63" s="2033"/>
      <c r="I63" s="2033"/>
      <c r="J63" s="2033"/>
      <c r="K63" s="2033"/>
      <c r="L63" s="2033"/>
      <c r="M63" s="2033"/>
      <c r="N63" s="1976">
        <f t="shared" si="4"/>
        <v>0</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8125</v>
      </c>
      <c r="F65" s="1973"/>
      <c r="G65" s="2032"/>
      <c r="H65" s="2033"/>
      <c r="I65" s="2033"/>
      <c r="J65" s="2033"/>
      <c r="K65" s="2033"/>
      <c r="L65" s="2033"/>
      <c r="M65" s="2033"/>
      <c r="N65" s="1976" t="str">
        <f t="shared" si="4"/>
        <v>Column N does not agree with Column E</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61838</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Pembroke CCSD 259</v>
      </c>
    </row>
    <row r="65" spans="2:2" x14ac:dyDescent="0.2">
      <c r="B65" s="849">
        <f>COVER!A13</f>
        <v>32046259004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128" sqref="I12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1</xdr:row>
                <xdr:rowOff>104775</xdr:rowOff>
              </from>
              <to>
                <xdr:col>1</xdr:col>
                <xdr:colOff>914400</xdr:colOff>
                <xdr:row>5</xdr:row>
                <xdr:rowOff>142875</xdr:rowOff>
              </to>
            </anchor>
          </objectPr>
        </oleObject>
      </mc:Choice>
      <mc:Fallback>
        <oleObject progId="Acrobat Document" dvAspect="DVASPECT_ICON" shapeId="5632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2818897</v>
      </c>
      <c r="C8" s="1813">
        <f>'Acct Summary 7-8'!D8</f>
        <v>524224</v>
      </c>
      <c r="D8" s="1813">
        <f>'Acct Summary 7-8'!F8</f>
        <v>334339</v>
      </c>
      <c r="E8" s="1813">
        <f>'Acct Summary 7-8'!I8</f>
        <v>8568</v>
      </c>
      <c r="F8" s="1813">
        <f>SUM(B8:E8)</f>
        <v>3686028</v>
      </c>
    </row>
    <row r="9" spans="1:8" s="858" customFormat="1" ht="14.25" customHeight="1" thickBot="1" x14ac:dyDescent="0.25">
      <c r="A9" s="857" t="s">
        <v>1353</v>
      </c>
      <c r="B9" s="1814">
        <f>'Acct Summary 7-8'!C17</f>
        <v>2636336</v>
      </c>
      <c r="C9" s="1814">
        <f>'Acct Summary 7-8'!D17</f>
        <v>480599</v>
      </c>
      <c r="D9" s="1814">
        <f>'Acct Summary 7-8'!F17</f>
        <v>239098</v>
      </c>
      <c r="E9" s="1813"/>
      <c r="F9" s="1813">
        <f>SUM(B9:E9)</f>
        <v>3356033</v>
      </c>
    </row>
    <row r="10" spans="1:8" s="858" customFormat="1" ht="14.25" thickTop="1" thickBot="1" x14ac:dyDescent="0.25">
      <c r="A10" s="859" t="s">
        <v>1354</v>
      </c>
      <c r="B10" s="1815">
        <f>(B8-B9)</f>
        <v>182561</v>
      </c>
      <c r="C10" s="1815">
        <f>(C8-C9)</f>
        <v>43625</v>
      </c>
      <c r="D10" s="1815">
        <f>(D8-D9)</f>
        <v>95241</v>
      </c>
      <c r="E10" s="1814">
        <f>(E8-E9)</f>
        <v>8568</v>
      </c>
      <c r="F10" s="1816">
        <f>SUM(F8-F9)</f>
        <v>329995</v>
      </c>
    </row>
    <row r="11" spans="1:8" s="858" customFormat="1" ht="14.25" thickTop="1" thickBot="1" x14ac:dyDescent="0.25">
      <c r="A11" s="860" t="s">
        <v>1903</v>
      </c>
      <c r="B11" s="1817">
        <f>'Acct Summary 7-8'!C81</f>
        <v>622157</v>
      </c>
      <c r="C11" s="1817">
        <f>'Acct Summary 7-8'!D81</f>
        <v>69731</v>
      </c>
      <c r="D11" s="1817">
        <f>'Acct Summary 7-8'!F81</f>
        <v>221088</v>
      </c>
      <c r="E11" s="1817">
        <f>'Acct Summary 7-8'!I81</f>
        <v>8568</v>
      </c>
      <c r="F11" s="1818">
        <f>SUM(B11:E11)</f>
        <v>921544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80" sqref="D8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29'!$D$33&gt;0,"OK","PLEASE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32046259004</v>
      </c>
      <c r="E2" s="1542">
        <v>2020</v>
      </c>
      <c r="F2" s="1542">
        <v>1</v>
      </c>
      <c r="G2" s="1898">
        <v>101000300</v>
      </c>
    </row>
    <row r="3" spans="1:7" ht="15" x14ac:dyDescent="0.25">
      <c r="A3" t="s">
        <v>950</v>
      </c>
      <c r="B3" s="135" t="str">
        <f>COVER!A15</f>
        <v>Kankakee</v>
      </c>
      <c r="E3" s="1830" t="s">
        <v>1971</v>
      </c>
      <c r="F3" s="1830" t="s">
        <v>1970</v>
      </c>
      <c r="G3" s="1898">
        <v>101000400</v>
      </c>
    </row>
    <row r="4" spans="1:7" ht="15" x14ac:dyDescent="0.25">
      <c r="A4" t="s">
        <v>1000</v>
      </c>
      <c r="B4" s="135" t="str">
        <f>COVER!A17</f>
        <v xml:space="preserve"> Pembroke CCSD 259</v>
      </c>
      <c r="E4" s="1828">
        <v>44119</v>
      </c>
      <c r="F4" s="1829">
        <v>44151</v>
      </c>
      <c r="G4" s="1898">
        <v>101000600</v>
      </c>
    </row>
    <row r="5" spans="1:7" ht="15" x14ac:dyDescent="0.25">
      <c r="A5" t="s">
        <v>699</v>
      </c>
      <c r="B5" s="135" t="str">
        <f>COVER!A38</f>
        <v>Dr. Marcus Alexander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f>COVER!T23</f>
        <v>65.023278000000005</v>
      </c>
      <c r="G15" s="1898">
        <v>402100400</v>
      </c>
    </row>
    <row r="16" spans="1:7" ht="15" x14ac:dyDescent="0.25">
      <c r="A16" t="s">
        <v>419</v>
      </c>
      <c r="B16" s="135" t="str">
        <f>COVER!T13</f>
        <v>Jodi K. Gill, CPA</v>
      </c>
      <c r="G16" s="1898">
        <v>402100600</v>
      </c>
    </row>
    <row r="17" spans="1:7" ht="15" x14ac:dyDescent="0.25">
      <c r="A17" t="s">
        <v>878</v>
      </c>
      <c r="B17" s="135" t="str">
        <f>COVER!T15</f>
        <v>Jodi K. Gill</v>
      </c>
      <c r="G17" s="1898">
        <v>402100800</v>
      </c>
    </row>
    <row r="18" spans="1:7" ht="15" x14ac:dyDescent="0.25">
      <c r="A18" t="s">
        <v>1140</v>
      </c>
      <c r="B18" s="135" t="str">
        <f>COVER!T17</f>
        <v>33 N. Main Street, Ste. #2</v>
      </c>
      <c r="G18" s="1898">
        <v>102200300</v>
      </c>
    </row>
    <row r="19" spans="1:7" ht="15" x14ac:dyDescent="0.25">
      <c r="A19" t="s">
        <v>880</v>
      </c>
      <c r="B19" s="135" t="str">
        <f>COVER!T25</f>
        <v>jodi@jodigillcpa.com</v>
      </c>
      <c r="G19" s="1898">
        <v>102200400</v>
      </c>
    </row>
    <row r="20" spans="1:7" ht="15" x14ac:dyDescent="0.25">
      <c r="A20" t="s">
        <v>881</v>
      </c>
      <c r="B20" s="135" t="str">
        <f>COVER!T19</f>
        <v>Manteno</v>
      </c>
      <c r="G20" s="1898">
        <v>102200600</v>
      </c>
    </row>
    <row r="21" spans="1:7" ht="15" x14ac:dyDescent="0.25">
      <c r="A21" t="s">
        <v>476</v>
      </c>
      <c r="B21" s="135" t="str">
        <f>COVER!X19</f>
        <v>Il</v>
      </c>
      <c r="G21" s="1898">
        <v>102200800</v>
      </c>
    </row>
    <row r="22" spans="1:7" ht="15" x14ac:dyDescent="0.25">
      <c r="A22" t="s">
        <v>882</v>
      </c>
      <c r="B22" s="135">
        <f>COVER!Z19</f>
        <v>60950</v>
      </c>
      <c r="G22" s="1898">
        <v>102300300</v>
      </c>
    </row>
    <row r="23" spans="1:7" ht="15" x14ac:dyDescent="0.25">
      <c r="A23" t="s">
        <v>1142</v>
      </c>
      <c r="B23" s="135" t="str">
        <f>COVER!T21</f>
        <v>815-468-8802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Yes</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202598</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622157</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622157</v>
      </c>
      <c r="D92" s="2" t="str">
        <f t="shared" si="0"/>
        <v>Error?</v>
      </c>
      <c r="G92" s="1898">
        <v>102640600</v>
      </c>
    </row>
    <row r="93" spans="1:7" ht="15" x14ac:dyDescent="0.25">
      <c r="A93" s="5">
        <v>32</v>
      </c>
      <c r="B93" s="1832">
        <f>'Assets-Liab 5-6'!C41</f>
        <v>622157</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92421</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22690</v>
      </c>
      <c r="C122" s="2" t="s">
        <v>569</v>
      </c>
      <c r="D122" s="2" t="str">
        <f t="shared" si="0"/>
        <v>Error?</v>
      </c>
      <c r="G122" s="1898">
        <v>203000300</v>
      </c>
    </row>
    <row r="123" spans="1:7" ht="15" x14ac:dyDescent="0.25">
      <c r="A123" s="5">
        <v>62</v>
      </c>
      <c r="B123" s="1832">
        <f>'Assets-Liab 5-6'!D39</f>
        <v>69731</v>
      </c>
      <c r="D123" s="2" t="str">
        <f t="shared" si="0"/>
        <v>Error?</v>
      </c>
      <c r="G123" s="1898">
        <v>203000400</v>
      </c>
    </row>
    <row r="124" spans="1:7" ht="15" x14ac:dyDescent="0.25">
      <c r="A124" s="5">
        <v>63</v>
      </c>
      <c r="B124" s="1832">
        <f>'Assets-Liab 5-6'!D41</f>
        <v>92421</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3176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3176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221088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221088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3750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3750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19000</v>
      </c>
      <c r="D273" s="2" t="str">
        <f t="shared" si="3"/>
        <v>Error?</v>
      </c>
    </row>
    <row r="274" spans="1:4" x14ac:dyDescent="0.2">
      <c r="A274" s="5">
        <v>213</v>
      </c>
      <c r="B274" s="1832">
        <f>'Assets-Liab 5-6'!M17</f>
        <v>2453019</v>
      </c>
      <c r="D274" s="2" t="str">
        <f t="shared" si="3"/>
        <v>Error?</v>
      </c>
    </row>
    <row r="275" spans="1:4" x14ac:dyDescent="0.2">
      <c r="A275" s="5">
        <v>214</v>
      </c>
      <c r="B275" s="1832">
        <f>'Assets-Liab 5-6'!M18</f>
        <v>0</v>
      </c>
      <c r="D275" s="2" t="str">
        <f t="shared" si="3"/>
        <v>Error?</v>
      </c>
    </row>
    <row r="276" spans="1:4" x14ac:dyDescent="0.2">
      <c r="A276" s="5">
        <v>215</v>
      </c>
      <c r="B276" s="1832">
        <f>'Assets-Liab 5-6'!M19</f>
        <v>2969985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5442004</v>
      </c>
      <c r="C279" s="2" t="s">
        <v>569</v>
      </c>
      <c r="D279" s="2" t="str">
        <f t="shared" si="3"/>
        <v>Error?</v>
      </c>
    </row>
    <row r="280" spans="1:4" x14ac:dyDescent="0.2">
      <c r="A280" s="5">
        <v>219</v>
      </c>
      <c r="B280" s="1832">
        <f>'Assets-Liab 5-6'!M40</f>
        <v>5442004</v>
      </c>
      <c r="D280" s="2" t="str">
        <f t="shared" si="3"/>
        <v>Error?</v>
      </c>
    </row>
    <row r="281" spans="1:4" x14ac:dyDescent="0.2">
      <c r="A281" s="5">
        <v>220</v>
      </c>
      <c r="B281" s="1832">
        <f>'Assets-Liab 5-6'!M41</f>
        <v>5442004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115100</v>
      </c>
      <c r="D283" s="2" t="str">
        <f t="shared" si="3"/>
        <v>Error?</v>
      </c>
    </row>
    <row r="284" spans="1:4" x14ac:dyDescent="0.2">
      <c r="A284" s="5">
        <v>223</v>
      </c>
      <c r="B284" s="1832">
        <f>'Assets-Liab 5-6'!N23</f>
        <v>115100</v>
      </c>
      <c r="C284" s="2" t="s">
        <v>569</v>
      </c>
      <c r="D284" s="2" t="str">
        <f t="shared" si="3"/>
        <v>Error?</v>
      </c>
    </row>
    <row r="285" spans="1:4" x14ac:dyDescent="0.2">
      <c r="A285" s="5">
        <v>224</v>
      </c>
      <c r="B285" s="1832">
        <f>'Assets-Liab 5-6'!N36</f>
        <v>115100</v>
      </c>
      <c r="D285" s="2" t="str">
        <f t="shared" si="3"/>
        <v>Error?</v>
      </c>
    </row>
    <row r="286" spans="1:4" x14ac:dyDescent="0.2">
      <c r="A286" s="10">
        <v>225</v>
      </c>
      <c r="B286" s="1832"/>
      <c r="D286" s="2" t="str">
        <f t="shared" si="3"/>
        <v>OK</v>
      </c>
    </row>
    <row r="287" spans="1:4" x14ac:dyDescent="0.2">
      <c r="A287" s="5">
        <v>226</v>
      </c>
      <c r="B287" s="1832">
        <f>'Assets-Liab 5-6'!N37</f>
        <v>115100</v>
      </c>
      <c r="C287" s="2" t="s">
        <v>569</v>
      </c>
      <c r="D287" s="2" t="str">
        <f t="shared" si="3"/>
        <v>Error?</v>
      </c>
    </row>
    <row r="288" spans="1:4" x14ac:dyDescent="0.2">
      <c r="A288" s="5">
        <v>227</v>
      </c>
      <c r="B288" s="1832">
        <f>'Assets-Liab 5-6'!N41</f>
        <v>115100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685212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19187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974992</v>
      </c>
      <c r="C720" s="2" t="s">
        <v>569</v>
      </c>
      <c r="D720" s="2" t="str">
        <f t="shared" si="10"/>
        <v>Error?</v>
      </c>
    </row>
    <row r="721" spans="1:4" x14ac:dyDescent="0.2">
      <c r="A721" s="5">
        <v>660</v>
      </c>
      <c r="B721" s="1832">
        <f>'Expenditures 15-22'!C36</f>
        <v>51959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22041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74000</v>
      </c>
      <c r="C727" s="2" t="s">
        <v>569</v>
      </c>
      <c r="D727" s="2" t="str">
        <f t="shared" si="10"/>
        <v>Error?</v>
      </c>
    </row>
    <row r="728" spans="1:4" x14ac:dyDescent="0.2">
      <c r="A728" s="5">
        <v>667</v>
      </c>
      <c r="B728" s="1832">
        <f>'Expenditures 15-22'!C44</f>
        <v>360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360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171331</v>
      </c>
      <c r="D733" s="2" t="str">
        <f t="shared" si="10"/>
        <v>Error?</v>
      </c>
    </row>
    <row r="734" spans="1:4" x14ac:dyDescent="0.2">
      <c r="A734" s="5">
        <v>673</v>
      </c>
      <c r="B734" s="1832">
        <f>'Expenditures 15-22'!C53</f>
        <v>244759</v>
      </c>
      <c r="C734" s="2" t="s">
        <v>569</v>
      </c>
      <c r="D734" s="2" t="str">
        <f t="shared" si="10"/>
        <v>Error?</v>
      </c>
    </row>
    <row r="735" spans="1:4" x14ac:dyDescent="0.2">
      <c r="A735" s="5">
        <v>674</v>
      </c>
      <c r="B735" s="1832">
        <f>'Expenditures 15-22'!C55</f>
        <v>172107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172107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60712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60712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551938</v>
      </c>
      <c r="C755" s="2" t="s">
        <v>569</v>
      </c>
      <c r="D755" s="2" t="str">
        <f t="shared" si="10"/>
        <v>Error?</v>
      </c>
    </row>
    <row r="756" spans="1:4" x14ac:dyDescent="0.2">
      <c r="A756" s="5">
        <v>695</v>
      </c>
      <c r="B756" s="1832">
        <f>'Expenditures 15-22'!C75</f>
        <v>91619</v>
      </c>
      <c r="D756" s="2" t="str">
        <f t="shared" si="10"/>
        <v>Error?</v>
      </c>
    </row>
    <row r="757" spans="1:4" x14ac:dyDescent="0.2">
      <c r="A757" s="5">
        <v>696</v>
      </c>
      <c r="B757" s="1832">
        <f>'Expenditures 15-22'!C114</f>
        <v>1618549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121057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2119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185130</v>
      </c>
      <c r="C778" s="2" t="s">
        <v>569</v>
      </c>
      <c r="D778" s="2" t="str">
        <f t="shared" si="11"/>
        <v>Error?</v>
      </c>
    </row>
    <row r="779" spans="1:4" x14ac:dyDescent="0.2">
      <c r="A779" s="5">
        <v>718</v>
      </c>
      <c r="B779" s="1832">
        <f>'Expenditures 15-22'!D36</f>
        <v>9807</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161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9968</v>
      </c>
      <c r="C785" s="2" t="s">
        <v>569</v>
      </c>
      <c r="D785" s="2" t="str">
        <f t="shared" si="11"/>
        <v>Error?</v>
      </c>
    </row>
    <row r="786" spans="1:4" x14ac:dyDescent="0.2">
      <c r="A786" s="5">
        <v>725</v>
      </c>
      <c r="B786" s="1832">
        <f>'Expenditures 15-22'!D44</f>
        <v>12</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25732</v>
      </c>
      <c r="D791" s="2" t="str">
        <f t="shared" si="11"/>
        <v>Error?</v>
      </c>
    </row>
    <row r="792" spans="1:4" x14ac:dyDescent="0.2">
      <c r="A792" s="5">
        <v>731</v>
      </c>
      <c r="B792" s="1832">
        <f>'Expenditures 15-22'!D53</f>
        <v>36760</v>
      </c>
      <c r="C792" s="2" t="s">
        <v>569</v>
      </c>
      <c r="D792" s="2" t="str">
        <f t="shared" si="11"/>
        <v>Error?</v>
      </c>
    </row>
    <row r="793" spans="1:4" x14ac:dyDescent="0.2">
      <c r="A793" s="5">
        <v>732</v>
      </c>
      <c r="B793" s="1832">
        <f>'Expenditures 15-22'!D55</f>
        <v>39576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39576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1722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1722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88038</v>
      </c>
      <c r="C813" s="2" t="s">
        <v>569</v>
      </c>
      <c r="D813" s="2" t="str">
        <f t="shared" si="11"/>
        <v>Error?</v>
      </c>
    </row>
    <row r="814" spans="1:4" x14ac:dyDescent="0.2">
      <c r="A814" s="5">
        <v>753</v>
      </c>
      <c r="B814" s="1832">
        <f>'Expenditures 15-22'!D75</f>
        <v>12587</v>
      </c>
      <c r="D814" s="2" t="str">
        <f t="shared" si="11"/>
        <v>Error?</v>
      </c>
    </row>
    <row r="815" spans="1:4" x14ac:dyDescent="0.2">
      <c r="A815" s="5">
        <v>754</v>
      </c>
      <c r="B815" s="1832">
        <f>'Expenditures 15-22'!D114</f>
        <v>285755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63632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860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183342</v>
      </c>
      <c r="C836" s="2" t="s">
        <v>569</v>
      </c>
      <c r="D836" s="2" t="str">
        <f t="shared" si="12"/>
        <v>Error?</v>
      </c>
    </row>
    <row r="837" spans="1:4" x14ac:dyDescent="0.2">
      <c r="A837" s="5">
        <v>776</v>
      </c>
      <c r="B837" s="1832">
        <f>'Expenditures 15-22'!E36</f>
        <v>4800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5000</v>
      </c>
      <c r="D840" s="2" t="str">
        <f t="shared" si="12"/>
        <v>Error?</v>
      </c>
    </row>
    <row r="841" spans="1:4" x14ac:dyDescent="0.2">
      <c r="A841" s="5">
        <v>780</v>
      </c>
      <c r="B841" s="1832">
        <f>'Expenditures 15-22'!E40</f>
        <v>5256</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15056</v>
      </c>
      <c r="C843" s="2" t="s">
        <v>569</v>
      </c>
      <c r="D843" s="2" t="str">
        <f t="shared" si="12"/>
        <v>Error?</v>
      </c>
    </row>
    <row r="844" spans="1:4" x14ac:dyDescent="0.2">
      <c r="A844" s="5">
        <v>783</v>
      </c>
      <c r="B844" s="1832">
        <f>'Expenditures 15-22'!E44</f>
        <v>46789</v>
      </c>
      <c r="D844" s="2" t="str">
        <f t="shared" si="12"/>
        <v>Error?</v>
      </c>
    </row>
    <row r="845" spans="1:4" x14ac:dyDescent="0.2">
      <c r="A845" s="5">
        <v>784</v>
      </c>
      <c r="B845" s="1832">
        <f>'Expenditures 15-22'!E45</f>
        <v>1803</v>
      </c>
      <c r="D845" s="2" t="str">
        <f t="shared" si="12"/>
        <v>Error?</v>
      </c>
    </row>
    <row r="846" spans="1:4" x14ac:dyDescent="0.2">
      <c r="A846" s="5">
        <v>785</v>
      </c>
      <c r="B846" s="1832">
        <f>'Expenditures 15-22'!E46</f>
        <v>2580</v>
      </c>
      <c r="D846" s="2" t="str">
        <f t="shared" si="12"/>
        <v>Error?</v>
      </c>
    </row>
    <row r="847" spans="1:4" x14ac:dyDescent="0.2">
      <c r="A847" s="5">
        <v>786</v>
      </c>
      <c r="B847" s="1832">
        <f>'Expenditures 15-22'!E47</f>
        <v>51172</v>
      </c>
      <c r="C847" s="2" t="s">
        <v>569</v>
      </c>
      <c r="D847" s="2" t="str">
        <f t="shared" si="12"/>
        <v>Error?</v>
      </c>
    </row>
    <row r="848" spans="1:4" x14ac:dyDescent="0.2">
      <c r="A848" s="5">
        <v>787</v>
      </c>
      <c r="B848" s="1832">
        <f>'Expenditures 15-22'!E49</f>
        <v>39130</v>
      </c>
      <c r="D848" s="2" t="str">
        <f t="shared" si="12"/>
        <v>Error?</v>
      </c>
    </row>
    <row r="849" spans="1:4" x14ac:dyDescent="0.2">
      <c r="A849" s="5">
        <v>788</v>
      </c>
      <c r="B849" s="1832">
        <f>'Expenditures 15-22'!E50</f>
        <v>19583</v>
      </c>
      <c r="D849" s="2" t="str">
        <f t="shared" si="12"/>
        <v>Error?</v>
      </c>
    </row>
    <row r="850" spans="1:4" x14ac:dyDescent="0.2">
      <c r="A850" s="5">
        <v>789</v>
      </c>
      <c r="B850" s="1832">
        <f>'Expenditures 15-22'!E53</f>
        <v>58713</v>
      </c>
      <c r="C850" s="2" t="s">
        <v>569</v>
      </c>
      <c r="D850" s="2" t="str">
        <f t="shared" si="12"/>
        <v>Error?</v>
      </c>
    </row>
    <row r="851" spans="1:4" x14ac:dyDescent="0.2">
      <c r="A851" s="5">
        <v>790</v>
      </c>
      <c r="B851" s="1832">
        <f>'Expenditures 15-22'!E55</f>
        <v>2633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2633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12180</v>
      </c>
      <c r="D856" s="2" t="str">
        <f t="shared" si="12"/>
        <v>Error?</v>
      </c>
    </row>
    <row r="857" spans="1:4" x14ac:dyDescent="0.2">
      <c r="A857" s="5">
        <v>796</v>
      </c>
      <c r="B857" s="1832">
        <f>'Expenditures 15-22'!E62</f>
        <v>27907</v>
      </c>
      <c r="D857" s="2" t="str">
        <f t="shared" si="12"/>
        <v>Error?</v>
      </c>
    </row>
    <row r="858" spans="1:4" x14ac:dyDescent="0.2">
      <c r="A858" s="5">
        <v>797</v>
      </c>
      <c r="B858" s="1832">
        <f>'Expenditures 15-22'!E63</f>
        <v>4301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44388</v>
      </c>
      <c r="C861" s="2" t="s">
        <v>569</v>
      </c>
      <c r="D861" s="2" t="str">
        <f t="shared" si="12"/>
        <v>Error?</v>
      </c>
    </row>
    <row r="862" spans="1:4" x14ac:dyDescent="0.2">
      <c r="A862" s="5">
        <v>801</v>
      </c>
      <c r="B862" s="1832">
        <f>'Expenditures 15-22'!E67</f>
        <v>17370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62917</v>
      </c>
      <c r="D864" s="2" t="str">
        <f t="shared" si="12"/>
        <v>Error?</v>
      </c>
    </row>
    <row r="865" spans="1:4" x14ac:dyDescent="0.2">
      <c r="A865" s="5">
        <v>804</v>
      </c>
      <c r="B865" s="1832">
        <f>'Expenditures 15-22'!E70</f>
        <v>250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80537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252499</v>
      </c>
      <c r="C871" s="2" t="s">
        <v>569</v>
      </c>
      <c r="D871" s="2" t="str">
        <f t="shared" si="12"/>
        <v>Error?</v>
      </c>
    </row>
    <row r="872" spans="1:4" x14ac:dyDescent="0.2">
      <c r="A872" s="5">
        <v>811</v>
      </c>
      <c r="B872" s="1832">
        <f>'Expenditures 15-22'!E75</f>
        <v>8882</v>
      </c>
      <c r="D872" s="2" t="str">
        <f t="shared" si="12"/>
        <v>Error?</v>
      </c>
    </row>
    <row r="873" spans="1:4" x14ac:dyDescent="0.2">
      <c r="A873" s="5">
        <v>812</v>
      </c>
      <c r="B873" s="1832">
        <f>'Expenditures 15-22'!E114</f>
        <v>516123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32516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3271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40010</v>
      </c>
      <c r="C894" s="2" t="s">
        <v>569</v>
      </c>
      <c r="D894" s="2" t="str">
        <f t="shared" si="12"/>
        <v>Error?</v>
      </c>
    </row>
    <row r="895" spans="1:4" x14ac:dyDescent="0.2">
      <c r="A895" s="5">
        <v>834</v>
      </c>
      <c r="B895" s="1832">
        <f>'Expenditures 15-22'!F36</f>
        <v>65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105</v>
      </c>
      <c r="C901" s="2" t="s">
        <v>569</v>
      </c>
      <c r="D901" s="2" t="str">
        <f t="shared" si="13"/>
        <v>Error?</v>
      </c>
    </row>
    <row r="902" spans="1:4" x14ac:dyDescent="0.2">
      <c r="A902" s="5">
        <v>841</v>
      </c>
      <c r="B902" s="1832">
        <f>'Expenditures 15-22'!F44</f>
        <v>1380</v>
      </c>
      <c r="D902" s="2" t="str">
        <f t="shared" si="13"/>
        <v>Error?</v>
      </c>
    </row>
    <row r="903" spans="1:4" x14ac:dyDescent="0.2">
      <c r="A903" s="5">
        <v>842</v>
      </c>
      <c r="B903" s="1832">
        <f>'Expenditures 15-22'!F45</f>
        <v>12008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13388</v>
      </c>
      <c r="C905" s="2" t="s">
        <v>569</v>
      </c>
      <c r="D905" s="2" t="str">
        <f t="shared" si="13"/>
        <v>Error?</v>
      </c>
    </row>
    <row r="906" spans="1:4" x14ac:dyDescent="0.2">
      <c r="A906" s="5">
        <v>845</v>
      </c>
      <c r="B906" s="1832">
        <f>'Expenditures 15-22'!F49</f>
        <v>1421</v>
      </c>
      <c r="D906" s="2" t="str">
        <f t="shared" si="13"/>
        <v>Error?</v>
      </c>
    </row>
    <row r="907" spans="1:4" x14ac:dyDescent="0.2">
      <c r="A907" s="5">
        <v>846</v>
      </c>
      <c r="B907" s="1832">
        <f>'Expenditures 15-22'!F50</f>
        <v>3335</v>
      </c>
      <c r="D907" s="2" t="str">
        <f t="shared" si="13"/>
        <v>Error?</v>
      </c>
    </row>
    <row r="908" spans="1:4" x14ac:dyDescent="0.2">
      <c r="A908" s="5">
        <v>847</v>
      </c>
      <c r="B908" s="1832">
        <f>'Expenditures 15-22'!F53</f>
        <v>4756</v>
      </c>
      <c r="C908" s="2" t="s">
        <v>569</v>
      </c>
      <c r="D908" s="2" t="str">
        <f t="shared" si="13"/>
        <v>Error?</v>
      </c>
    </row>
    <row r="909" spans="1:4" x14ac:dyDescent="0.2">
      <c r="A909" s="5">
        <v>848</v>
      </c>
      <c r="B909" s="1832">
        <f>'Expenditures 15-22'!F55</f>
        <v>4958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4958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83970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83970</v>
      </c>
      <c r="C919" s="2" t="s">
        <v>569</v>
      </c>
      <c r="D919" s="2" t="str">
        <f t="shared" si="13"/>
        <v>Error?</v>
      </c>
    </row>
    <row r="920" spans="1:4" x14ac:dyDescent="0.2">
      <c r="A920" s="5">
        <v>859</v>
      </c>
      <c r="B920" s="1832">
        <f>'Expenditures 15-22'!F67</f>
        <v>48</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2007</v>
      </c>
      <c r="D922" s="2" t="str">
        <f t="shared" si="13"/>
        <v>Error?</v>
      </c>
    </row>
    <row r="923" spans="1:4" x14ac:dyDescent="0.2">
      <c r="A923" s="5">
        <v>862</v>
      </c>
      <c r="B923" s="1832">
        <f>'Expenditures 15-22'!F70</f>
        <v>1348</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3403</v>
      </c>
      <c r="C927" s="2" t="s">
        <v>569</v>
      </c>
      <c r="D927" s="2" t="str">
        <f t="shared" si="13"/>
        <v>Error?</v>
      </c>
    </row>
    <row r="928" spans="1:4" x14ac:dyDescent="0.2">
      <c r="A928" s="5">
        <v>867</v>
      </c>
      <c r="B928" s="1832">
        <f>'Expenditures 15-22'!F73</f>
        <v>555</v>
      </c>
      <c r="D928" s="2" t="str">
        <f t="shared" si="13"/>
        <v>Error?</v>
      </c>
    </row>
    <row r="929" spans="1:4" x14ac:dyDescent="0.2">
      <c r="A929" s="5">
        <v>868</v>
      </c>
      <c r="B929" s="1832">
        <f>'Expenditures 15-22'!F74</f>
        <v>111135</v>
      </c>
      <c r="C929" s="2" t="s">
        <v>569</v>
      </c>
      <c r="D929" s="2" t="str">
        <f t="shared" si="13"/>
        <v>Error?</v>
      </c>
    </row>
    <row r="930" spans="1:4" x14ac:dyDescent="0.2">
      <c r="A930" s="5">
        <v>869</v>
      </c>
      <c r="B930" s="1832">
        <f>'Expenditures 15-22'!F75</f>
        <v>5107</v>
      </c>
      <c r="D930" s="2" t="str">
        <f t="shared" si="13"/>
        <v>Error?</v>
      </c>
    </row>
    <row r="931" spans="1:4" x14ac:dyDescent="0.2">
      <c r="A931" s="5">
        <v>870</v>
      </c>
      <c r="B931" s="1832">
        <f>'Expenditures 15-22'!F114</f>
        <v>156252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951815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25437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1434621</v>
      </c>
      <c r="C1108" s="2" t="s">
        <v>569</v>
      </c>
      <c r="D1108" s="2" t="str">
        <f t="shared" si="16"/>
        <v>Error?</v>
      </c>
    </row>
    <row r="1109" spans="1:4" x14ac:dyDescent="0.2">
      <c r="A1109" s="5">
        <v>1048</v>
      </c>
      <c r="B1109" s="1832">
        <f>'Expenditures 15-22'!K36</f>
        <v>66631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22242</v>
      </c>
      <c r="C1111" s="2" t="s">
        <v>569</v>
      </c>
      <c r="D1111" s="2" t="str">
        <f t="shared" si="16"/>
        <v>Error?</v>
      </c>
    </row>
    <row r="1112" spans="1:4" x14ac:dyDescent="0.2">
      <c r="A1112" s="5">
        <v>1051</v>
      </c>
      <c r="B1112" s="1832">
        <f>'Expenditures 15-22'!K39</f>
        <v>5000</v>
      </c>
      <c r="C1112" s="2" t="s">
        <v>569</v>
      </c>
      <c r="D1112" s="2" t="str">
        <f t="shared" si="16"/>
        <v>Error?</v>
      </c>
    </row>
    <row r="1113" spans="1:4" x14ac:dyDescent="0.2">
      <c r="A1113" s="5">
        <v>1052</v>
      </c>
      <c r="B1113" s="1832">
        <f>'Expenditures 15-22'!K40</f>
        <v>5256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99129</v>
      </c>
      <c r="C1115" s="2" t="s">
        <v>569</v>
      </c>
      <c r="D1115" s="2" t="str">
        <f t="shared" si="16"/>
        <v>Error?</v>
      </c>
    </row>
    <row r="1116" spans="1:4" x14ac:dyDescent="0.2">
      <c r="A1116" s="5">
        <v>1055</v>
      </c>
      <c r="B1116" s="1832">
        <f>'Expenditures 15-22'!K44</f>
        <v>48541</v>
      </c>
      <c r="C1116" s="2" t="s">
        <v>569</v>
      </c>
      <c r="D1116" s="2" t="str">
        <f t="shared" si="16"/>
        <v>Error?</v>
      </c>
    </row>
    <row r="1117" spans="1:4" x14ac:dyDescent="0.2">
      <c r="A1117" s="5">
        <v>1056</v>
      </c>
      <c r="B1117" s="1832">
        <f>'Expenditures 15-22'!K45</f>
        <v>19211</v>
      </c>
      <c r="C1117" s="2" t="s">
        <v>569</v>
      </c>
      <c r="D1117" s="2" t="str">
        <f t="shared" si="16"/>
        <v>Error?</v>
      </c>
    </row>
    <row r="1118" spans="1:4" x14ac:dyDescent="0.2">
      <c r="A1118" s="5">
        <v>1057</v>
      </c>
      <c r="B1118" s="1832">
        <f>'Expenditures 15-22'!K46</f>
        <v>2580</v>
      </c>
      <c r="C1118" s="2" t="s">
        <v>569</v>
      </c>
      <c r="D1118" s="2" t="str">
        <f t="shared" si="16"/>
        <v>Error?</v>
      </c>
    </row>
    <row r="1119" spans="1:4" x14ac:dyDescent="0.2">
      <c r="A1119" s="5">
        <v>1058</v>
      </c>
      <c r="B1119" s="1832">
        <f>'Expenditures 15-22'!K47</f>
        <v>70332</v>
      </c>
      <c r="C1119" s="2" t="s">
        <v>569</v>
      </c>
      <c r="D1119" s="2" t="str">
        <f t="shared" si="16"/>
        <v>Error?</v>
      </c>
    </row>
    <row r="1120" spans="1:4" x14ac:dyDescent="0.2">
      <c r="A1120" s="5">
        <v>1059</v>
      </c>
      <c r="B1120" s="1832">
        <f>'Expenditures 15-22'!K49</f>
        <v>40551</v>
      </c>
      <c r="C1120" s="2" t="s">
        <v>569</v>
      </c>
      <c r="D1120" s="2" t="str">
        <f t="shared" si="16"/>
        <v>Error?</v>
      </c>
    </row>
    <row r="1121" spans="1:4" x14ac:dyDescent="0.2">
      <c r="A1121" s="5">
        <v>1060</v>
      </c>
      <c r="B1121" s="1832">
        <f>'Expenditures 15-22'!K50</f>
        <v>219981</v>
      </c>
      <c r="C1121" s="2" t="s">
        <v>569</v>
      </c>
      <c r="D1121" s="2" t="str">
        <f t="shared" si="16"/>
        <v>Error?</v>
      </c>
    </row>
    <row r="1122" spans="1:4" x14ac:dyDescent="0.2">
      <c r="A1122" s="5">
        <v>1061</v>
      </c>
      <c r="B1122" s="1832">
        <f>'Expenditures 15-22'!K53</f>
        <v>344988</v>
      </c>
      <c r="C1122" s="2" t="s">
        <v>569</v>
      </c>
      <c r="D1122" s="2" t="str">
        <f t="shared" si="16"/>
        <v>Error?</v>
      </c>
    </row>
    <row r="1123" spans="1:4" x14ac:dyDescent="0.2">
      <c r="A1123" s="5">
        <v>1062</v>
      </c>
      <c r="B1123" s="1832">
        <f>'Expenditures 15-22'!K55</f>
        <v>219274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219274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12180</v>
      </c>
      <c r="C1128" s="2" t="s">
        <v>569</v>
      </c>
      <c r="D1128" s="2" t="str">
        <f t="shared" si="16"/>
        <v>Error?</v>
      </c>
    </row>
    <row r="1129" spans="1:4" x14ac:dyDescent="0.2">
      <c r="A1129" s="5">
        <v>1068</v>
      </c>
      <c r="B1129" s="1832">
        <f>'Expenditures 15-22'!K62</f>
        <v>27907</v>
      </c>
      <c r="C1129" s="2" t="s">
        <v>569</v>
      </c>
      <c r="D1129" s="2" t="str">
        <f t="shared" si="16"/>
        <v>Error?</v>
      </c>
    </row>
    <row r="1130" spans="1:4" x14ac:dyDescent="0.2">
      <c r="A1130" s="5">
        <v>1069</v>
      </c>
      <c r="B1130" s="1832">
        <f>'Expenditures 15-22'!K63</f>
        <v>150705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190792</v>
      </c>
      <c r="C1133" s="2" t="s">
        <v>569</v>
      </c>
      <c r="D1133" s="2" t="str">
        <f t="shared" si="16"/>
        <v>Error?</v>
      </c>
    </row>
    <row r="1134" spans="1:4" x14ac:dyDescent="0.2">
      <c r="A1134" s="5">
        <v>1073</v>
      </c>
      <c r="B1134" s="1832">
        <f>'Expenditures 15-22'!K67</f>
        <v>17418</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64924</v>
      </c>
      <c r="C1136" s="2" t="s">
        <v>569</v>
      </c>
      <c r="D1136" s="2" t="str">
        <f t="shared" si="16"/>
        <v>Error?</v>
      </c>
    </row>
    <row r="1137" spans="1:4" x14ac:dyDescent="0.2">
      <c r="A1137" s="5">
        <v>1076</v>
      </c>
      <c r="B1137" s="1832">
        <f>'Expenditures 15-22'!K70</f>
        <v>1598</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83940</v>
      </c>
      <c r="C1141" s="2" t="s">
        <v>569</v>
      </c>
      <c r="D1141" s="2" t="str">
        <f t="shared" si="16"/>
        <v>Error?</v>
      </c>
    </row>
    <row r="1142" spans="1:4" x14ac:dyDescent="0.2">
      <c r="A1142" s="5">
        <v>1081</v>
      </c>
      <c r="B1142" s="1832">
        <f>'Expenditures 15-22'!K73</f>
        <v>555</v>
      </c>
      <c r="C1142" s="2" t="s">
        <v>569</v>
      </c>
      <c r="D1142" s="2" t="str">
        <f t="shared" si="16"/>
        <v>Error?</v>
      </c>
    </row>
    <row r="1143" spans="1:4" x14ac:dyDescent="0.2">
      <c r="A1143" s="5">
        <v>1082</v>
      </c>
      <c r="B1143" s="1832">
        <f>'Expenditures 15-22'!K74</f>
        <v>1009010</v>
      </c>
      <c r="C1143" s="2" t="s">
        <v>569</v>
      </c>
      <c r="D1143" s="2" t="str">
        <f t="shared" si="16"/>
        <v>Error?</v>
      </c>
    </row>
    <row r="1144" spans="1:4" x14ac:dyDescent="0.2">
      <c r="A1144" s="5">
        <v>1083</v>
      </c>
      <c r="B1144" s="1832">
        <f>'Expenditures 15-22'!K75</f>
        <v>121305</v>
      </c>
      <c r="C1144" s="2" t="s">
        <v>569</v>
      </c>
      <c r="D1144" s="2" t="str">
        <f t="shared" si="16"/>
        <v>Error?</v>
      </c>
    </row>
    <row r="1145" spans="1:4" x14ac:dyDescent="0.2">
      <c r="A1145" s="5">
        <v>1084</v>
      </c>
      <c r="B1145" s="1832">
        <f>'Expenditures 15-22'!K102</f>
        <v>71400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2636336</v>
      </c>
      <c r="C1152" s="2" t="s">
        <v>569</v>
      </c>
      <c r="D1152" s="2" t="str">
        <f t="shared" si="17"/>
        <v>Error?</v>
      </c>
    </row>
    <row r="1153" spans="1:4" x14ac:dyDescent="0.2">
      <c r="A1153" s="5">
        <v>1092</v>
      </c>
      <c r="B1153" s="1832">
        <f>'Expenditures 15-22'!K115</f>
        <v>182561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145884</v>
      </c>
      <c r="D1221" s="2" t="str">
        <f t="shared" si="18"/>
        <v>Error?</v>
      </c>
    </row>
    <row r="1222" spans="1:4" x14ac:dyDescent="0.2">
      <c r="A1222" s="10">
        <v>1161</v>
      </c>
      <c r="B1222" s="1832"/>
      <c r="D1222" s="2" t="str">
        <f t="shared" si="18"/>
        <v>OK</v>
      </c>
    </row>
    <row r="1223" spans="1:4" x14ac:dyDescent="0.2">
      <c r="A1223" s="5">
        <v>1162</v>
      </c>
      <c r="B1223" s="1832">
        <f>'Expenditures 15-22'!C127</f>
        <v>145884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145884</v>
      </c>
      <c r="C1225" s="2" t="s">
        <v>569</v>
      </c>
      <c r="D1225" s="2" t="str">
        <f t="shared" si="18"/>
        <v>Error?</v>
      </c>
    </row>
    <row r="1226" spans="1:4" x14ac:dyDescent="0.2">
      <c r="A1226" s="5">
        <v>1165</v>
      </c>
      <c r="B1226" s="1832">
        <f>'Expenditures 15-22'!C151</f>
        <v>145884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31849</v>
      </c>
      <c r="D1229" s="2" t="str">
        <f t="shared" si="18"/>
        <v>Error?</v>
      </c>
    </row>
    <row r="1230" spans="1:4" x14ac:dyDescent="0.2">
      <c r="A1230" s="10">
        <v>1169</v>
      </c>
      <c r="B1230" s="1832"/>
      <c r="D1230" s="2" t="str">
        <f t="shared" si="18"/>
        <v>OK</v>
      </c>
    </row>
    <row r="1231" spans="1:4" x14ac:dyDescent="0.2">
      <c r="A1231" s="5">
        <v>1170</v>
      </c>
      <c r="B1231" s="1832">
        <f>'Expenditures 15-22'!D127</f>
        <v>31849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31849</v>
      </c>
      <c r="C1233" s="2" t="s">
        <v>569</v>
      </c>
      <c r="D1233" s="2" t="str">
        <f t="shared" si="18"/>
        <v>Error?</v>
      </c>
    </row>
    <row r="1234" spans="1:4" x14ac:dyDescent="0.2">
      <c r="A1234" s="5">
        <v>1173</v>
      </c>
      <c r="B1234" s="1832">
        <f>'Expenditures 15-22'!D151</f>
        <v>31849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260121</v>
      </c>
      <c r="D1237" s="2" t="str">
        <f t="shared" si="18"/>
        <v>Error?</v>
      </c>
    </row>
    <row r="1238" spans="1:4" x14ac:dyDescent="0.2">
      <c r="A1238" s="10">
        <v>1177</v>
      </c>
      <c r="B1238" s="1832"/>
      <c r="D1238" s="2" t="str">
        <f t="shared" si="18"/>
        <v>OK</v>
      </c>
    </row>
    <row r="1239" spans="1:4" x14ac:dyDescent="0.2">
      <c r="A1239" s="5">
        <v>1178</v>
      </c>
      <c r="B1239" s="1832">
        <f>'Expenditures 15-22'!E127</f>
        <v>260121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260121</v>
      </c>
      <c r="C1241" s="2" t="s">
        <v>569</v>
      </c>
      <c r="D1241" s="2" t="str">
        <f t="shared" si="18"/>
        <v>Error?</v>
      </c>
    </row>
    <row r="1242" spans="1:4" x14ac:dyDescent="0.2">
      <c r="A1242" s="5">
        <v>1181</v>
      </c>
      <c r="B1242" s="1832">
        <f>'Expenditures 15-22'!E151</f>
        <v>260121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42745</v>
      </c>
      <c r="D1245" s="2" t="str">
        <f t="shared" si="18"/>
        <v>Error?</v>
      </c>
    </row>
    <row r="1246" spans="1:4" x14ac:dyDescent="0.2">
      <c r="A1246" s="10">
        <v>1185</v>
      </c>
      <c r="B1246" s="1832"/>
      <c r="D1246" s="2" t="str">
        <f t="shared" si="18"/>
        <v>OK</v>
      </c>
    </row>
    <row r="1247" spans="1:4" x14ac:dyDescent="0.2">
      <c r="A1247" s="5">
        <v>1186</v>
      </c>
      <c r="B1247" s="1832">
        <f>'Expenditures 15-22'!F127</f>
        <v>42745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42745</v>
      </c>
      <c r="C1249" s="2" t="s">
        <v>569</v>
      </c>
      <c r="D1249" s="2" t="str">
        <f t="shared" si="18"/>
        <v>Error?</v>
      </c>
    </row>
    <row r="1250" spans="1:4" x14ac:dyDescent="0.2">
      <c r="A1250" s="5">
        <v>1189</v>
      </c>
      <c r="B1250" s="1832">
        <f>'Expenditures 15-22'!F151</f>
        <v>42745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480599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480599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480599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480599</v>
      </c>
      <c r="C1288" s="2" t="s">
        <v>569</v>
      </c>
      <c r="D1288" s="2" t="str">
        <f t="shared" si="19"/>
        <v>Error?</v>
      </c>
    </row>
    <row r="1289" spans="1:4" x14ac:dyDescent="0.2">
      <c r="A1289" s="5">
        <v>1228</v>
      </c>
      <c r="B1289" s="1832">
        <f>'Expenditures 15-22'!K152</f>
        <v>43625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7236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37236</v>
      </c>
      <c r="C1317" s="2" t="s">
        <v>569</v>
      </c>
      <c r="D1317" s="2" t="str">
        <f t="shared" si="19"/>
        <v>Error?</v>
      </c>
    </row>
    <row r="1318" spans="1:4" x14ac:dyDescent="0.2">
      <c r="A1318" s="5">
        <v>1257</v>
      </c>
      <c r="B1318" s="1832">
        <f>'Expenditures 15-22'!H174</f>
        <v>37236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7236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37236</v>
      </c>
      <c r="C1331" s="2" t="s">
        <v>569</v>
      </c>
      <c r="D1331" s="2" t="str">
        <f t="shared" si="19"/>
        <v>Error?</v>
      </c>
    </row>
    <row r="1332" spans="1:4" x14ac:dyDescent="0.2">
      <c r="A1332" s="5">
        <v>1271</v>
      </c>
      <c r="B1332" s="1832">
        <f>'Expenditures 15-22'!K174</f>
        <v>37236</v>
      </c>
      <c r="C1332" s="2" t="s">
        <v>569</v>
      </c>
      <c r="D1332" s="2" t="str">
        <f t="shared" si="19"/>
        <v>Error?</v>
      </c>
    </row>
    <row r="1333" spans="1:4" x14ac:dyDescent="0.2">
      <c r="A1333" s="5">
        <v>1272</v>
      </c>
      <c r="B1333" s="1832">
        <f>'Expenditures 15-22'!K175</f>
        <v>3176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115881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115881</v>
      </c>
      <c r="C1339" s="2" t="s">
        <v>569</v>
      </c>
      <c r="D1339" s="2" t="str">
        <f t="shared" si="19"/>
        <v>Error?</v>
      </c>
    </row>
    <row r="1340" spans="1:4" x14ac:dyDescent="0.2">
      <c r="A1340" s="5">
        <v>1279</v>
      </c>
      <c r="B1340" s="1832">
        <f>'Expenditures 15-22'!C210</f>
        <v>115881</v>
      </c>
      <c r="C1340" s="2" t="s">
        <v>569</v>
      </c>
      <c r="D1340" s="2" t="str">
        <f t="shared" si="19"/>
        <v>Error?</v>
      </c>
    </row>
    <row r="1341" spans="1:4" x14ac:dyDescent="0.2">
      <c r="A1341" s="5">
        <v>1280</v>
      </c>
      <c r="B1341" s="1832">
        <f>'Expenditures 15-22'!D182</f>
        <v>8075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8075</v>
      </c>
      <c r="C1345" s="2" t="s">
        <v>569</v>
      </c>
      <c r="D1345" s="2" t="str">
        <f t="shared" si="20"/>
        <v>Error?</v>
      </c>
    </row>
    <row r="1346" spans="1:4" x14ac:dyDescent="0.2">
      <c r="A1346" s="5">
        <v>1285</v>
      </c>
      <c r="B1346" s="1832">
        <f>'Expenditures 15-22'!D210</f>
        <v>8075</v>
      </c>
      <c r="C1346" s="2" t="s">
        <v>569</v>
      </c>
      <c r="D1346" s="2" t="str">
        <f t="shared" si="20"/>
        <v>Error?</v>
      </c>
    </row>
    <row r="1347" spans="1:4" x14ac:dyDescent="0.2">
      <c r="A1347" s="5">
        <v>1286</v>
      </c>
      <c r="B1347" s="1832">
        <f>'Expenditures 15-22'!E182</f>
        <v>88037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88037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88037</v>
      </c>
      <c r="C1353" s="2" t="s">
        <v>569</v>
      </c>
      <c r="D1353" s="2" t="str">
        <f t="shared" si="20"/>
        <v>Error?</v>
      </c>
    </row>
    <row r="1354" spans="1:4" x14ac:dyDescent="0.2">
      <c r="A1354" s="5">
        <v>1293</v>
      </c>
      <c r="B1354" s="1832">
        <f>'Expenditures 15-22'!F182</f>
        <v>27105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27105</v>
      </c>
      <c r="C1358" s="2" t="s">
        <v>569</v>
      </c>
      <c r="D1358" s="2" t="str">
        <f t="shared" si="20"/>
        <v>Error?</v>
      </c>
    </row>
    <row r="1359" spans="1:4" x14ac:dyDescent="0.2">
      <c r="A1359" s="5">
        <v>1298</v>
      </c>
      <c r="B1359" s="1832">
        <f>'Expenditures 15-22'!F210</f>
        <v>27105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239098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239098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239098</v>
      </c>
      <c r="C1388" s="2" t="s">
        <v>569</v>
      </c>
      <c r="D1388" s="2" t="str">
        <f t="shared" si="20"/>
        <v>Error?</v>
      </c>
    </row>
    <row r="1389" spans="1:4" x14ac:dyDescent="0.2">
      <c r="A1389" s="5">
        <v>1328</v>
      </c>
      <c r="B1389" s="1832">
        <f>'Expenditures 15-22'!K211</f>
        <v>95241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855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22378</v>
      </c>
      <c r="C1410" s="2" t="s">
        <v>569</v>
      </c>
      <c r="D1410" s="2" t="str">
        <f t="shared" si="21"/>
        <v>Error?</v>
      </c>
    </row>
    <row r="1411" spans="1:4" x14ac:dyDescent="0.2">
      <c r="A1411" s="5">
        <v>1350</v>
      </c>
      <c r="B1411" s="1832">
        <f>'Expenditures 15-22'!D232</f>
        <v>3961</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1871</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5832</v>
      </c>
      <c r="C1417" s="2" t="s">
        <v>569</v>
      </c>
      <c r="D1417" s="2" t="str">
        <f t="shared" si="21"/>
        <v>Error?</v>
      </c>
    </row>
    <row r="1418" spans="1:4" x14ac:dyDescent="0.2">
      <c r="A1418" s="5">
        <v>1357</v>
      </c>
      <c r="B1418" s="1832">
        <f>'Expenditures 15-22'!D240</f>
        <v>5</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v>
      </c>
      <c r="C1421" s="2" t="s">
        <v>569</v>
      </c>
      <c r="D1421" s="2" t="str">
        <f t="shared" si="21"/>
        <v>Error?</v>
      </c>
    </row>
    <row r="1422" spans="1:4" x14ac:dyDescent="0.2">
      <c r="A1422" s="5">
        <v>1361</v>
      </c>
      <c r="B1422" s="1832">
        <f>'Expenditures 15-22'!D245</f>
        <v>134</v>
      </c>
      <c r="D1422" s="2" t="str">
        <f t="shared" si="21"/>
        <v>Error?</v>
      </c>
    </row>
    <row r="1423" spans="1:4" x14ac:dyDescent="0.2">
      <c r="A1423" s="5">
        <v>1362</v>
      </c>
      <c r="B1423" s="1832">
        <f>'Expenditures 15-22'!D246</f>
        <v>7631</v>
      </c>
      <c r="D1423" s="2" t="str">
        <f t="shared" si="21"/>
        <v>Error?</v>
      </c>
    </row>
    <row r="1424" spans="1:4" x14ac:dyDescent="0.2">
      <c r="A1424" s="5">
        <v>1363</v>
      </c>
      <c r="B1424" s="1832">
        <f>'Expenditures 15-22'!D257</f>
        <v>7792</v>
      </c>
      <c r="C1424" s="2" t="s">
        <v>569</v>
      </c>
      <c r="D1424" s="2" t="str">
        <f t="shared" si="21"/>
        <v>Error?</v>
      </c>
    </row>
    <row r="1425" spans="1:4" x14ac:dyDescent="0.2">
      <c r="A1425" s="5">
        <v>1364</v>
      </c>
      <c r="B1425" s="1832">
        <f>'Expenditures 15-22'!D259</f>
        <v>33315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33315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12365</v>
      </c>
      <c r="D1431" s="2" t="str">
        <f t="shared" si="21"/>
        <v>Error?</v>
      </c>
    </row>
    <row r="1432" spans="1:4" x14ac:dyDescent="0.2">
      <c r="A1432" s="5">
        <v>1371</v>
      </c>
      <c r="B1432" s="1832">
        <f>'Expenditures 15-22'!D267</f>
        <v>9084</v>
      </c>
      <c r="D1432" s="2" t="str">
        <f t="shared" si="21"/>
        <v>Error?</v>
      </c>
    </row>
    <row r="1433" spans="1:4" x14ac:dyDescent="0.2">
      <c r="A1433" s="5">
        <v>1372</v>
      </c>
      <c r="B1433" s="1832">
        <f>'Expenditures 15-22'!D268</f>
        <v>4857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26306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73250</v>
      </c>
      <c r="C1446" s="2" t="s">
        <v>569</v>
      </c>
      <c r="D1446" s="2" t="str">
        <f t="shared" si="21"/>
        <v>Error?</v>
      </c>
    </row>
    <row r="1447" spans="1:4" x14ac:dyDescent="0.2">
      <c r="A1447" s="5">
        <v>1386</v>
      </c>
      <c r="B1447" s="1832">
        <f>'Expenditures 15-22'!D280</f>
        <v>7779</v>
      </c>
      <c r="D1447" s="2" t="str">
        <f t="shared" si="21"/>
        <v>Error?</v>
      </c>
    </row>
    <row r="1448" spans="1:4" x14ac:dyDescent="0.2">
      <c r="A1448" s="5">
        <v>1387</v>
      </c>
      <c r="B1448" s="1832">
        <f>'Expenditures 15-22'!D295</f>
        <v>103407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855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22378</v>
      </c>
      <c r="C1474" s="2" t="s">
        <v>569</v>
      </c>
      <c r="D1474" s="2" t="str">
        <f t="shared" si="22"/>
        <v>Error?</v>
      </c>
    </row>
    <row r="1475" spans="1:4" x14ac:dyDescent="0.2">
      <c r="A1475" s="5">
        <v>1414</v>
      </c>
      <c r="B1475" s="1832">
        <f>'Expenditures 15-22'!K232</f>
        <v>3961</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1871</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5832</v>
      </c>
      <c r="C1481" s="2" t="s">
        <v>569</v>
      </c>
      <c r="D1481" s="2" t="str">
        <f t="shared" si="22"/>
        <v>Error?</v>
      </c>
    </row>
    <row r="1482" spans="1:4" x14ac:dyDescent="0.2">
      <c r="A1482" s="5">
        <v>1421</v>
      </c>
      <c r="B1482" s="1832">
        <f>'Expenditures 15-22'!K240</f>
        <v>5</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v>
      </c>
      <c r="C1485" s="2" t="s">
        <v>569</v>
      </c>
      <c r="D1485" s="2" t="str">
        <f t="shared" si="22"/>
        <v>Error?</v>
      </c>
    </row>
    <row r="1486" spans="1:4" x14ac:dyDescent="0.2">
      <c r="A1486" s="5">
        <v>1425</v>
      </c>
      <c r="B1486" s="1832">
        <f>'Expenditures 15-22'!K245</f>
        <v>134</v>
      </c>
      <c r="C1486" s="2" t="s">
        <v>569</v>
      </c>
      <c r="D1486" s="2" t="str">
        <f t="shared" si="22"/>
        <v>Error?</v>
      </c>
    </row>
    <row r="1487" spans="1:4" x14ac:dyDescent="0.2">
      <c r="A1487" s="5">
        <v>1426</v>
      </c>
      <c r="B1487" s="1832">
        <f>'Expenditures 15-22'!K246</f>
        <v>7631</v>
      </c>
      <c r="C1487" s="2" t="s">
        <v>569</v>
      </c>
      <c r="D1487" s="2" t="str">
        <f t="shared" si="22"/>
        <v>Error?</v>
      </c>
    </row>
    <row r="1488" spans="1:4" x14ac:dyDescent="0.2">
      <c r="A1488" s="5">
        <v>1427</v>
      </c>
      <c r="B1488" s="1832">
        <f>'Expenditures 15-22'!K257</f>
        <v>7792</v>
      </c>
      <c r="C1488" s="2" t="s">
        <v>569</v>
      </c>
      <c r="D1488" s="2" t="str">
        <f t="shared" si="22"/>
        <v>Error?</v>
      </c>
    </row>
    <row r="1489" spans="1:4" x14ac:dyDescent="0.2">
      <c r="A1489" s="5">
        <v>1428</v>
      </c>
      <c r="B1489" s="1832">
        <f>'Expenditures 15-22'!K259</f>
        <v>33315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33315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12365</v>
      </c>
      <c r="C1495" s="2" t="s">
        <v>569</v>
      </c>
      <c r="D1495" s="2" t="str">
        <f t="shared" si="22"/>
        <v>Error?</v>
      </c>
    </row>
    <row r="1496" spans="1:4" x14ac:dyDescent="0.2">
      <c r="A1496" s="5">
        <v>1435</v>
      </c>
      <c r="B1496" s="1832">
        <f>'Expenditures 15-22'!K267</f>
        <v>9084</v>
      </c>
      <c r="C1496" s="2" t="s">
        <v>569</v>
      </c>
      <c r="D1496" s="2" t="str">
        <f t="shared" si="22"/>
        <v>Error?</v>
      </c>
    </row>
    <row r="1497" spans="1:4" x14ac:dyDescent="0.2">
      <c r="A1497" s="5">
        <v>1436</v>
      </c>
      <c r="B1497" s="1832">
        <f>'Expenditures 15-22'!K268</f>
        <v>4857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26306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73250</v>
      </c>
      <c r="C1510" s="2" t="s">
        <v>569</v>
      </c>
      <c r="D1510" s="2" t="str">
        <f t="shared" si="22"/>
        <v>Error?</v>
      </c>
    </row>
    <row r="1511" spans="1:4" x14ac:dyDescent="0.2">
      <c r="A1511" s="5">
        <v>1450</v>
      </c>
      <c r="B1511" s="1832">
        <f>'Expenditures 15-22'!K280</f>
        <v>7779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103407</v>
      </c>
      <c r="C1517" s="2" t="s">
        <v>569</v>
      </c>
      <c r="D1517" s="2" t="str">
        <f t="shared" si="22"/>
        <v>Error?</v>
      </c>
    </row>
    <row r="1518" spans="1:4" x14ac:dyDescent="0.2">
      <c r="A1518" s="5">
        <v>1457</v>
      </c>
      <c r="B1518" s="1832">
        <f>'Expenditures 15-22'!K296</f>
        <v>7986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439596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622157</v>
      </c>
      <c r="C1630" s="2" t="s">
        <v>569</v>
      </c>
      <c r="D1630" s="2" t="str">
        <f t="shared" si="24"/>
        <v>Error?</v>
      </c>
    </row>
    <row r="1631" spans="1:4" x14ac:dyDescent="0.2">
      <c r="A1631" s="5">
        <v>1570</v>
      </c>
      <c r="B1631" s="1832">
        <f>'Acct Summary 7-8'!D79</f>
        <v>26106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69731</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3176</v>
      </c>
      <c r="C1658" s="2" t="s">
        <v>569</v>
      </c>
      <c r="D1658" s="2" t="str">
        <f t="shared" si="24"/>
        <v>Error?</v>
      </c>
    </row>
    <row r="1659" spans="1:4" x14ac:dyDescent="0.2">
      <c r="A1659" s="5">
        <v>1598</v>
      </c>
      <c r="B1659" s="1832">
        <f>'Acct Summary 7-8'!F79</f>
        <v>125847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221088</v>
      </c>
      <c r="C1672" s="2" t="s">
        <v>569</v>
      </c>
      <c r="D1672" s="2" t="str">
        <f t="shared" si="25"/>
        <v>Error?</v>
      </c>
    </row>
    <row r="1673" spans="1:4" x14ac:dyDescent="0.2">
      <c r="A1673" s="5">
        <v>1612</v>
      </c>
      <c r="B1673" s="1832">
        <f>'Acct Summary 7-8'!G79</f>
        <v>-4236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3750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190882</v>
      </c>
      <c r="C1744" s="2" t="s">
        <v>569</v>
      </c>
      <c r="D1744" s="2" t="str">
        <f t="shared" si="26"/>
        <v>Error?</v>
      </c>
    </row>
    <row r="1745" spans="1:5" x14ac:dyDescent="0.2">
      <c r="A1745" s="5">
        <v>1684</v>
      </c>
      <c r="B1745" s="1832">
        <f>'Tax Sched 23'!B5</f>
        <v>42720</v>
      </c>
      <c r="C1745" s="2" t="s">
        <v>569</v>
      </c>
      <c r="D1745" s="2" t="str">
        <f t="shared" si="26"/>
        <v>Error?</v>
      </c>
    </row>
    <row r="1746" spans="1:5" x14ac:dyDescent="0.2">
      <c r="A1746" s="5">
        <v>1685</v>
      </c>
      <c r="B1746" s="1832">
        <f>'Tax Sched 23'!B6</f>
        <v>40348</v>
      </c>
      <c r="C1746" s="2" t="s">
        <v>569</v>
      </c>
      <c r="D1746" s="2" t="str">
        <f t="shared" si="26"/>
        <v>Error?</v>
      </c>
    </row>
    <row r="1747" spans="1:5" x14ac:dyDescent="0.2">
      <c r="A1747" s="5">
        <v>1686</v>
      </c>
      <c r="B1747" s="1832">
        <f>'Tax Sched 23'!B7</f>
        <v>20496</v>
      </c>
      <c r="C1747" s="2" t="s">
        <v>569</v>
      </c>
      <c r="D1747" s="2" t="str">
        <f t="shared" si="26"/>
        <v>Error?</v>
      </c>
    </row>
    <row r="1748" spans="1:5" x14ac:dyDescent="0.2">
      <c r="A1748" s="5">
        <v>1687</v>
      </c>
      <c r="B1748" s="1832">
        <f>'Tax Sched 23'!B8</f>
        <v>75811</v>
      </c>
      <c r="C1748" s="2" t="s">
        <v>569</v>
      </c>
      <c r="D1748" s="2" t="str">
        <f t="shared" si="26"/>
        <v>Error?</v>
      </c>
    </row>
    <row r="1749" spans="1:5" x14ac:dyDescent="0.2">
      <c r="A1749" s="5">
        <v>1688</v>
      </c>
      <c r="B1749" s="1832">
        <f>'Tax Sched 23'!B10</f>
        <v>8554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56886</v>
      </c>
      <c r="C1752" s="2" t="s">
        <v>569</v>
      </c>
      <c r="D1752" s="2" t="str">
        <f t="shared" si="26"/>
        <v>Error?</v>
      </c>
    </row>
    <row r="1753" spans="1:5" x14ac:dyDescent="0.2">
      <c r="A1753" s="5">
        <v>1692</v>
      </c>
      <c r="B1753" s="1832">
        <f>'Tax Sched 23'!B12</f>
        <v>8554</v>
      </c>
      <c r="C1753" s="2" t="s">
        <v>569</v>
      </c>
      <c r="D1753" s="2" t="str">
        <f t="shared" si="26"/>
        <v>Error?</v>
      </c>
    </row>
    <row r="1754" spans="1:5" x14ac:dyDescent="0.2">
      <c r="A1754" s="5">
        <v>1693</v>
      </c>
      <c r="B1754" s="1832">
        <f>'Tax Sched 23'!B14</f>
        <v>3422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481648</v>
      </c>
      <c r="C1759" s="2" t="s">
        <v>569</v>
      </c>
      <c r="D1759" s="2" t="str">
        <f t="shared" si="26"/>
        <v>Error?</v>
      </c>
    </row>
    <row r="1760" spans="1:5" x14ac:dyDescent="0.2">
      <c r="A1760" s="5">
        <v>1699</v>
      </c>
      <c r="B1760" s="1832">
        <f>'Tax Sched 23'!D4</f>
        <v>190882</v>
      </c>
      <c r="C1760" s="2" t="s">
        <v>569</v>
      </c>
      <c r="D1760" s="2" t="str">
        <f t="shared" si="26"/>
        <v>Error?</v>
      </c>
    </row>
    <row r="1761" spans="1:7" x14ac:dyDescent="0.2">
      <c r="A1761" s="5">
        <v>1700</v>
      </c>
      <c r="B1761" s="1832">
        <f>'Tax Sched 23'!D5</f>
        <v>42720</v>
      </c>
      <c r="C1761" s="2" t="s">
        <v>569</v>
      </c>
      <c r="D1761" s="2" t="str">
        <f t="shared" si="26"/>
        <v>Error?</v>
      </c>
    </row>
    <row r="1762" spans="1:7" s="8" customFormat="1" x14ac:dyDescent="0.2">
      <c r="A1762" s="5">
        <v>1701</v>
      </c>
      <c r="B1762" s="1832">
        <f>'Tax Sched 23'!D6</f>
        <v>40348</v>
      </c>
      <c r="C1762" s="2" t="s">
        <v>569</v>
      </c>
      <c r="D1762" s="2" t="str">
        <f t="shared" si="26"/>
        <v>Error?</v>
      </c>
      <c r="E1762" s="9"/>
      <c r="G1762"/>
    </row>
    <row r="1763" spans="1:7" x14ac:dyDescent="0.2">
      <c r="A1763" s="5">
        <v>1702</v>
      </c>
      <c r="B1763" s="1832">
        <f>'Tax Sched 23'!D7</f>
        <v>20496</v>
      </c>
      <c r="C1763" s="2" t="s">
        <v>569</v>
      </c>
      <c r="D1763" s="2" t="str">
        <f t="shared" si="26"/>
        <v>Error?</v>
      </c>
    </row>
    <row r="1764" spans="1:7" x14ac:dyDescent="0.2">
      <c r="A1764" s="5">
        <v>1703</v>
      </c>
      <c r="B1764" s="1832">
        <f>'Tax Sched 23'!D8</f>
        <v>75811</v>
      </c>
      <c r="C1764" s="2" t="s">
        <v>569</v>
      </c>
      <c r="D1764" s="2" t="str">
        <f t="shared" si="26"/>
        <v>Error?</v>
      </c>
    </row>
    <row r="1765" spans="1:7" x14ac:dyDescent="0.2">
      <c r="A1765" s="5">
        <v>1704</v>
      </c>
      <c r="B1765" s="1832">
        <f>'Tax Sched 23'!D10</f>
        <v>8554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56886</v>
      </c>
      <c r="C1768" s="2" t="s">
        <v>569</v>
      </c>
      <c r="D1768" s="2" t="str">
        <f t="shared" si="26"/>
        <v>Error?</v>
      </c>
    </row>
    <row r="1769" spans="1:7" x14ac:dyDescent="0.2">
      <c r="A1769" s="5">
        <v>1708</v>
      </c>
      <c r="B1769" s="1832">
        <f>'Tax Sched 23'!D12</f>
        <v>8554</v>
      </c>
      <c r="C1769" s="2" t="s">
        <v>569</v>
      </c>
      <c r="D1769" s="2" t="str">
        <f t="shared" si="26"/>
        <v>Error?</v>
      </c>
    </row>
    <row r="1770" spans="1:7" x14ac:dyDescent="0.2">
      <c r="A1770" s="5">
        <v>1709</v>
      </c>
      <c r="B1770" s="1832">
        <f>'Tax Sched 23'!D14</f>
        <v>3422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481648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168997</v>
      </c>
      <c r="C1792" s="2" t="s">
        <v>569</v>
      </c>
      <c r="D1792" s="2" t="str">
        <f t="shared" si="27"/>
        <v>Error?</v>
      </c>
    </row>
    <row r="1793" spans="1:4" x14ac:dyDescent="0.2">
      <c r="A1793" s="5">
        <v>1732</v>
      </c>
      <c r="B1793" s="1832">
        <f>'Tax Sched 23'!F5</f>
        <v>38058</v>
      </c>
      <c r="C1793" s="2" t="s">
        <v>569</v>
      </c>
      <c r="D1793" s="2" t="str">
        <f t="shared" si="27"/>
        <v>Error?</v>
      </c>
    </row>
    <row r="1794" spans="1:4" x14ac:dyDescent="0.2">
      <c r="A1794" s="5">
        <v>1733</v>
      </c>
      <c r="B1794" s="1832">
        <f>'Tax Sched 23'!F6</f>
        <v>34693</v>
      </c>
      <c r="C1794" s="2" t="s">
        <v>569</v>
      </c>
      <c r="D1794" s="2" t="str">
        <f t="shared" si="27"/>
        <v>Error?</v>
      </c>
    </row>
    <row r="1795" spans="1:4" x14ac:dyDescent="0.2">
      <c r="A1795" s="5">
        <v>1734</v>
      </c>
      <c r="B1795" s="1832">
        <f>'Tax Sched 23'!F7</f>
        <v>18267</v>
      </c>
      <c r="C1795" s="2" t="s">
        <v>569</v>
      </c>
      <c r="D1795" s="2" t="str">
        <f t="shared" si="27"/>
        <v>Error?</v>
      </c>
    </row>
    <row r="1796" spans="1:4" x14ac:dyDescent="0.2">
      <c r="A1796" s="5">
        <v>1735</v>
      </c>
      <c r="B1796" s="1832">
        <f>'Tax Sched 23'!F8</f>
        <v>91917</v>
      </c>
      <c r="C1796" s="2" t="s">
        <v>569</v>
      </c>
      <c r="D1796" s="2" t="str">
        <f t="shared" si="27"/>
        <v>Error?</v>
      </c>
    </row>
    <row r="1797" spans="1:4" x14ac:dyDescent="0.2">
      <c r="A1797" s="5">
        <v>1736</v>
      </c>
      <c r="B1797" s="1832">
        <f>'Tax Sched 23'!F10</f>
        <v>7611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51652</v>
      </c>
      <c r="C1800" s="2" t="s">
        <v>569</v>
      </c>
      <c r="D1800" s="2" t="str">
        <f t="shared" si="27"/>
        <v>Error?</v>
      </c>
    </row>
    <row r="1801" spans="1:4" x14ac:dyDescent="0.2">
      <c r="A1801" s="5">
        <v>1740</v>
      </c>
      <c r="B1801" s="1832">
        <f>'Tax Sched 23'!F12</f>
        <v>7611</v>
      </c>
      <c r="C1801" s="2" t="s">
        <v>569</v>
      </c>
      <c r="D1801" s="2" t="str">
        <f t="shared" si="27"/>
        <v>Error?</v>
      </c>
    </row>
    <row r="1802" spans="1:4" x14ac:dyDescent="0.2">
      <c r="A1802" s="5">
        <v>1741</v>
      </c>
      <c r="B1802" s="1832">
        <f>'Tax Sched 23'!F14</f>
        <v>3044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429461</v>
      </c>
      <c r="C1807" s="2" t="s">
        <v>569</v>
      </c>
      <c r="D1807" s="2" t="str">
        <f t="shared" si="27"/>
        <v>Error?</v>
      </c>
    </row>
    <row r="1808" spans="1:4" x14ac:dyDescent="0.2">
      <c r="A1808" s="5">
        <v>1747</v>
      </c>
      <c r="B1808" s="1832">
        <f>'Tax Sched 23'!E4</f>
        <v>168997</v>
      </c>
      <c r="D1808" s="2" t="str">
        <f t="shared" si="27"/>
        <v>Error?</v>
      </c>
    </row>
    <row r="1809" spans="1:4" x14ac:dyDescent="0.2">
      <c r="A1809" s="5">
        <v>1748</v>
      </c>
      <c r="B1809" s="1832">
        <f>'Tax Sched 23'!E5</f>
        <v>38058</v>
      </c>
      <c r="D1809" s="2" t="str">
        <f t="shared" si="27"/>
        <v>Error?</v>
      </c>
    </row>
    <row r="1810" spans="1:4" x14ac:dyDescent="0.2">
      <c r="A1810" s="5">
        <v>1749</v>
      </c>
      <c r="B1810" s="1832">
        <f>'Tax Sched 23'!E6</f>
        <v>34693</v>
      </c>
      <c r="D1810" s="2" t="str">
        <f t="shared" si="27"/>
        <v>Error?</v>
      </c>
    </row>
    <row r="1811" spans="1:4" x14ac:dyDescent="0.2">
      <c r="A1811" s="5">
        <v>1750</v>
      </c>
      <c r="B1811" s="1832">
        <f>'Tax Sched 23'!E7</f>
        <v>18267</v>
      </c>
      <c r="D1811" s="2" t="str">
        <f t="shared" si="27"/>
        <v>Error?</v>
      </c>
    </row>
    <row r="1812" spans="1:4" x14ac:dyDescent="0.2">
      <c r="A1812" s="5">
        <v>1751</v>
      </c>
      <c r="B1812" s="1832">
        <f>'Tax Sched 23'!E8</f>
        <v>91917</v>
      </c>
      <c r="D1812" s="2" t="str">
        <f t="shared" si="27"/>
        <v>Error?</v>
      </c>
    </row>
    <row r="1813" spans="1:4" x14ac:dyDescent="0.2">
      <c r="A1813" s="5">
        <v>1752</v>
      </c>
      <c r="B1813" s="1832">
        <f>'Tax Sched 23'!E10</f>
        <v>7611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51652</v>
      </c>
      <c r="D1816" s="2" t="str">
        <f t="shared" si="27"/>
        <v>Error?</v>
      </c>
    </row>
    <row r="1817" spans="1:4" x14ac:dyDescent="0.2">
      <c r="A1817" s="5">
        <v>1756</v>
      </c>
      <c r="B1817" s="1832">
        <f>'Tax Sched 23'!E12</f>
        <v>7611</v>
      </c>
      <c r="D1817" s="2" t="str">
        <f t="shared" si="27"/>
        <v>Error?</v>
      </c>
    </row>
    <row r="1818" spans="1:4" x14ac:dyDescent="0.2">
      <c r="A1818" s="5">
        <v>1757</v>
      </c>
      <c r="B1818" s="1832">
        <f>'Tax Sched 23'!E14</f>
        <v>3044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429461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145100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3422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3422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3422</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19000</v>
      </c>
      <c r="D2008" s="2" t="str">
        <f t="shared" si="30"/>
        <v>Error?</v>
      </c>
    </row>
    <row r="2009" spans="1:4" x14ac:dyDescent="0.2">
      <c r="A2009" s="5">
        <v>1948</v>
      </c>
      <c r="B2009" s="1832">
        <f>'Cap Outlay Deprec 26'!C8</f>
        <v>1918023</v>
      </c>
      <c r="D2009" s="2" t="str">
        <f t="shared" si="30"/>
        <v>Error?</v>
      </c>
    </row>
    <row r="2010" spans="1:4" x14ac:dyDescent="0.2">
      <c r="A2010" s="5">
        <v>1949</v>
      </c>
      <c r="B2010" s="1832">
        <f>'Cap Outlay Deprec 26'!C10</f>
        <v>534996</v>
      </c>
      <c r="D2010" s="2" t="str">
        <f t="shared" si="30"/>
        <v>Error?</v>
      </c>
    </row>
    <row r="2011" spans="1:4" x14ac:dyDescent="0.2">
      <c r="A2011" s="5">
        <v>1950</v>
      </c>
      <c r="B2011" s="1832">
        <f>'Cap Outlay Deprec 26'!C12</f>
        <v>1852373</v>
      </c>
      <c r="D2011" s="2" t="str">
        <f t="shared" si="30"/>
        <v>Error?</v>
      </c>
    </row>
    <row r="2012" spans="1:4" x14ac:dyDescent="0.2">
      <c r="A2012" s="5">
        <v>1951</v>
      </c>
      <c r="B2012" s="1832">
        <f>'Cap Outlay Deprec 26'!C13</f>
        <v>1117612</v>
      </c>
      <c r="D2012" s="2" t="str">
        <f t="shared" si="30"/>
        <v>Error?</v>
      </c>
    </row>
    <row r="2013" spans="1:4" x14ac:dyDescent="0.2">
      <c r="A2013" s="5">
        <v>1952</v>
      </c>
      <c r="B2013" s="1832">
        <f>'Cap Outlay Deprec 26'!C16</f>
        <v>5442004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19000</v>
      </c>
      <c r="C2026" s="2" t="s">
        <v>569</v>
      </c>
      <c r="D2026" s="2" t="str">
        <f t="shared" si="30"/>
        <v>Error?</v>
      </c>
    </row>
    <row r="2027" spans="1:4" x14ac:dyDescent="0.2">
      <c r="A2027" s="5">
        <v>1966</v>
      </c>
      <c r="B2027" s="1832">
        <f>'Cap Outlay Deprec 26'!F8</f>
        <v>1918023</v>
      </c>
      <c r="C2027" s="2" t="s">
        <v>569</v>
      </c>
      <c r="D2027" s="2" t="str">
        <f t="shared" si="30"/>
        <v>Error?</v>
      </c>
    </row>
    <row r="2028" spans="1:4" x14ac:dyDescent="0.2">
      <c r="A2028" s="5">
        <v>1967</v>
      </c>
      <c r="B2028" s="1832">
        <f>'Cap Outlay Deprec 26'!F10</f>
        <v>534996</v>
      </c>
      <c r="C2028" s="2" t="s">
        <v>569</v>
      </c>
      <c r="D2028" s="2" t="str">
        <f t="shared" si="30"/>
        <v>Error?</v>
      </c>
    </row>
    <row r="2029" spans="1:4" x14ac:dyDescent="0.2">
      <c r="A2029" s="5">
        <v>1968</v>
      </c>
      <c r="B2029" s="1832">
        <f>'Cap Outlay Deprec 26'!F12</f>
        <v>1852373</v>
      </c>
      <c r="C2029" s="2" t="s">
        <v>569</v>
      </c>
      <c r="D2029" s="2" t="str">
        <f t="shared" si="30"/>
        <v>Error?</v>
      </c>
    </row>
    <row r="2030" spans="1:4" x14ac:dyDescent="0.2">
      <c r="A2030" s="5">
        <v>1969</v>
      </c>
      <c r="B2030" s="1832">
        <f>'Cap Outlay Deprec 26'!F13</f>
        <v>1117612</v>
      </c>
      <c r="C2030" s="2" t="s">
        <v>569</v>
      </c>
      <c r="D2030" s="2" t="str">
        <f t="shared" si="30"/>
        <v>Error?</v>
      </c>
    </row>
    <row r="2031" spans="1:4" x14ac:dyDescent="0.2">
      <c r="A2031" s="5">
        <v>1970</v>
      </c>
      <c r="B2031" s="1832">
        <f>'Cap Outlay Deprec 26'!F16</f>
        <v>5442004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1489738</v>
      </c>
      <c r="D2033" s="2" t="str">
        <f t="shared" si="30"/>
        <v>Error?</v>
      </c>
    </row>
    <row r="2034" spans="1:4" x14ac:dyDescent="0.2">
      <c r="A2034" s="5">
        <v>1973</v>
      </c>
      <c r="B2034" s="1832">
        <f>'Cap Outlay Deprec 26'!H10</f>
        <v>259066</v>
      </c>
      <c r="D2034" s="2" t="str">
        <f t="shared" si="30"/>
        <v>Error?</v>
      </c>
    </row>
    <row r="2035" spans="1:4" x14ac:dyDescent="0.2">
      <c r="A2035" s="5">
        <v>1974</v>
      </c>
      <c r="B2035" s="1832">
        <f>'Cap Outlay Deprec 26'!H12</f>
        <v>1787545</v>
      </c>
      <c r="D2035" s="2" t="str">
        <f t="shared" si="30"/>
        <v>Error?</v>
      </c>
    </row>
    <row r="2036" spans="1:4" x14ac:dyDescent="0.2">
      <c r="A2036" s="5">
        <v>1975</v>
      </c>
      <c r="B2036" s="1832">
        <f>'Cap Outlay Deprec 26'!H13</f>
        <v>1096825</v>
      </c>
      <c r="D2036" s="2" t="str">
        <f t="shared" si="30"/>
        <v>Error?</v>
      </c>
    </row>
    <row r="2037" spans="1:4" x14ac:dyDescent="0.2">
      <c r="A2037" s="5">
        <v>1976</v>
      </c>
      <c r="B2037" s="1832">
        <f>'Cap Outlay Deprec 26'!H16</f>
        <v>4633174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38360</v>
      </c>
      <c r="D2039" s="2" t="str">
        <f t="shared" si="30"/>
        <v>Error?</v>
      </c>
    </row>
    <row r="2040" spans="1:4" x14ac:dyDescent="0.2">
      <c r="A2040" s="5">
        <v>1979</v>
      </c>
      <c r="B2040" s="1832">
        <f>'Cap Outlay Deprec 26'!I10</f>
        <v>17487</v>
      </c>
      <c r="D2040" s="2" t="str">
        <f t="shared" si="30"/>
        <v>Error?</v>
      </c>
    </row>
    <row r="2041" spans="1:4" x14ac:dyDescent="0.2">
      <c r="A2041" s="5">
        <v>1980</v>
      </c>
      <c r="B2041" s="1832">
        <f>'Cap Outlay Deprec 26'!I12</f>
        <v>14422</v>
      </c>
      <c r="D2041" s="2" t="str">
        <f t="shared" si="30"/>
        <v>Error?</v>
      </c>
    </row>
    <row r="2042" spans="1:4" x14ac:dyDescent="0.2">
      <c r="A2042" s="5">
        <v>1981</v>
      </c>
      <c r="B2042" s="1832">
        <f>'Cap Outlay Deprec 26'!I13</f>
        <v>14251</v>
      </c>
      <c r="D2042" s="2" t="str">
        <f t="shared" si="30"/>
        <v>Error?</v>
      </c>
    </row>
    <row r="2043" spans="1:4" x14ac:dyDescent="0.2">
      <c r="A2043" s="5">
        <v>1982</v>
      </c>
      <c r="B2043" s="1832">
        <f>'Cap Outlay Deprec 26'!I16</f>
        <v>84520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1528098</v>
      </c>
      <c r="C2051" s="2" t="s">
        <v>569</v>
      </c>
      <c r="D2051" s="2" t="str">
        <f t="shared" si="31"/>
        <v>Error?</v>
      </c>
    </row>
    <row r="2052" spans="1:4" x14ac:dyDescent="0.2">
      <c r="A2052" s="5">
        <v>1991</v>
      </c>
      <c r="B2052" s="1832">
        <f>'Cap Outlay Deprec 26'!K10</f>
        <v>276553</v>
      </c>
      <c r="C2052" s="2" t="s">
        <v>569</v>
      </c>
      <c r="D2052" s="2" t="str">
        <f t="shared" si="31"/>
        <v>Error?</v>
      </c>
    </row>
    <row r="2053" spans="1:4" x14ac:dyDescent="0.2">
      <c r="A2053" s="5">
        <v>1992</v>
      </c>
      <c r="B2053" s="1832">
        <f>'Cap Outlay Deprec 26'!K12</f>
        <v>1801967</v>
      </c>
      <c r="C2053" s="2" t="s">
        <v>569</v>
      </c>
      <c r="D2053" s="2" t="str">
        <f t="shared" si="31"/>
        <v>Error?</v>
      </c>
    </row>
    <row r="2054" spans="1:4" x14ac:dyDescent="0.2">
      <c r="A2054" s="5">
        <v>1993</v>
      </c>
      <c r="B2054" s="1832">
        <f>'Cap Outlay Deprec 26'!K13</f>
        <v>1111076</v>
      </c>
      <c r="C2054" s="2" t="s">
        <v>569</v>
      </c>
      <c r="D2054" s="2" t="str">
        <f t="shared" si="31"/>
        <v>Error?</v>
      </c>
    </row>
    <row r="2055" spans="1:4" x14ac:dyDescent="0.2">
      <c r="A2055" s="5">
        <v>1994</v>
      </c>
      <c r="B2055" s="1832">
        <f>'Cap Outlay Deprec 26'!K16</f>
        <v>4717694</v>
      </c>
      <c r="C2055" s="2" t="s">
        <v>569</v>
      </c>
      <c r="D2055" s="2" t="str">
        <f t="shared" si="31"/>
        <v>Error?</v>
      </c>
    </row>
    <row r="2056" spans="1:4" x14ac:dyDescent="0.2">
      <c r="A2056" s="5">
        <v>1995</v>
      </c>
      <c r="B2056" s="1832">
        <f>'Cap Outlay Deprec 26'!L5</f>
        <v>19000</v>
      </c>
      <c r="C2056" s="2" t="s">
        <v>569</v>
      </c>
      <c r="D2056" s="2" t="str">
        <f t="shared" si="31"/>
        <v>Error?</v>
      </c>
    </row>
    <row r="2057" spans="1:4" x14ac:dyDescent="0.2">
      <c r="A2057" s="5">
        <v>1996</v>
      </c>
      <c r="B2057" s="1832">
        <f>'Cap Outlay Deprec 26'!L8</f>
        <v>389925</v>
      </c>
      <c r="C2057" s="2" t="s">
        <v>569</v>
      </c>
      <c r="D2057" s="2" t="str">
        <f t="shared" si="31"/>
        <v>Error?</v>
      </c>
    </row>
    <row r="2058" spans="1:4" x14ac:dyDescent="0.2">
      <c r="A2058" s="5">
        <v>1997</v>
      </c>
      <c r="B2058" s="1832">
        <f>'Cap Outlay Deprec 26'!L10</f>
        <v>258443</v>
      </c>
      <c r="C2058" s="2" t="s">
        <v>569</v>
      </c>
      <c r="D2058" s="2" t="str">
        <f t="shared" si="31"/>
        <v>Error?</v>
      </c>
    </row>
    <row r="2059" spans="1:4" x14ac:dyDescent="0.2">
      <c r="A2059" s="5">
        <v>1998</v>
      </c>
      <c r="B2059" s="1832">
        <f>'Cap Outlay Deprec 26'!L12</f>
        <v>50406</v>
      </c>
      <c r="C2059" s="2" t="s">
        <v>569</v>
      </c>
      <c r="D2059" s="2" t="str">
        <f t="shared" si="31"/>
        <v>Error?</v>
      </c>
    </row>
    <row r="2060" spans="1:4" x14ac:dyDescent="0.2">
      <c r="A2060" s="5">
        <v>1999</v>
      </c>
      <c r="B2060" s="1832">
        <f>'Cap Outlay Deprec 26'!L13</f>
        <v>6536</v>
      </c>
      <c r="C2060" s="2" t="s">
        <v>569</v>
      </c>
      <c r="D2060" s="2" t="str">
        <f t="shared" si="31"/>
        <v>Error?</v>
      </c>
    </row>
    <row r="2061" spans="1:4" x14ac:dyDescent="0.2">
      <c r="A2061" s="5">
        <v>2000</v>
      </c>
      <c r="B2061" s="1832">
        <f>'Cap Outlay Deprec 26'!L16</f>
        <v>724310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71400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221088</v>
      </c>
      <c r="D2475" s="2" t="str">
        <f t="shared" si="37"/>
        <v>Error?</v>
      </c>
    </row>
    <row r="2476" spans="1:4" x14ac:dyDescent="0.2">
      <c r="A2476" s="10">
        <v>2415</v>
      </c>
      <c r="B2476" s="1832"/>
      <c r="D2476" s="2" t="str">
        <f t="shared" si="37"/>
        <v>OK</v>
      </c>
    </row>
    <row r="2477" spans="1:4" x14ac:dyDescent="0.2">
      <c r="A2477" s="5">
        <v>2416</v>
      </c>
      <c r="B2477" s="1832">
        <f>'Assets-Liab 5-6'!G38</f>
        <v>3750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3176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223117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2010472</v>
      </c>
      <c r="C2553" s="2" t="s">
        <v>569</v>
      </c>
      <c r="D2553" s="2" t="str">
        <f t="shared" si="38"/>
        <v>Error?</v>
      </c>
    </row>
    <row r="2554" spans="1:4" x14ac:dyDescent="0.2">
      <c r="A2554" s="5">
        <v>2493</v>
      </c>
      <c r="B2554" s="1832">
        <f>'Acct Summary 7-8'!C7</f>
        <v>585308</v>
      </c>
      <c r="C2554" s="2" t="s">
        <v>569</v>
      </c>
      <c r="D2554" s="2" t="str">
        <f t="shared" si="38"/>
        <v>Error?</v>
      </c>
    </row>
    <row r="2555" spans="1:4" x14ac:dyDescent="0.2">
      <c r="A2555" s="5">
        <v>2494</v>
      </c>
      <c r="B2555" s="1832">
        <f>'Acct Summary 7-8'!C8</f>
        <v>2818897</v>
      </c>
      <c r="C2555" s="2" t="s">
        <v>569</v>
      </c>
      <c r="D2555" s="2" t="str">
        <f t="shared" si="38"/>
        <v>Error?</v>
      </c>
    </row>
    <row r="2556" spans="1:4" x14ac:dyDescent="0.2">
      <c r="A2556" s="5">
        <v>2495</v>
      </c>
      <c r="B2556" s="1832">
        <f>'Acct Summary 7-8'!C12</f>
        <v>1434621</v>
      </c>
      <c r="C2556" s="2" t="s">
        <v>569</v>
      </c>
      <c r="D2556" s="2" t="str">
        <f t="shared" si="38"/>
        <v>Error?</v>
      </c>
    </row>
    <row r="2557" spans="1:4" x14ac:dyDescent="0.2">
      <c r="A2557" s="5">
        <v>2496</v>
      </c>
      <c r="B2557" s="1832">
        <f>'Acct Summary 7-8'!C13</f>
        <v>1009010</v>
      </c>
      <c r="C2557" s="2" t="s">
        <v>569</v>
      </c>
      <c r="D2557" s="2" t="str">
        <f t="shared" si="38"/>
        <v>Error?</v>
      </c>
    </row>
    <row r="2558" spans="1:4" x14ac:dyDescent="0.2">
      <c r="A2558" s="5">
        <v>2497</v>
      </c>
      <c r="B2558" s="1832">
        <f>'Acct Summary 7-8'!C14</f>
        <v>121305</v>
      </c>
      <c r="C2558" s="2" t="s">
        <v>569</v>
      </c>
      <c r="D2558" s="2" t="str">
        <f t="shared" si="38"/>
        <v>Error?</v>
      </c>
    </row>
    <row r="2559" spans="1:4" x14ac:dyDescent="0.2">
      <c r="A2559" s="5">
        <v>2498</v>
      </c>
      <c r="B2559" s="1832">
        <f>'Acct Summary 7-8'!C15</f>
        <v>71400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2636336</v>
      </c>
      <c r="C2561" s="2" t="s">
        <v>569</v>
      </c>
      <c r="D2561" s="2" t="str">
        <f t="shared" si="39"/>
        <v>Error?</v>
      </c>
    </row>
    <row r="2562" spans="1:4" x14ac:dyDescent="0.2">
      <c r="A2562" s="5">
        <v>2501</v>
      </c>
      <c r="B2562" s="1832">
        <f>'Acct Summary 7-8'!C20</f>
        <v>182561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89224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435000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524224</v>
      </c>
      <c r="C2568" s="2" t="s">
        <v>569</v>
      </c>
      <c r="D2568" s="2" t="str">
        <f t="shared" si="39"/>
        <v>Error?</v>
      </c>
    </row>
    <row r="2569" spans="1:4" x14ac:dyDescent="0.2">
      <c r="A2569" s="5">
        <v>2508</v>
      </c>
      <c r="B2569" s="1832">
        <f>'Acct Summary 7-8'!D13</f>
        <v>480599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480599</v>
      </c>
      <c r="C2573" s="2" t="s">
        <v>569</v>
      </c>
      <c r="D2573" s="2" t="str">
        <f t="shared" si="39"/>
        <v>Error?</v>
      </c>
    </row>
    <row r="2574" spans="1:4" x14ac:dyDescent="0.2">
      <c r="A2574" s="5">
        <v>2513</v>
      </c>
      <c r="B2574" s="1832">
        <f>'Acct Summary 7-8'!D20</f>
        <v>43625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20529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313810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334339</v>
      </c>
      <c r="C2595" s="2" t="s">
        <v>569</v>
      </c>
      <c r="D2595" s="2" t="str">
        <f t="shared" si="39"/>
        <v>Error?</v>
      </c>
    </row>
    <row r="2596" spans="1:4" x14ac:dyDescent="0.2">
      <c r="A2596" s="5">
        <v>2535</v>
      </c>
      <c r="B2596" s="1832">
        <f>'Acct Summary 7-8'!F13</f>
        <v>239098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239098</v>
      </c>
      <c r="C2600" s="2" t="s">
        <v>569</v>
      </c>
      <c r="D2600" s="2" t="str">
        <f t="shared" si="39"/>
        <v>Error?</v>
      </c>
    </row>
    <row r="2601" spans="1:4" x14ac:dyDescent="0.2">
      <c r="A2601" s="5">
        <v>2540</v>
      </c>
      <c r="B2601" s="1832">
        <f>'Acct Summary 7-8'!F20</f>
        <v>95241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101393</v>
      </c>
      <c r="C2603" s="2" t="s">
        <v>569</v>
      </c>
      <c r="D2603" s="2" t="str">
        <f t="shared" si="39"/>
        <v>Error?</v>
      </c>
    </row>
    <row r="2604" spans="1:4" x14ac:dyDescent="0.2">
      <c r="A2604" s="5">
        <v>2543</v>
      </c>
      <c r="B2604" s="1832">
        <f>'Acct Summary 7-8'!G6</f>
        <v>10000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111393</v>
      </c>
      <c r="C2606" s="2" t="s">
        <v>569</v>
      </c>
      <c r="D2606" s="2" t="str">
        <f t="shared" si="39"/>
        <v>Error?</v>
      </c>
    </row>
    <row r="2607" spans="1:4" x14ac:dyDescent="0.2">
      <c r="A2607" s="5">
        <v>2546</v>
      </c>
      <c r="B2607" s="1832">
        <f>'Acct Summary 7-8'!G12</f>
        <v>22378</v>
      </c>
      <c r="C2607" s="2" t="s">
        <v>569</v>
      </c>
      <c r="D2607" s="2" t="str">
        <f t="shared" si="39"/>
        <v>Error?</v>
      </c>
    </row>
    <row r="2608" spans="1:4" x14ac:dyDescent="0.2">
      <c r="A2608" s="5">
        <v>2547</v>
      </c>
      <c r="B2608" s="1832">
        <f>'Acct Summary 7-8'!G13</f>
        <v>73250</v>
      </c>
      <c r="C2608" s="2" t="s">
        <v>569</v>
      </c>
      <c r="D2608" s="2" t="str">
        <f t="shared" si="39"/>
        <v>Error?</v>
      </c>
    </row>
    <row r="2609" spans="1:4" x14ac:dyDescent="0.2">
      <c r="A2609" s="5">
        <v>2548</v>
      </c>
      <c r="B2609" s="1832">
        <f>'Acct Summary 7-8'!G14</f>
        <v>7779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103407</v>
      </c>
      <c r="C2612" s="2" t="s">
        <v>569</v>
      </c>
      <c r="D2612" s="2" t="str">
        <f t="shared" si="39"/>
        <v>Error?</v>
      </c>
    </row>
    <row r="2613" spans="1:4" x14ac:dyDescent="0.2">
      <c r="A2613" s="5">
        <v>2552</v>
      </c>
      <c r="B2613" s="1832">
        <f>'Acct Summary 7-8'!G20</f>
        <v>7986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40412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40412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37236</v>
      </c>
      <c r="C2634" s="2" t="s">
        <v>569</v>
      </c>
      <c r="D2634" s="2" t="str">
        <f t="shared" si="40"/>
        <v>Error?</v>
      </c>
    </row>
    <row r="2635" spans="1:4" x14ac:dyDescent="0.2">
      <c r="A2635" s="5">
        <v>2574</v>
      </c>
      <c r="B2635" s="1832">
        <f>'Acct Summary 7-8'!E17</f>
        <v>37236</v>
      </c>
      <c r="C2635" s="2" t="s">
        <v>569</v>
      </c>
      <c r="D2635" s="2" t="str">
        <f t="shared" si="40"/>
        <v>Error?</v>
      </c>
    </row>
    <row r="2636" spans="1:4" x14ac:dyDescent="0.2">
      <c r="A2636" s="5">
        <v>2575</v>
      </c>
      <c r="B2636" s="1832">
        <f>'Acct Summary 7-8'!E20</f>
        <v>3176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73428</v>
      </c>
      <c r="D2718" s="2" t="str">
        <f t="shared" si="41"/>
        <v>Error?</v>
      </c>
    </row>
    <row r="2719" spans="1:4" x14ac:dyDescent="0.2">
      <c r="A2719" s="5">
        <v>2658</v>
      </c>
      <c r="B2719" s="1832">
        <f>'Expenditures 15-22'!D51</f>
        <v>11028</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84456</v>
      </c>
      <c r="C2724" s="2" t="s">
        <v>569</v>
      </c>
      <c r="D2724" s="2" t="str">
        <f t="shared" si="41"/>
        <v>Error?</v>
      </c>
    </row>
    <row r="2725" spans="1:4" x14ac:dyDescent="0.2">
      <c r="A2725" s="5">
        <v>2664</v>
      </c>
      <c r="B2725" s="1832">
        <f>'Expenditures 15-22'!D247</f>
        <v>27</v>
      </c>
      <c r="D2725" s="2" t="str">
        <f t="shared" si="41"/>
        <v>Error?</v>
      </c>
    </row>
    <row r="2726" spans="1:4" x14ac:dyDescent="0.2">
      <c r="A2726" s="5">
        <v>2665</v>
      </c>
      <c r="B2726" s="1832">
        <f>'Expenditures 15-22'!K247</f>
        <v>27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71400</v>
      </c>
      <c r="C2789" s="2" t="s">
        <v>569</v>
      </c>
      <c r="D2789" s="2" t="str">
        <f t="shared" si="42"/>
        <v>Error?</v>
      </c>
    </row>
    <row r="2790" spans="1:4" x14ac:dyDescent="0.2">
      <c r="A2790" s="5">
        <v>2729</v>
      </c>
      <c r="B2790" s="1832">
        <f>'Expenditures 15-22'!E102</f>
        <v>71400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8568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8568</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8568</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71400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71400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82024</v>
      </c>
      <c r="D3055" s="2" t="str">
        <f t="shared" si="46"/>
        <v>Error?</v>
      </c>
    </row>
    <row r="3056" spans="1:4" x14ac:dyDescent="0.2">
      <c r="A3056" s="5">
        <v>2995</v>
      </c>
      <c r="B3056" s="1832">
        <f>'Expenditures 15-22'!D10</f>
        <v>7454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89478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5113</v>
      </c>
      <c r="D3064" s="2" t="str">
        <f t="shared" si="46"/>
        <v>Error?</v>
      </c>
    </row>
    <row r="3065" spans="1:4" x14ac:dyDescent="0.2">
      <c r="A3065" s="5">
        <v>3004</v>
      </c>
      <c r="B3065" s="1832">
        <f>'Expenditures 15-22'!K219</f>
        <v>5113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8568</v>
      </c>
      <c r="C3225" s="2" t="s">
        <v>569</v>
      </c>
      <c r="D3225" s="2" t="str">
        <f t="shared" si="49"/>
        <v>Error?</v>
      </c>
    </row>
    <row r="3226" spans="1:4" x14ac:dyDescent="0.2">
      <c r="A3226" s="5">
        <v>3165</v>
      </c>
      <c r="B3226" s="1832">
        <f>'Acct Summary 7-8'!I8</f>
        <v>8568</v>
      </c>
      <c r="C3226" s="2" t="s">
        <v>569</v>
      </c>
      <c r="D3226" s="2" t="str">
        <f t="shared" si="49"/>
        <v>Error?</v>
      </c>
    </row>
    <row r="3227" spans="1:4" x14ac:dyDescent="0.2">
      <c r="A3227" s="5">
        <v>3166</v>
      </c>
      <c r="B3227" s="1832">
        <f>'Acct Summary 7-8'!I20</f>
        <v>8568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182561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43625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95241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7986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3176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8568</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8568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92964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19419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118850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921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232154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10298</v>
      </c>
      <c r="D3387" s="2" t="str">
        <f t="shared" si="51"/>
        <v>Error?</v>
      </c>
    </row>
    <row r="3388" spans="1:4" x14ac:dyDescent="0.2">
      <c r="A3388" s="5">
        <v>3327</v>
      </c>
      <c r="B3388" s="1832">
        <f>'Expenditures 15-22'!D217</f>
        <v>1320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10298</v>
      </c>
      <c r="C3390" s="2" t="s">
        <v>569</v>
      </c>
      <c r="D3390" s="2" t="str">
        <f t="shared" si="51"/>
        <v>Error?</v>
      </c>
    </row>
    <row r="3391" spans="1:4" x14ac:dyDescent="0.2">
      <c r="A3391" s="5">
        <v>3330</v>
      </c>
      <c r="B3391" s="1832">
        <f>'Expenditures 15-22'!K217</f>
        <v>1320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377579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92421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3176</v>
      </c>
      <c r="D3417" s="2" t="str">
        <f t="shared" si="52"/>
        <v>Error?</v>
      </c>
    </row>
    <row r="3418" spans="1:4" x14ac:dyDescent="0.2">
      <c r="A3418" s="10">
        <v>3357</v>
      </c>
      <c r="B3418" s="1832"/>
      <c r="D3418" s="2" t="str">
        <f t="shared" si="52"/>
        <v>OK</v>
      </c>
    </row>
    <row r="3419" spans="1:4" x14ac:dyDescent="0.2">
      <c r="A3419" s="5">
        <v>3358</v>
      </c>
      <c r="B3419" s="1832">
        <f>'Assets-Liab 5-6'!F4</f>
        <v>40533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8568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25421</v>
      </c>
      <c r="C3446" s="2" t="s">
        <v>569</v>
      </c>
      <c r="D3446" s="2" t="str">
        <f t="shared" si="52"/>
        <v>Error?</v>
      </c>
    </row>
    <row r="3447" spans="1:4" x14ac:dyDescent="0.2">
      <c r="A3447" s="5">
        <v>3386</v>
      </c>
      <c r="B3447" s="1832">
        <f>'Tax Sched 23'!D16</f>
        <v>25421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27523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27523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212993</v>
      </c>
      <c r="C3565" s="2" t="s">
        <v>569</v>
      </c>
      <c r="D3565" s="2" t="str">
        <f t="shared" si="54"/>
        <v>Error?</v>
      </c>
    </row>
    <row r="3566" spans="1:4" x14ac:dyDescent="0.2">
      <c r="A3566" s="5">
        <v>3505</v>
      </c>
      <c r="B3566" s="1832">
        <f>'Assets-Liab 5-6'!K38</f>
        <v>-185470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27523</v>
      </c>
      <c r="C3568" s="2" t="s">
        <v>569</v>
      </c>
      <c r="D3568" s="2" t="str">
        <f t="shared" si="54"/>
        <v>Error?</v>
      </c>
    </row>
    <row r="3569" spans="1:4" x14ac:dyDescent="0.2">
      <c r="A3569" s="5">
        <v>3508</v>
      </c>
      <c r="B3569" s="1832">
        <f>'Acct Summary 7-8'!K4</f>
        <v>8568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8568</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8568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8568</v>
      </c>
      <c r="C3588" s="2" t="s">
        <v>569</v>
      </c>
      <c r="D3588" s="2" t="str">
        <f t="shared" si="55"/>
        <v>Error?</v>
      </c>
    </row>
    <row r="3589" spans="1:4" x14ac:dyDescent="0.2">
      <c r="A3589" s="5">
        <v>3528</v>
      </c>
      <c r="B3589" s="1832">
        <f>'Acct Summary 7-8'!K79</f>
        <v>-194038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-185470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8568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8554</v>
      </c>
      <c r="C3725" s="2" t="s">
        <v>569</v>
      </c>
      <c r="D3725" s="2" t="str">
        <f t="shared" si="57"/>
        <v>Error?</v>
      </c>
    </row>
    <row r="3726" spans="1:4" x14ac:dyDescent="0.2">
      <c r="A3726" s="5">
        <v>3665</v>
      </c>
      <c r="B3726" s="1832">
        <f>'Tax Sched 23'!D13</f>
        <v>8554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7611</v>
      </c>
      <c r="C3728" s="2" t="s">
        <v>569</v>
      </c>
      <c r="D3728" s="2" t="str">
        <f t="shared" si="57"/>
        <v>Error?</v>
      </c>
    </row>
    <row r="3729" spans="1:4" x14ac:dyDescent="0.2">
      <c r="A3729" s="5">
        <v>3668</v>
      </c>
      <c r="B3729" s="1832">
        <f>'Tax Sched 23'!E13</f>
        <v>7611</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4901261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7720158</v>
      </c>
      <c r="C4122" s="2" t="s">
        <v>569</v>
      </c>
      <c r="D4122" s="2" t="str">
        <f t="shared" si="63"/>
        <v>Error?</v>
      </c>
    </row>
    <row r="4123" spans="1:4" x14ac:dyDescent="0.2">
      <c r="A4123" s="5">
        <v>4062</v>
      </c>
      <c r="B4123" s="1832">
        <f>'Acct Summary 7-8'!D10</f>
        <v>524224</v>
      </c>
      <c r="C4123" s="2" t="s">
        <v>569</v>
      </c>
      <c r="D4123" s="2" t="str">
        <f t="shared" si="63"/>
        <v>Error?</v>
      </c>
    </row>
    <row r="4124" spans="1:4" x14ac:dyDescent="0.2">
      <c r="A4124" s="5">
        <v>4063</v>
      </c>
      <c r="B4124" s="1832">
        <f>'Acct Summary 7-8'!E10</f>
        <v>40412</v>
      </c>
      <c r="C4124" s="2" t="s">
        <v>569</v>
      </c>
      <c r="D4124" s="2" t="str">
        <f t="shared" si="63"/>
        <v>Error?</v>
      </c>
    </row>
    <row r="4125" spans="1:4" x14ac:dyDescent="0.2">
      <c r="A4125" s="5">
        <v>4064</v>
      </c>
      <c r="B4125" s="1832">
        <f>'Acct Summary 7-8'!F10</f>
        <v>334339</v>
      </c>
      <c r="C4125" s="2" t="s">
        <v>569</v>
      </c>
      <c r="D4125" s="2" t="str">
        <f t="shared" si="63"/>
        <v>Error?</v>
      </c>
    </row>
    <row r="4126" spans="1:4" x14ac:dyDescent="0.2">
      <c r="A4126" s="5">
        <v>4065</v>
      </c>
      <c r="B4126" s="1832">
        <f>'Acct Summary 7-8'!G10</f>
        <v>111393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8568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8568</v>
      </c>
      <c r="C4130" s="2" t="s">
        <v>569</v>
      </c>
      <c r="D4130" s="2" t="str">
        <f t="shared" si="63"/>
        <v>Error?</v>
      </c>
    </row>
    <row r="4131" spans="1:4" x14ac:dyDescent="0.2">
      <c r="A4131" s="5">
        <v>4070</v>
      </c>
      <c r="B4131" s="1832">
        <f>'Acct Summary 7-8'!C18</f>
        <v>4901261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7537597</v>
      </c>
      <c r="C4136" s="2" t="s">
        <v>569</v>
      </c>
      <c r="D4136" s="2" t="str">
        <f t="shared" si="63"/>
        <v>Error?</v>
      </c>
    </row>
    <row r="4137" spans="1:4" x14ac:dyDescent="0.2">
      <c r="A4137" s="5">
        <v>4076</v>
      </c>
      <c r="B4137" s="1832">
        <f>'Acct Summary 7-8'!D19</f>
        <v>480599</v>
      </c>
      <c r="C4137" s="2" t="s">
        <v>569</v>
      </c>
      <c r="D4137" s="2" t="str">
        <f t="shared" si="63"/>
        <v>Error?</v>
      </c>
    </row>
    <row r="4138" spans="1:4" x14ac:dyDescent="0.2">
      <c r="A4138" s="5">
        <v>4077</v>
      </c>
      <c r="B4138" s="1832">
        <f>'Acct Summary 7-8'!E19</f>
        <v>37236</v>
      </c>
      <c r="C4138" s="2" t="s">
        <v>569</v>
      </c>
      <c r="D4138" s="2" t="str">
        <f t="shared" si="63"/>
        <v>Error?</v>
      </c>
    </row>
    <row r="4139" spans="1:4" x14ac:dyDescent="0.2">
      <c r="A4139" s="5">
        <v>4078</v>
      </c>
      <c r="B4139" s="1832">
        <f>'Acct Summary 7-8'!F19</f>
        <v>239098</v>
      </c>
      <c r="C4139" s="2" t="s">
        <v>569</v>
      </c>
      <c r="D4139" s="2" t="str">
        <f t="shared" si="63"/>
        <v>Error?</v>
      </c>
    </row>
    <row r="4140" spans="1:4" x14ac:dyDescent="0.2">
      <c r="A4140" s="5">
        <v>4079</v>
      </c>
      <c r="B4140" s="1832">
        <f>'Acct Summary 7-8'!G19</f>
        <v>103407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115100</v>
      </c>
      <c r="C4171" s="2" t="s">
        <v>569</v>
      </c>
      <c r="D4171" s="2" t="str">
        <f t="shared" si="64"/>
        <v>Error?</v>
      </c>
    </row>
    <row r="4172" spans="1:4" x14ac:dyDescent="0.2">
      <c r="A4172" s="5">
        <v>4111</v>
      </c>
      <c r="B4172" s="1832">
        <f>'Short-Term Long-Term Debt 24'!J49</f>
        <v>115100</v>
      </c>
      <c r="C4172" s="2" t="s">
        <v>569</v>
      </c>
      <c r="D4172" s="2" t="str">
        <f t="shared" si="64"/>
        <v>Error?</v>
      </c>
    </row>
    <row r="4173" spans="1:4" x14ac:dyDescent="0.2">
      <c r="A4173" s="5">
        <v>4112</v>
      </c>
      <c r="B4173" s="1832">
        <f>'Short-Term Long-Term Debt 24'!H49</f>
        <v>30000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111.00000000000001</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481</v>
      </c>
      <c r="C4268" s="2" t="s">
        <v>569</v>
      </c>
      <c r="D4268" s="2" t="str">
        <f t="shared" si="65"/>
        <v>Error?</v>
      </c>
    </row>
    <row r="4269" spans="1:5" x14ac:dyDescent="0.2">
      <c r="A4269" s="12">
        <v>4208</v>
      </c>
      <c r="B4269" s="1832">
        <f>'FP Info 3'!J16</f>
        <v>921544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17378</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19552</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13716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1051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4470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4470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19552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14995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11420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20721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50000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15223233</v>
      </c>
      <c r="D4995" s="2" t="str">
        <f t="shared" si="77"/>
        <v>Error?</v>
      </c>
    </row>
    <row r="4996" spans="1:4" x14ac:dyDescent="0.2">
      <c r="A4996" s="12">
        <v>4935</v>
      </c>
      <c r="B4996" s="1832">
        <f>'FP Info 3'!H31</f>
        <v>1050403.077</v>
      </c>
      <c r="D4996" s="2" t="str">
        <f t="shared" si="77"/>
        <v>Error?</v>
      </c>
    </row>
    <row r="4997" spans="1:4" x14ac:dyDescent="0.2">
      <c r="A4997" s="12">
        <v>4936</v>
      </c>
      <c r="B4997" s="1832">
        <f>'FP Info 3'!H37</f>
        <v>115100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8554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190882</v>
      </c>
      <c r="D5061" s="2" t="str">
        <f t="shared" si="78"/>
        <v>Error?</v>
      </c>
    </row>
    <row r="5062" spans="1:4" x14ac:dyDescent="0.2">
      <c r="A5062" s="10">
        <v>5001</v>
      </c>
      <c r="B5062" s="1832"/>
      <c r="D5062" s="2" t="str">
        <f t="shared" si="78"/>
        <v>OK</v>
      </c>
    </row>
    <row r="5063" spans="1:4" x14ac:dyDescent="0.2">
      <c r="A5063" s="5">
        <v>5002</v>
      </c>
      <c r="B5063" s="1832">
        <f>'Revenues 9-14'!C7</f>
        <v>3422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202858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3971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3971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3184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3184</v>
      </c>
      <c r="C5096" s="2" t="s">
        <v>569</v>
      </c>
      <c r="D5096" s="2" t="str">
        <f t="shared" si="78"/>
        <v>Error?</v>
      </c>
    </row>
    <row r="5097" spans="1:4" x14ac:dyDescent="0.2">
      <c r="A5097" s="5">
        <v>5036</v>
      </c>
      <c r="B5097" s="1832">
        <f>'Revenues 9-14'!C77</f>
        <v>261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261</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243</v>
      </c>
      <c r="D5118" s="2" t="str">
        <f t="shared" si="78"/>
        <v>Error?</v>
      </c>
    </row>
    <row r="5119" spans="1:4" x14ac:dyDescent="0.2">
      <c r="A5119" s="5">
        <v>5058</v>
      </c>
      <c r="B5119" s="1832">
        <f>'Revenues 9-14'!C107</f>
        <v>12500</v>
      </c>
      <c r="D5119" s="2" t="str">
        <f t="shared" ref="D5119:D5182" si="79">IF(ISBLANK(B5119),"OK",IF(A5119-B5119=0,"OK","Error?"))</f>
        <v>Error?</v>
      </c>
    </row>
    <row r="5120" spans="1:4" x14ac:dyDescent="0.2">
      <c r="A5120" s="5">
        <v>5059</v>
      </c>
      <c r="B5120" s="1832">
        <f>'Revenues 9-14'!C108</f>
        <v>12843</v>
      </c>
      <c r="C5120" s="2" t="s">
        <v>569</v>
      </c>
      <c r="D5120" s="2" t="str">
        <f t="shared" si="79"/>
        <v>Error?</v>
      </c>
    </row>
    <row r="5121" spans="1:4" x14ac:dyDescent="0.2">
      <c r="A5121" s="5">
        <v>5060</v>
      </c>
      <c r="B5121" s="1832">
        <f>'Revenues 9-14'!C109</f>
        <v>223117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1606689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1606689</v>
      </c>
      <c r="C5132" s="2" t="s">
        <v>569</v>
      </c>
      <c r="D5132" s="2" t="str">
        <f t="shared" si="79"/>
        <v>Error?</v>
      </c>
    </row>
    <row r="5133" spans="1:4" x14ac:dyDescent="0.2">
      <c r="A5133" s="5">
        <v>5072</v>
      </c>
      <c r="B5133" s="1832">
        <f>'Revenues 9-14'!C125</f>
        <v>3887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3887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2210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386266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403783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2010472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77140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46509</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145496</v>
      </c>
      <c r="C5246" s="2" t="s">
        <v>569</v>
      </c>
      <c r="D5246" s="2" t="str">
        <f t="shared" si="80"/>
        <v>Error?</v>
      </c>
    </row>
    <row r="5247" spans="1:4" x14ac:dyDescent="0.2">
      <c r="A5247" s="5">
        <v>5186</v>
      </c>
      <c r="B5247" s="1832">
        <f>'Revenues 9-14'!C200</f>
        <v>267569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267569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15892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81846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97738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585308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585308</v>
      </c>
      <c r="C5326" s="2" t="s">
        <v>569</v>
      </c>
      <c r="D5326" s="2" t="str">
        <f t="shared" si="82"/>
        <v>Error?</v>
      </c>
    </row>
    <row r="5327" spans="1:5" x14ac:dyDescent="0.2">
      <c r="A5327" s="5">
        <v>5266</v>
      </c>
      <c r="B5327" s="1832">
        <f>'Revenues 9-14'!C268</f>
        <v>2818897</v>
      </c>
      <c r="C5327" s="2" t="s">
        <v>569</v>
      </c>
      <c r="D5327" s="2" t="str">
        <f t="shared" si="82"/>
        <v>Error?</v>
      </c>
    </row>
    <row r="5328" spans="1:5" x14ac:dyDescent="0.2">
      <c r="A5328" s="5">
        <v>5267</v>
      </c>
      <c r="B5328" s="1832">
        <f>'Revenues 9-14'!D5</f>
        <v>42720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42720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46436</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46436</v>
      </c>
      <c r="C5339" s="2" t="s">
        <v>569</v>
      </c>
      <c r="D5339" s="2" t="str">
        <f t="shared" si="82"/>
        <v>Error?</v>
      </c>
    </row>
    <row r="5340" spans="1:4" x14ac:dyDescent="0.2">
      <c r="A5340" s="5">
        <v>5279</v>
      </c>
      <c r="B5340" s="1832">
        <f>'Revenues 9-14'!D65</f>
        <v>68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89224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385000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435000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435000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524224</v>
      </c>
      <c r="C5508" s="2" t="s">
        <v>569</v>
      </c>
      <c r="D5508" s="2" t="str">
        <f t="shared" si="85"/>
        <v>Error?</v>
      </c>
    </row>
    <row r="5509" spans="1:4" x14ac:dyDescent="0.2">
      <c r="A5509" s="5">
        <v>5448</v>
      </c>
      <c r="B5509" s="1832">
        <f>'Revenues 9-14'!E5</f>
        <v>40348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40348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40412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40412</v>
      </c>
      <c r="C5552" s="2" t="s">
        <v>569</v>
      </c>
      <c r="D5552" s="2" t="str">
        <f t="shared" si="85"/>
        <v>Error?</v>
      </c>
    </row>
    <row r="5553" spans="1:4" x14ac:dyDescent="0.2">
      <c r="A5553" s="5">
        <v>5492</v>
      </c>
      <c r="B5553" s="1832">
        <f>'Revenues 9-14'!F5</f>
        <v>20496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20496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20529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127000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127000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119721</v>
      </c>
      <c r="D5615" s="2" t="str">
        <f t="shared" si="86"/>
        <v>Error?</v>
      </c>
    </row>
    <row r="5616" spans="1:4" x14ac:dyDescent="0.2">
      <c r="A5616" s="10">
        <v>5555</v>
      </c>
      <c r="B5616" s="1832"/>
      <c r="D5616" s="2" t="str">
        <f t="shared" si="86"/>
        <v>OK</v>
      </c>
    </row>
    <row r="5617" spans="1:5" x14ac:dyDescent="0.2">
      <c r="A5617" s="5">
        <v>5556</v>
      </c>
      <c r="B5617" s="1832">
        <f>'Revenues 9-14'!F153</f>
        <v>67089</v>
      </c>
      <c r="D5617" s="2" t="str">
        <f t="shared" si="86"/>
        <v>Error?</v>
      </c>
    </row>
    <row r="5618" spans="1:5" x14ac:dyDescent="0.2">
      <c r="A5618" s="5">
        <v>5557</v>
      </c>
      <c r="B5618" s="1832">
        <f>'Revenues 9-14'!F155</f>
        <v>186810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186810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313810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334339</v>
      </c>
      <c r="C5720" s="2" t="s">
        <v>569</v>
      </c>
      <c r="D5720" s="2" t="str">
        <f t="shared" si="88"/>
        <v>Error?</v>
      </c>
    </row>
    <row r="5721" spans="1:4" x14ac:dyDescent="0.2">
      <c r="A5721" s="5">
        <v>5660</v>
      </c>
      <c r="B5721" s="1832">
        <f>'Revenues 9-14'!G5</f>
        <v>75811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25421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101232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161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10000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10000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10000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111393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8554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8554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8568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8554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8554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8568</v>
      </c>
      <c r="C6023" s="2" t="s">
        <v>569</v>
      </c>
      <c r="D6023" s="2" t="str">
        <f t="shared" si="93"/>
        <v>Error?</v>
      </c>
    </row>
    <row r="6024" spans="1:5" x14ac:dyDescent="0.2">
      <c r="A6024" s="5">
        <v>5963</v>
      </c>
      <c r="B6024" s="1832">
        <f>'Revenues 9-14'!G109</f>
        <v>101393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8568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8568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180.18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25470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180555</v>
      </c>
      <c r="D6084" s="2" t="str">
        <f t="shared" si="94"/>
        <v>Error?</v>
      </c>
      <c r="E6084" s="2" t="s">
        <v>189</v>
      </c>
    </row>
    <row r="6085" spans="1:5" x14ac:dyDescent="0.2">
      <c r="A6085">
        <v>6024</v>
      </c>
      <c r="B6085" s="1832">
        <f>'Assets-Liab 5-6'!G7</f>
        <v>3750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25908</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16510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35901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22690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212993</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35901</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35901</v>
      </c>
      <c r="D6216" s="2" t="str">
        <f t="shared" si="96"/>
        <v>Error?</v>
      </c>
      <c r="E6216" s="2" t="s">
        <v>189</v>
      </c>
    </row>
    <row r="6217" spans="1:5" x14ac:dyDescent="0.2">
      <c r="A6217">
        <v>6156</v>
      </c>
      <c r="B6217" s="1832">
        <f>'Assets-Liab 5-6'!J4</f>
        <v>9993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56977</v>
      </c>
      <c r="D6220" s="2" t="str">
        <f t="shared" si="96"/>
        <v>Error?</v>
      </c>
      <c r="E6220" s="2" t="s">
        <v>189</v>
      </c>
    </row>
    <row r="6221" spans="1:5" x14ac:dyDescent="0.2">
      <c r="A6221">
        <v>6160</v>
      </c>
      <c r="B6221" s="1832">
        <f>'Acct Summary 7-8'!J6</f>
        <v>10000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66977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66977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61838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61838</v>
      </c>
      <c r="D6229" s="2" t="str">
        <f t="shared" si="96"/>
        <v>Error?</v>
      </c>
      <c r="E6229" s="2" t="s">
        <v>189</v>
      </c>
    </row>
    <row r="6230" spans="1:5" x14ac:dyDescent="0.2">
      <c r="A6230">
        <v>6169</v>
      </c>
      <c r="B6230" s="1832">
        <f>'Acct Summary 7-8'!J20</f>
        <v>5139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5139</v>
      </c>
      <c r="D6263" s="2" t="str">
        <f t="shared" si="96"/>
        <v>Error?</v>
      </c>
      <c r="E6263" s="2" t="s">
        <v>189</v>
      </c>
    </row>
    <row r="6264" spans="1:5" x14ac:dyDescent="0.2">
      <c r="A6264">
        <v>6203</v>
      </c>
      <c r="B6264" s="1832">
        <f>'Acct Summary 7-8'!J79</f>
        <v>30762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35901</v>
      </c>
      <c r="D6266" s="2" t="str">
        <f t="shared" si="96"/>
        <v>Error?</v>
      </c>
      <c r="E6266" s="2" t="s">
        <v>189</v>
      </c>
    </row>
    <row r="6267" spans="1:5" x14ac:dyDescent="0.2">
      <c r="A6267">
        <v>6206</v>
      </c>
      <c r="B6267" s="1832">
        <f>'Acct Summary 7-8'!C82</f>
        <v>182561</v>
      </c>
      <c r="D6267" s="2" t="str">
        <f t="shared" si="96"/>
        <v>Error?</v>
      </c>
      <c r="E6267" s="2" t="s">
        <v>189</v>
      </c>
    </row>
    <row r="6268" spans="1:5" x14ac:dyDescent="0.2">
      <c r="A6268">
        <v>6207</v>
      </c>
      <c r="B6268" s="1832">
        <f>'Acct Summary 7-8'!D82</f>
        <v>43625</v>
      </c>
      <c r="D6268" s="2" t="str">
        <f t="shared" si="96"/>
        <v>Error?</v>
      </c>
      <c r="E6268" s="2" t="s">
        <v>189</v>
      </c>
    </row>
    <row r="6269" spans="1:5" x14ac:dyDescent="0.2">
      <c r="A6269">
        <v>6208</v>
      </c>
      <c r="B6269" s="1832">
        <f>'Acct Summary 7-8'!E82</f>
        <v>3176</v>
      </c>
      <c r="D6269" s="2" t="str">
        <f t="shared" si="96"/>
        <v>Error?</v>
      </c>
      <c r="E6269" s="2" t="s">
        <v>189</v>
      </c>
    </row>
    <row r="6270" spans="1:5" x14ac:dyDescent="0.2">
      <c r="A6270">
        <v>6209</v>
      </c>
      <c r="B6270" s="1832">
        <f>'Acct Summary 7-8'!F82</f>
        <v>95241</v>
      </c>
      <c r="D6270" s="2" t="str">
        <f t="shared" si="96"/>
        <v>Error?</v>
      </c>
      <c r="E6270" s="2" t="s">
        <v>189</v>
      </c>
    </row>
    <row r="6271" spans="1:5" x14ac:dyDescent="0.2">
      <c r="A6271">
        <v>6210</v>
      </c>
      <c r="B6271" s="1832">
        <f>'Acct Summary 7-8'!G82</f>
        <v>7986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8568</v>
      </c>
      <c r="D6273" s="2" t="str">
        <f t="shared" si="97"/>
        <v>Error?</v>
      </c>
      <c r="E6273" s="2" t="s">
        <v>189</v>
      </c>
    </row>
    <row r="6274" spans="1:5" x14ac:dyDescent="0.2">
      <c r="A6274">
        <v>6213</v>
      </c>
      <c r="B6274" s="1832">
        <f>'Acct Summary 7-8'!J82</f>
        <v>5139</v>
      </c>
      <c r="D6274" s="2" t="str">
        <f t="shared" si="97"/>
        <v>Error?</v>
      </c>
      <c r="E6274" s="2" t="s">
        <v>189</v>
      </c>
    </row>
    <row r="6275" spans="1:5" x14ac:dyDescent="0.2">
      <c r="A6275">
        <v>6214</v>
      </c>
      <c r="B6275" s="1832">
        <f>'Acct Summary 7-8'!K82</f>
        <v>8568</v>
      </c>
      <c r="D6275" s="2" t="str">
        <f t="shared" si="97"/>
        <v>Error?</v>
      </c>
      <c r="E6275" s="2" t="s">
        <v>189</v>
      </c>
    </row>
    <row r="6276" spans="1:5" x14ac:dyDescent="0.2">
      <c r="A6276">
        <v>6215</v>
      </c>
      <c r="B6276" s="1832">
        <f>'Acct Summary 7-8'!C83</f>
        <v>0.29343236514256049</v>
      </c>
      <c r="D6276" s="2" t="str">
        <f t="shared" si="97"/>
        <v>Error?</v>
      </c>
      <c r="E6276" s="2" t="s">
        <v>189</v>
      </c>
    </row>
    <row r="6277" spans="1:5" x14ac:dyDescent="0.2">
      <c r="A6277">
        <v>6216</v>
      </c>
      <c r="B6277" s="1832">
        <f>'Acct Summary 7-8'!D83</f>
        <v>0.62561844803602418</v>
      </c>
      <c r="D6277" s="2" t="str">
        <f t="shared" si="97"/>
        <v>Error?</v>
      </c>
      <c r="E6277" s="2" t="s">
        <v>189</v>
      </c>
    </row>
    <row r="6278" spans="1:5" x14ac:dyDescent="0.2">
      <c r="A6278">
        <v>6217</v>
      </c>
      <c r="B6278" s="1832">
        <f>'Acct Summary 7-8'!E83</f>
        <v>1</v>
      </c>
      <c r="D6278" s="2" t="str">
        <f t="shared" si="97"/>
        <v>Error?</v>
      </c>
      <c r="E6278" s="2" t="s">
        <v>189</v>
      </c>
    </row>
    <row r="6279" spans="1:5" x14ac:dyDescent="0.2">
      <c r="A6279">
        <v>6218</v>
      </c>
      <c r="B6279" s="1832">
        <f>'Acct Summary 7-8'!F83</f>
        <v>0.43078321754233606</v>
      </c>
      <c r="D6279" s="2" t="str">
        <f t="shared" si="97"/>
        <v>Error?</v>
      </c>
      <c r="E6279" s="2" t="s">
        <v>189</v>
      </c>
    </row>
    <row r="6280" spans="1:5" x14ac:dyDescent="0.2">
      <c r="A6280">
        <v>6219</v>
      </c>
      <c r="B6280" s="1832">
        <f>'Acct Summary 7-8'!G83</f>
        <v>2.1295999999999999</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1</v>
      </c>
      <c r="D6282" s="2" t="str">
        <f t="shared" si="97"/>
        <v>Error?</v>
      </c>
      <c r="E6282" s="2" t="s">
        <v>189</v>
      </c>
    </row>
    <row r="6283" spans="1:5" x14ac:dyDescent="0.2">
      <c r="A6283">
        <v>6222</v>
      </c>
      <c r="B6283" s="1832">
        <f>'Acct Summary 7-8'!J83</f>
        <v>0.14314364502381549</v>
      </c>
      <c r="D6283" s="2" t="str">
        <f t="shared" si="97"/>
        <v>Error?</v>
      </c>
      <c r="E6283" s="2" t="s">
        <v>189</v>
      </c>
    </row>
    <row r="6284" spans="1:5" x14ac:dyDescent="0.2">
      <c r="A6284">
        <v>6223</v>
      </c>
      <c r="B6284" s="1832">
        <f>'Acct Summary 7-8'!K83</f>
        <v>-4.6196150320806602E-2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56886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56886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56977</v>
      </c>
      <c r="D6352" s="2" t="str">
        <f t="shared" si="98"/>
        <v>Error?</v>
      </c>
      <c r="E6352" s="2" t="s">
        <v>189</v>
      </c>
    </row>
    <row r="6353" spans="1:5" x14ac:dyDescent="0.2">
      <c r="A6353">
        <v>6292</v>
      </c>
      <c r="B6353" s="1832">
        <f>'Revenues 9-14'!J117</f>
        <v>10000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10000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10000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95605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49398</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1749</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135737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51147</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5400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5400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5400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3110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59657</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61838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66977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4792</v>
      </c>
      <c r="D7073" s="2" t="str">
        <f t="shared" si="109"/>
        <v>Error?</v>
      </c>
    </row>
    <row r="7074" spans="1:4" x14ac:dyDescent="0.2">
      <c r="A7074">
        <v>7013</v>
      </c>
      <c r="B7074" s="1832">
        <f>'Expenditures 15-22'!K216</f>
        <v>4792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15321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15321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37392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37392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1000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8125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8125</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61838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61838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61838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61838</v>
      </c>
      <c r="D7224" s="2" t="str">
        <f t="shared" si="111"/>
        <v>Error?</v>
      </c>
    </row>
    <row r="7225" spans="1:4" x14ac:dyDescent="0.2">
      <c r="A7225">
        <v>7164</v>
      </c>
      <c r="B7225" s="1832">
        <f>'Expenditures 15-22'!K343</f>
        <v>5139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35081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3302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59657</v>
      </c>
      <c r="D7624" s="2" t="str">
        <f t="shared" si="124"/>
        <v>Error?</v>
      </c>
      <c r="E7624" s="2" t="s">
        <v>19</v>
      </c>
    </row>
    <row r="7625" spans="1:5" x14ac:dyDescent="0.2">
      <c r="A7625">
        <f t="shared" si="123"/>
        <v>7564</v>
      </c>
      <c r="B7625" s="1832">
        <f>'Cap Outlay Deprec 26'!I17</f>
        <v>5965.7</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90485.7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4469</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3422</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145100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-44840</v>
      </c>
      <c r="D7820" s="2" t="str">
        <f t="shared" si="128"/>
        <v>Error?</v>
      </c>
    </row>
    <row r="7821" spans="1:5" x14ac:dyDescent="0.2">
      <c r="A7821">
        <v>7760</v>
      </c>
      <c r="B7821" s="1832">
        <f>'ICR Computation 30'!G40</f>
        <v>-44840</v>
      </c>
      <c r="D7821" s="2" t="str">
        <f t="shared" si="128"/>
        <v>Error?</v>
      </c>
    </row>
    <row r="7822" spans="1:5" x14ac:dyDescent="0.2">
      <c r="A7822" s="1">
        <v>7761</v>
      </c>
      <c r="B7822" s="1832">
        <f>'PCTC-OEPP 27-28'!F14</f>
        <v>3558514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133988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118195</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425811</v>
      </c>
      <c r="D7834" s="2" t="str">
        <f t="shared" si="129"/>
        <v>Error?</v>
      </c>
      <c r="E7834" s="4" t="s">
        <v>1998</v>
      </c>
    </row>
    <row r="7835" spans="1:5" x14ac:dyDescent="0.2">
      <c r="A7835">
        <v>7774</v>
      </c>
      <c r="B7835" s="1832">
        <f>'PCTC-OEPP 27-28'!F78</f>
        <v>3132703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17386.519036519036</v>
      </c>
      <c r="D7837" s="2" t="str">
        <f t="shared" si="129"/>
        <v>Error?</v>
      </c>
      <c r="E7837" s="4" t="s">
        <v>1998</v>
      </c>
    </row>
    <row r="7838" spans="1:5" x14ac:dyDescent="0.2">
      <c r="A7838">
        <v>7777</v>
      </c>
      <c r="B7838" s="1832">
        <f>'PCTC-OEPP 27-28'!F96</f>
        <v>261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3887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186810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11420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4470</v>
      </c>
      <c r="D7857" s="2" t="str">
        <f t="shared" si="129"/>
        <v>Error?</v>
      </c>
      <c r="E7857" s="4" t="s">
        <v>1998</v>
      </c>
    </row>
    <row r="7858" spans="1:5" x14ac:dyDescent="0.2">
      <c r="A7858">
        <v>7797</v>
      </c>
      <c r="B7858" s="1832">
        <f>'PCTC-OEPP 27-28'!F126</f>
        <v>145496</v>
      </c>
      <c r="D7858" s="2" t="str">
        <f t="shared" si="129"/>
        <v>Error?</v>
      </c>
      <c r="E7858" s="4" t="s">
        <v>1998</v>
      </c>
    </row>
    <row r="7859" spans="1:5" x14ac:dyDescent="0.2">
      <c r="A7859">
        <v>7798</v>
      </c>
      <c r="B7859" s="1832">
        <f>'PCTC-OEPP 27-28'!F127</f>
        <v>267569</v>
      </c>
      <c r="D7859" s="2" t="str">
        <f t="shared" si="129"/>
        <v>Error?</v>
      </c>
      <c r="E7859" s="4" t="s">
        <v>1998</v>
      </c>
    </row>
    <row r="7860" spans="1:5" x14ac:dyDescent="0.2">
      <c r="A7860">
        <v>7799</v>
      </c>
      <c r="B7860" s="1832">
        <f>'PCTC-OEPP 27-28'!F128</f>
        <v>19552</v>
      </c>
      <c r="D7860" s="2" t="str">
        <f t="shared" si="129"/>
        <v>Error?</v>
      </c>
      <c r="E7860" s="4" t="s">
        <v>1998</v>
      </c>
    </row>
    <row r="7861" spans="1:5" x14ac:dyDescent="0.2">
      <c r="A7861">
        <v>7800</v>
      </c>
      <c r="B7861" s="1832">
        <f>'PCTC-OEPP 27-28'!F129</f>
        <v>81846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14995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13716</v>
      </c>
      <c r="D7874" s="2" t="str">
        <f t="shared" si="129"/>
        <v>Error?</v>
      </c>
      <c r="E7874" s="4" t="s">
        <v>1998</v>
      </c>
    </row>
    <row r="7875" spans="1:5" x14ac:dyDescent="0.2">
      <c r="A7875">
        <v>7814</v>
      </c>
      <c r="B7875" s="1832">
        <f>'PCTC-OEPP 27-28'!F170</f>
        <v>1051</v>
      </c>
      <c r="D7875" s="2" t="str">
        <f t="shared" si="129"/>
        <v>Error?</v>
      </c>
      <c r="E7875" s="4" t="s">
        <v>1998</v>
      </c>
    </row>
    <row r="7876" spans="1:5" x14ac:dyDescent="0.2">
      <c r="A7876">
        <v>7815</v>
      </c>
      <c r="B7876" s="1832">
        <f>'PCTC-OEPP 27-28'!F171</f>
        <v>20721</v>
      </c>
      <c r="D7876" s="2" t="str">
        <f t="shared" si="129"/>
        <v>Error?</v>
      </c>
      <c r="E7876" s="4" t="s">
        <v>1998</v>
      </c>
    </row>
    <row r="7877" spans="1:5" x14ac:dyDescent="0.2">
      <c r="A7877">
        <v>7816</v>
      </c>
      <c r="B7877" s="1832">
        <f>'PCTC-OEPP 27-28'!F175</f>
        <v>777431</v>
      </c>
      <c r="D7877" s="2" t="str">
        <f t="shared" si="129"/>
        <v>Error?</v>
      </c>
      <c r="E7877" s="4" t="s">
        <v>1998</v>
      </c>
    </row>
    <row r="7878" spans="1:5" x14ac:dyDescent="0.2">
      <c r="A7878">
        <v>7817</v>
      </c>
      <c r="B7878" s="1832">
        <f>'PCTC-OEPP 27-28'!F176</f>
        <v>2355272</v>
      </c>
      <c r="D7878" s="2" t="str">
        <f t="shared" si="129"/>
        <v>Error?</v>
      </c>
      <c r="E7878" s="4" t="s">
        <v>1998</v>
      </c>
    </row>
    <row r="7879" spans="1:5" x14ac:dyDescent="0.2">
      <c r="A7879">
        <v>7818</v>
      </c>
      <c r="B7879" s="1832">
        <f>'PCTC-OEPP 27-28'!F178</f>
        <v>2445757.7000000002</v>
      </c>
      <c r="D7879" s="2" t="str">
        <f t="shared" si="129"/>
        <v>Error?</v>
      </c>
      <c r="E7879" s="4" t="s">
        <v>1998</v>
      </c>
    </row>
    <row r="7880" spans="1:5" x14ac:dyDescent="0.2">
      <c r="A7880">
        <v>7819</v>
      </c>
      <c r="B7880" s="1832">
        <f>'PCTC-OEPP 27-28'!F180</f>
        <v>13573.96880896881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Pembroke CCSD 259</v>
      </c>
      <c r="B7" s="2537"/>
      <c r="C7" s="2537"/>
      <c r="D7" s="2538"/>
      <c r="E7" s="2539">
        <f>COVER!A13</f>
        <v>32046259004</v>
      </c>
      <c r="F7" s="2540"/>
      <c r="G7" s="2546">
        <f>COVER!T23</f>
        <v>65.023278000000005</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Jodi K. Gill, CPA</v>
      </c>
      <c r="H9" s="2552"/>
      <c r="I9" s="2552"/>
      <c r="J9" s="2552"/>
      <c r="K9" s="2552"/>
      <c r="L9" s="2553"/>
    </row>
    <row r="10" spans="1:29" ht="13.5" customHeight="1" x14ac:dyDescent="0.2">
      <c r="A10" s="2525" t="str">
        <f>COVER!A38</f>
        <v>Dr. Marcus Alexander</v>
      </c>
      <c r="B10" s="2526"/>
      <c r="C10" s="2526"/>
      <c r="D10" s="2526"/>
      <c r="E10" s="2526"/>
      <c r="F10" s="2527"/>
      <c r="G10" s="2519" t="str">
        <f>COVER!T17</f>
        <v>33 N. Main Street, Ste. #2</v>
      </c>
      <c r="H10" s="2520"/>
      <c r="I10" s="2520"/>
      <c r="J10" s="2520"/>
      <c r="K10" s="2520"/>
      <c r="L10" s="2521"/>
    </row>
    <row r="11" spans="1:29" ht="13.5" customHeight="1" x14ac:dyDescent="0.2">
      <c r="A11" s="963" t="s">
        <v>1502</v>
      </c>
      <c r="B11" s="964"/>
      <c r="C11" s="965"/>
      <c r="D11" s="970"/>
      <c r="E11" s="965"/>
      <c r="F11" s="969"/>
      <c r="G11" s="2519" t="str">
        <f>COVER!T19</f>
        <v>Manteno</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jodi@jodigillcpa.com</v>
      </c>
      <c r="J13" s="2532"/>
      <c r="K13" s="2532"/>
      <c r="L13" s="2533"/>
    </row>
    <row r="14" spans="1:29" ht="13.5" customHeight="1" x14ac:dyDescent="0.2">
      <c r="A14" s="2519" t="str">
        <f>COVER!A19</f>
        <v>4120 S. Wheeler Road</v>
      </c>
      <c r="B14" s="2520"/>
      <c r="C14" s="2520"/>
      <c r="D14" s="2520"/>
      <c r="E14" s="2520"/>
      <c r="F14" s="2521"/>
      <c r="G14" s="974" t="s">
        <v>1175</v>
      </c>
      <c r="H14" s="972"/>
      <c r="I14" s="972"/>
      <c r="J14" s="972"/>
      <c r="K14" s="972"/>
      <c r="L14" s="973"/>
    </row>
    <row r="15" spans="1:29" ht="13.5" customHeight="1" x14ac:dyDescent="0.2">
      <c r="A15" s="2519" t="str">
        <f>COVER!A21</f>
        <v>Hopkins Park</v>
      </c>
      <c r="B15" s="2520"/>
      <c r="C15" s="2520"/>
      <c r="D15" s="2520"/>
      <c r="E15" s="2520"/>
      <c r="F15" s="2521"/>
      <c r="G15" s="2516" t="str">
        <f>COVER!T15</f>
        <v>Jodi K. Gill</v>
      </c>
      <c r="H15" s="2517"/>
      <c r="I15" s="2517"/>
      <c r="J15" s="2517"/>
      <c r="K15" s="2517"/>
      <c r="L15" s="2518"/>
    </row>
    <row r="16" spans="1:29" ht="12.2" customHeight="1" x14ac:dyDescent="0.2">
      <c r="A16" s="2542">
        <f>COVER!A25</f>
        <v>60964</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815-468-8802</v>
      </c>
      <c r="H18" s="2537"/>
      <c r="I18" s="2537"/>
      <c r="J18" s="2537"/>
      <c r="K18" s="2536" t="str">
        <f>COVER!X21</f>
        <v>815-468-8805</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Pembroke CCSD 259</v>
      </c>
      <c r="B1" s="2559"/>
      <c r="C1" s="2559"/>
      <c r="D1" s="2559"/>
    </row>
    <row r="2" spans="1:11" s="991" customFormat="1" ht="12.75" x14ac:dyDescent="0.2">
      <c r="A2" s="2560">
        <f>'Single Audit Cover'!E7</f>
        <v>32046259004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Pembroke CCSD 259</v>
      </c>
      <c r="B1" s="2563"/>
      <c r="C1" s="2563"/>
      <c r="D1" s="2563"/>
      <c r="E1" s="2563"/>
    </row>
    <row r="2" spans="1:5" x14ac:dyDescent="0.2">
      <c r="A2" s="2564">
        <f>'Single Audit Cover'!E7</f>
        <v>32046259004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585308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-1051</v>
      </c>
    </row>
    <row r="19" spans="1:4" ht="13.5" thickBot="1" x14ac:dyDescent="0.25">
      <c r="A19" s="1041" t="s">
        <v>1224</v>
      </c>
      <c r="D19" s="1042">
        <f>SUM(D10:D17)</f>
        <v>584257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584257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584257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Pembroke CCSD 259</v>
      </c>
      <c r="C1" s="2567"/>
      <c r="D1" s="2567"/>
      <c r="E1" s="2567"/>
      <c r="F1" s="2567"/>
      <c r="G1" s="2567"/>
      <c r="H1" s="2567"/>
      <c r="I1" s="2567"/>
      <c r="J1" s="2567"/>
      <c r="K1" s="2567"/>
      <c r="L1" s="2567"/>
      <c r="M1" s="2567"/>
    </row>
    <row r="2" spans="2:14" ht="15" x14ac:dyDescent="0.2">
      <c r="B2" s="2568">
        <f>'Single Audit Cover'!E7</f>
        <v>32046259004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Pembroke CCSD 259</v>
      </c>
      <c r="B1" s="2580"/>
      <c r="C1" s="2580"/>
      <c r="D1" s="2580"/>
      <c r="E1" s="2580"/>
      <c r="F1" s="2580"/>
    </row>
    <row r="2" spans="1:7" ht="13.5" customHeight="1" x14ac:dyDescent="0.2">
      <c r="A2" s="2568">
        <f>'Single Audit Cover'!E7</f>
        <v>32046259004</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2080</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2055</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Pembroke CCSD 259</v>
      </c>
      <c r="C1" s="2595"/>
      <c r="D1" s="2595"/>
      <c r="E1" s="2595"/>
      <c r="F1" s="2595"/>
      <c r="G1" s="2595"/>
      <c r="H1" s="2595"/>
      <c r="I1" s="2595"/>
      <c r="J1" s="1178"/>
    </row>
    <row r="2" spans="2:10" s="295" customFormat="1" ht="12.75" customHeight="1" x14ac:dyDescent="0.2">
      <c r="B2" s="2596">
        <f>'Single Audit Cover'!E7</f>
        <v>32046259004</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Pembroke CCSD 259</v>
      </c>
      <c r="C1" s="2594"/>
      <c r="D1" s="2594"/>
      <c r="E1" s="2594"/>
      <c r="F1" s="2594"/>
      <c r="G1" s="2594"/>
      <c r="H1" s="2594"/>
      <c r="I1" s="2594"/>
      <c r="J1" s="2594"/>
      <c r="K1" s="2594"/>
      <c r="L1" s="1144"/>
      <c r="M1" s="1144"/>
    </row>
    <row r="2" spans="1:13" ht="12" customHeight="1" x14ac:dyDescent="0.2">
      <c r="B2" s="2596">
        <f>'Single Audit Cover'!E7</f>
        <v>32046259004</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Pembroke CCSD 259</v>
      </c>
      <c r="C1" s="2617"/>
      <c r="D1" s="2617"/>
      <c r="E1" s="2617"/>
      <c r="F1" s="2617"/>
      <c r="G1" s="2617"/>
      <c r="H1" s="2617"/>
      <c r="I1" s="2617"/>
      <c r="J1" s="2617"/>
      <c r="K1" s="2617"/>
      <c r="L1" s="1221"/>
    </row>
    <row r="2" spans="1:12" ht="12.75" customHeight="1" x14ac:dyDescent="0.2">
      <c r="B2" s="2618">
        <f>'Single Audit Cover'!E7</f>
        <v>32046259004</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Pembroke CCSD 259</v>
      </c>
      <c r="C1" s="2594"/>
      <c r="D1" s="2594"/>
      <c r="E1" s="1240"/>
    </row>
    <row r="2" spans="2:5" s="1058" customFormat="1" ht="12.75" customHeight="1" x14ac:dyDescent="0.2">
      <c r="B2" s="2596">
        <f>'Single Audit Cover'!E7</f>
        <v>32046259004</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15223233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1.1100000000000001E-3</v>
      </c>
      <c r="E10" s="333" t="s">
        <v>998</v>
      </c>
      <c r="F10" s="332">
        <v>2.5000000000000001E-3</v>
      </c>
      <c r="G10" s="333" t="s">
        <v>998</v>
      </c>
      <c r="H10" s="332">
        <v>1.1999999999999999E-3</v>
      </c>
      <c r="I10" s="333" t="s">
        <v>999</v>
      </c>
      <c r="J10" s="1424">
        <f>ROUND(D10+F10+H10,5)</f>
        <v>4.81E-3</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3686028</v>
      </c>
      <c r="E16" s="1547"/>
      <c r="F16" s="1546">
        <f>SUM('Acct Summary 7-8'!C17,'Acct Summary 7-8'!D17,'Acct Summary 7-8'!F17)</f>
        <v>3356033</v>
      </c>
      <c r="G16" s="1547"/>
      <c r="H16" s="1546">
        <f>SUM(D16-F16)</f>
        <v>329995</v>
      </c>
      <c r="I16" s="1548"/>
      <c r="J16" s="1546">
        <f>SUM('Acct Summary 7-8'!C81,'Acct Summary 7-8'!D81,'Acct Summary 7-8'!F81,'Acct Summary 7-8'!I81)</f>
        <v>921544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1050403.077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115100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40" sqref="F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Pembroke CCSD 259</v>
      </c>
      <c r="E7" s="368"/>
      <c r="G7" s="247"/>
      <c r="H7" s="364"/>
      <c r="I7" s="364"/>
      <c r="J7" s="364"/>
      <c r="K7" s="364"/>
      <c r="L7" s="307"/>
      <c r="M7" s="307"/>
      <c r="N7" s="307"/>
      <c r="O7" s="307"/>
      <c r="P7" s="307"/>
    </row>
    <row r="8" spans="1:18" ht="12.75" x14ac:dyDescent="0.2">
      <c r="A8" s="307"/>
      <c r="B8" s="307"/>
      <c r="C8" s="366" t="s">
        <v>1115</v>
      </c>
      <c r="D8" s="369">
        <f>COVER!A13</f>
        <v>32046259004</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921544</v>
      </c>
      <c r="I12" s="380"/>
      <c r="J12" s="380"/>
      <c r="K12" s="1559">
        <f>TRUNC((H12/H13*100000),5)/100000</f>
        <v>0.25001003789999998</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3686028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3356033</v>
      </c>
      <c r="I17" s="380"/>
      <c r="J17" s="389"/>
      <c r="K17" s="1559">
        <f>TRUNC((H17/H18*100000),5)/100000</f>
        <v>0.91047409289999992</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3686028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721699</v>
      </c>
      <c r="I24" s="394"/>
      <c r="J24" s="394"/>
      <c r="K24" s="1555">
        <f>TRUNC(((H24/H25*100000)/100000),2)</f>
        <v>77.41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9322.3138899999994</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62240.188119999999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115100</v>
      </c>
      <c r="I32" s="392"/>
      <c r="J32" s="392"/>
      <c r="K32" s="1555">
        <f>TRUNC(100-((((H32/H33*100))*100)/100),2)</f>
        <v>89.04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1050403.077</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D4" sqref="D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377579</v>
      </c>
      <c r="D4" s="1573">
        <v>92421</v>
      </c>
      <c r="E4" s="1573">
        <v>3176</v>
      </c>
      <c r="F4" s="1573">
        <v>40533</v>
      </c>
      <c r="G4" s="1573"/>
      <c r="H4" s="1573"/>
      <c r="I4" s="1573">
        <v>8568</v>
      </c>
      <c r="J4" s="1574">
        <v>9993</v>
      </c>
      <c r="K4" s="1573">
        <v>27523</v>
      </c>
      <c r="L4" s="1573"/>
      <c r="M4" s="1575"/>
      <c r="N4" s="1576"/>
    </row>
    <row r="5" spans="1:14" x14ac:dyDescent="0.2">
      <c r="A5" s="427" t="s">
        <v>985</v>
      </c>
      <c r="B5" s="429">
        <v>120</v>
      </c>
      <c r="C5" s="1572">
        <v>202598</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25470</v>
      </c>
      <c r="D7" s="1574"/>
      <c r="E7" s="1574"/>
      <c r="F7" s="1574">
        <v>180555</v>
      </c>
      <c r="G7" s="1574">
        <v>3750</v>
      </c>
      <c r="H7" s="1574"/>
      <c r="I7" s="1574"/>
      <c r="J7" s="1574">
        <v>25908</v>
      </c>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16510</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622157</v>
      </c>
      <c r="D13" s="1587">
        <f t="shared" ref="D13:L13" si="0">SUM(D4:D12)</f>
        <v>92421</v>
      </c>
      <c r="E13" s="1587">
        <f t="shared" si="0"/>
        <v>3176</v>
      </c>
      <c r="F13" s="1587">
        <f t="shared" si="0"/>
        <v>221088</v>
      </c>
      <c r="G13" s="1587">
        <f t="shared" si="0"/>
        <v>3750</v>
      </c>
      <c r="H13" s="1587">
        <f t="shared" si="0"/>
        <v>0</v>
      </c>
      <c r="I13" s="1587">
        <f t="shared" si="0"/>
        <v>8568</v>
      </c>
      <c r="J13" s="1587">
        <f t="shared" si="0"/>
        <v>35901</v>
      </c>
      <c r="K13" s="1587">
        <f t="shared" si="0"/>
        <v>27523</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2453019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2969985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115100</v>
      </c>
    </row>
    <row r="23" spans="1:14" ht="13.5" customHeight="1" thickBot="1" x14ac:dyDescent="0.25">
      <c r="A23" s="1426" t="s">
        <v>638</v>
      </c>
      <c r="B23" s="1429"/>
      <c r="C23" s="1575"/>
      <c r="D23" s="1575"/>
      <c r="E23" s="1575"/>
      <c r="F23" s="1575"/>
      <c r="G23" s="1575"/>
      <c r="H23" s="1575"/>
      <c r="I23" s="1575"/>
      <c r="J23" s="1575"/>
      <c r="K23" s="1575"/>
      <c r="L23" s="1575"/>
      <c r="M23" s="1594">
        <f>SUM(M15:M22)</f>
        <v>5442004</v>
      </c>
      <c r="N23" s="1594">
        <f>SUM(N21:N22)</f>
        <v>115100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v>22690</v>
      </c>
      <c r="E25" s="1583"/>
      <c r="F25" s="1583"/>
      <c r="G25" s="1583"/>
      <c r="H25" s="1584"/>
      <c r="I25" s="1575"/>
      <c r="J25" s="1583"/>
      <c r="K25" s="1583">
        <v>212993</v>
      </c>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22690</v>
      </c>
      <c r="E34" s="1600">
        <f t="shared" si="1"/>
        <v>0</v>
      </c>
      <c r="F34" s="1600">
        <f t="shared" si="1"/>
        <v>0</v>
      </c>
      <c r="G34" s="1600">
        <f t="shared" si="1"/>
        <v>0</v>
      </c>
      <c r="H34" s="1600">
        <f t="shared" si="1"/>
        <v>0</v>
      </c>
      <c r="I34" s="1600">
        <f t="shared" si="1"/>
        <v>0</v>
      </c>
      <c r="J34" s="1600">
        <f t="shared" si="1"/>
        <v>0</v>
      </c>
      <c r="K34" s="1600">
        <f t="shared" si="1"/>
        <v>212993</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115100</v>
      </c>
    </row>
    <row r="37" spans="1:14" ht="13.5" thickBot="1" x14ac:dyDescent="0.25">
      <c r="A37" s="1426" t="s">
        <v>648</v>
      </c>
      <c r="B37" s="1429"/>
      <c r="C37" s="1582"/>
      <c r="D37" s="1582"/>
      <c r="E37" s="1582"/>
      <c r="F37" s="1582"/>
      <c r="G37" s="1582"/>
      <c r="H37" s="1582"/>
      <c r="I37" s="1582"/>
      <c r="J37" s="1582"/>
      <c r="K37" s="1582"/>
      <c r="L37" s="1585"/>
      <c r="M37" s="1575"/>
      <c r="N37" s="1594">
        <f>SUM(N36:N36)</f>
        <v>115100</v>
      </c>
    </row>
    <row r="38" spans="1:14" s="307" customFormat="1" ht="13.5" customHeight="1" thickTop="1" x14ac:dyDescent="0.2">
      <c r="A38" s="438" t="s">
        <v>417</v>
      </c>
      <c r="B38" s="432">
        <v>714</v>
      </c>
      <c r="C38" s="1573"/>
      <c r="D38" s="1573"/>
      <c r="E38" s="1573">
        <v>3176</v>
      </c>
      <c r="F38" s="1573">
        <v>221088</v>
      </c>
      <c r="G38" s="1573">
        <v>3750</v>
      </c>
      <c r="H38" s="1573"/>
      <c r="I38" s="1573">
        <v>8568</v>
      </c>
      <c r="J38" s="1574">
        <v>35901</v>
      </c>
      <c r="K38" s="1573">
        <v>-185470</v>
      </c>
      <c r="L38" s="1586"/>
      <c r="M38" s="1604"/>
      <c r="N38" s="1604"/>
    </row>
    <row r="39" spans="1:14" s="307" customFormat="1" ht="13.5" customHeight="1" x14ac:dyDescent="0.2">
      <c r="A39" s="438" t="s">
        <v>339</v>
      </c>
      <c r="B39" s="432">
        <v>730</v>
      </c>
      <c r="C39" s="1573">
        <v>622157</v>
      </c>
      <c r="D39" s="1573">
        <v>69731</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5442004</v>
      </c>
      <c r="N40" s="1604"/>
    </row>
    <row r="41" spans="1:14" ht="13.5" customHeight="1" thickBot="1" x14ac:dyDescent="0.25">
      <c r="A41" s="1426" t="s">
        <v>650</v>
      </c>
      <c r="B41" s="1405"/>
      <c r="C41" s="1594">
        <f>(SUM(C34,C37,C38,C39))</f>
        <v>622157</v>
      </c>
      <c r="D41" s="1594">
        <f t="shared" ref="D41:L41" si="2">SUM(D34,D37,D38:D39)</f>
        <v>92421</v>
      </c>
      <c r="E41" s="1594">
        <f t="shared" si="2"/>
        <v>3176</v>
      </c>
      <c r="F41" s="1594">
        <f t="shared" si="2"/>
        <v>221088</v>
      </c>
      <c r="G41" s="1594">
        <f t="shared" si="2"/>
        <v>3750</v>
      </c>
      <c r="H41" s="1594">
        <f t="shared" si="2"/>
        <v>0</v>
      </c>
      <c r="I41" s="1594">
        <f t="shared" si="2"/>
        <v>8568</v>
      </c>
      <c r="J41" s="1594">
        <f t="shared" si="2"/>
        <v>35901</v>
      </c>
      <c r="K41" s="1594">
        <f t="shared" si="2"/>
        <v>27523</v>
      </c>
      <c r="L41" s="1594">
        <f t="shared" si="2"/>
        <v>0</v>
      </c>
      <c r="M41" s="1594">
        <f>SUM(M40)</f>
        <v>5442004</v>
      </c>
      <c r="N41" s="1594">
        <f>SUM(N37)</f>
        <v>115100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G17" sqref="G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223117</v>
      </c>
      <c r="D4" s="1606">
        <f>'Revenues 9-14'!D109</f>
        <v>89224</v>
      </c>
      <c r="E4" s="1606">
        <f>'Revenues 9-14'!E109</f>
        <v>40412</v>
      </c>
      <c r="F4" s="1606">
        <f>'Revenues 9-14'!F109</f>
        <v>20529</v>
      </c>
      <c r="G4" s="1606">
        <f>'Revenues 9-14'!G109</f>
        <v>101393</v>
      </c>
      <c r="H4" s="1606">
        <f>'Revenues 9-14'!H109</f>
        <v>0</v>
      </c>
      <c r="I4" s="1606">
        <f>'Revenues 9-14'!I109</f>
        <v>8568</v>
      </c>
      <c r="J4" s="1606">
        <f>'Revenues 9-14'!J109</f>
        <v>56977</v>
      </c>
      <c r="K4" s="1606">
        <f>'Revenues 9-14'!K109</f>
        <v>8568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2010472</v>
      </c>
      <c r="D6" s="1607">
        <f>'Revenues 9-14'!D170</f>
        <v>435000</v>
      </c>
      <c r="E6" s="1607">
        <f>'Revenues 9-14'!E170</f>
        <v>0</v>
      </c>
      <c r="F6" s="1607">
        <f>'Revenues 9-14'!F170</f>
        <v>313810</v>
      </c>
      <c r="G6" s="1607">
        <f>'Revenues 9-14'!G170</f>
        <v>10000</v>
      </c>
      <c r="H6" s="1607">
        <f>'Revenues 9-14'!H170</f>
        <v>0</v>
      </c>
      <c r="I6" s="1607">
        <f>'Revenues 9-14'!I170</f>
        <v>0</v>
      </c>
      <c r="J6" s="1607">
        <f>'Revenues 9-14'!J170</f>
        <v>10000</v>
      </c>
      <c r="K6" s="1607">
        <f>'Revenues 9-14'!K170</f>
        <v>0</v>
      </c>
      <c r="L6" s="325"/>
      <c r="M6" s="448"/>
    </row>
    <row r="7" spans="1:13" ht="15.75" customHeight="1" x14ac:dyDescent="0.2">
      <c r="A7" s="1314" t="s">
        <v>1485</v>
      </c>
      <c r="B7" s="1316">
        <v>4000</v>
      </c>
      <c r="C7" s="1607">
        <f>'Revenues 9-14'!C267</f>
        <v>585308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2818897</v>
      </c>
      <c r="D8" s="1594">
        <f t="shared" ref="D8:K8" si="0">SUM(D4:D7)</f>
        <v>524224</v>
      </c>
      <c r="E8" s="1594">
        <f t="shared" si="0"/>
        <v>40412</v>
      </c>
      <c r="F8" s="1594">
        <f t="shared" si="0"/>
        <v>334339</v>
      </c>
      <c r="G8" s="1594">
        <f t="shared" si="0"/>
        <v>111393</v>
      </c>
      <c r="H8" s="1594">
        <f t="shared" si="0"/>
        <v>0</v>
      </c>
      <c r="I8" s="1594">
        <f t="shared" si="0"/>
        <v>8568</v>
      </c>
      <c r="J8" s="1594">
        <f t="shared" si="0"/>
        <v>66977</v>
      </c>
      <c r="K8" s="1594">
        <f t="shared" si="0"/>
        <v>8568</v>
      </c>
      <c r="L8" s="325"/>
    </row>
    <row r="9" spans="1:13" ht="15.75" thickTop="1" x14ac:dyDescent="0.2">
      <c r="A9" s="449" t="s">
        <v>1634</v>
      </c>
      <c r="B9" s="450">
        <v>3998</v>
      </c>
      <c r="C9" s="1586">
        <v>4901261</v>
      </c>
      <c r="D9" s="1613"/>
      <c r="E9" s="1586"/>
      <c r="F9" s="1586"/>
      <c r="G9" s="1614"/>
      <c r="H9" s="1586"/>
      <c r="I9" s="1609" t="s">
        <v>1159</v>
      </c>
      <c r="J9" s="1583"/>
      <c r="K9" s="1586"/>
      <c r="L9" s="325"/>
    </row>
    <row r="10" spans="1:13" s="452" customFormat="1" ht="13.5" thickBot="1" x14ac:dyDescent="0.25">
      <c r="A10" s="1426" t="s">
        <v>1163</v>
      </c>
      <c r="B10" s="1407"/>
      <c r="C10" s="1594">
        <f>SUM(C8:C9)</f>
        <v>7720158</v>
      </c>
      <c r="D10" s="1594">
        <f t="shared" ref="D10:K10" si="1">SUM(D8:D9)</f>
        <v>524224</v>
      </c>
      <c r="E10" s="1594">
        <f t="shared" si="1"/>
        <v>40412</v>
      </c>
      <c r="F10" s="1594">
        <f t="shared" si="1"/>
        <v>334339</v>
      </c>
      <c r="G10" s="1594">
        <f t="shared" si="1"/>
        <v>111393</v>
      </c>
      <c r="H10" s="1594">
        <f t="shared" si="1"/>
        <v>0</v>
      </c>
      <c r="I10" s="1594">
        <f t="shared" si="1"/>
        <v>8568</v>
      </c>
      <c r="J10" s="1594">
        <f t="shared" si="1"/>
        <v>66977</v>
      </c>
      <c r="K10" s="1594">
        <f t="shared" si="1"/>
        <v>8568</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1434621</v>
      </c>
      <c r="D12" s="1616" t="s">
        <v>1159</v>
      </c>
      <c r="E12" s="1575" t="s">
        <v>1159</v>
      </c>
      <c r="F12" s="1575" t="s">
        <v>1159</v>
      </c>
      <c r="G12" s="1606">
        <f>'Expenditures 15-22'!K229</f>
        <v>22378</v>
      </c>
      <c r="H12" s="1617"/>
      <c r="I12" s="1575" t="s">
        <v>1159</v>
      </c>
      <c r="J12" s="1575" t="s">
        <v>1159</v>
      </c>
      <c r="K12" s="1617" t="s">
        <v>1159</v>
      </c>
      <c r="L12" s="325"/>
    </row>
    <row r="13" spans="1:13" ht="15.75" customHeight="1" x14ac:dyDescent="0.2">
      <c r="A13" s="1314" t="s">
        <v>454</v>
      </c>
      <c r="B13" s="1316">
        <v>2000</v>
      </c>
      <c r="C13" s="1607">
        <f>'Expenditures 15-22'!K74</f>
        <v>1009010</v>
      </c>
      <c r="D13" s="1607">
        <f>'Expenditures 15-22'!K129</f>
        <v>480599</v>
      </c>
      <c r="E13" s="1576" t="s">
        <v>1159</v>
      </c>
      <c r="F13" s="1607">
        <f>'Expenditures 15-22'!K184</f>
        <v>239098</v>
      </c>
      <c r="G13" s="1607">
        <f>'Expenditures 15-22'!K279</f>
        <v>73250</v>
      </c>
      <c r="H13" s="1607">
        <f>'Expenditures 15-22'!K303</f>
        <v>0</v>
      </c>
      <c r="I13" s="1575" t="s">
        <v>1159</v>
      </c>
      <c r="J13" s="1607">
        <f>'Expenditures 15-22'!K330</f>
        <v>61838</v>
      </c>
      <c r="K13" s="1618">
        <f>'Expenditures 15-22'!K352</f>
        <v>0</v>
      </c>
      <c r="L13" s="325"/>
    </row>
    <row r="14" spans="1:13" ht="15.75" customHeight="1" x14ac:dyDescent="0.2">
      <c r="A14" s="1314" t="s">
        <v>446</v>
      </c>
      <c r="B14" s="1316">
        <v>3000</v>
      </c>
      <c r="C14" s="1607">
        <f>'Expenditures 15-22'!K75</f>
        <v>121305</v>
      </c>
      <c r="D14" s="1607">
        <f>'Expenditures 15-22'!K130</f>
        <v>0</v>
      </c>
      <c r="E14" s="1616" t="s">
        <v>1159</v>
      </c>
      <c r="F14" s="1607">
        <f>'Expenditures 15-22'!K185</f>
        <v>0</v>
      </c>
      <c r="G14" s="1607">
        <f>'Expenditures 15-22'!K280</f>
        <v>7779</v>
      </c>
      <c r="H14" s="1612"/>
      <c r="I14" s="1575" t="s">
        <v>1159</v>
      </c>
      <c r="J14" s="1575" t="s">
        <v>1159</v>
      </c>
      <c r="K14" s="1612" t="s">
        <v>1159</v>
      </c>
      <c r="L14" s="325"/>
    </row>
    <row r="15" spans="1:13" ht="15.75" customHeight="1" x14ac:dyDescent="0.2">
      <c r="A15" s="1314" t="s">
        <v>107</v>
      </c>
      <c r="B15" s="1316">
        <v>4000</v>
      </c>
      <c r="C15" s="1607">
        <f>'Expenditures 15-22'!K102</f>
        <v>71400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37236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2636336</v>
      </c>
      <c r="D17" s="1594">
        <f t="shared" si="2"/>
        <v>480599</v>
      </c>
      <c r="E17" s="1594">
        <f t="shared" si="2"/>
        <v>37236</v>
      </c>
      <c r="F17" s="1594">
        <f t="shared" si="2"/>
        <v>239098</v>
      </c>
      <c r="G17" s="1594">
        <f t="shared" si="2"/>
        <v>103407</v>
      </c>
      <c r="H17" s="1594">
        <f t="shared" si="2"/>
        <v>0</v>
      </c>
      <c r="I17" s="1575"/>
      <c r="J17" s="1594">
        <f>SUM(J12:J16)</f>
        <v>61838</v>
      </c>
      <c r="K17" s="1594">
        <f>SUM(K12:K16)</f>
        <v>0</v>
      </c>
      <c r="L17" s="325"/>
    </row>
    <row r="18" spans="1:12" ht="15" customHeight="1" thickTop="1" x14ac:dyDescent="0.2">
      <c r="A18" s="1430" t="s">
        <v>1635</v>
      </c>
      <c r="B18" s="1431">
        <v>4180</v>
      </c>
      <c r="C18" s="1606">
        <f t="shared" ref="C18:H18" si="3">C9</f>
        <v>4901261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7537597</v>
      </c>
      <c r="D19" s="1594">
        <f t="shared" si="4"/>
        <v>480599</v>
      </c>
      <c r="E19" s="1594">
        <f t="shared" si="4"/>
        <v>37236</v>
      </c>
      <c r="F19" s="1594">
        <f t="shared" si="4"/>
        <v>239098</v>
      </c>
      <c r="G19" s="1594">
        <f t="shared" si="4"/>
        <v>103407</v>
      </c>
      <c r="H19" s="1594">
        <f t="shared" si="4"/>
        <v>0</v>
      </c>
      <c r="I19" s="1575"/>
      <c r="J19" s="1594">
        <f>SUM(J17:J18)</f>
        <v>61838</v>
      </c>
      <c r="K19" s="1594">
        <f>SUM(K17:K18)</f>
        <v>0</v>
      </c>
      <c r="L19" s="325"/>
    </row>
    <row r="20" spans="1:12" ht="16.5" thickTop="1" thickBot="1" x14ac:dyDescent="0.25">
      <c r="A20" s="2232" t="s">
        <v>1636</v>
      </c>
      <c r="B20" s="2233"/>
      <c r="C20" s="1622">
        <f>C8-C17</f>
        <v>182561</v>
      </c>
      <c r="D20" s="1622">
        <f t="shared" ref="D20:K20" si="5">D8-D17</f>
        <v>43625</v>
      </c>
      <c r="E20" s="1622">
        <f t="shared" si="5"/>
        <v>3176</v>
      </c>
      <c r="F20" s="1622">
        <f t="shared" si="5"/>
        <v>95241</v>
      </c>
      <c r="G20" s="1622">
        <f t="shared" si="5"/>
        <v>7986</v>
      </c>
      <c r="H20" s="1622">
        <f t="shared" si="5"/>
        <v>0</v>
      </c>
      <c r="I20" s="1622">
        <f t="shared" si="5"/>
        <v>8568</v>
      </c>
      <c r="J20" s="1622">
        <f t="shared" si="5"/>
        <v>5139</v>
      </c>
      <c r="K20" s="1622">
        <f t="shared" si="5"/>
        <v>8568</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182561</v>
      </c>
      <c r="D78" s="1629">
        <f t="shared" si="9"/>
        <v>43625</v>
      </c>
      <c r="E78" s="1629">
        <f t="shared" si="9"/>
        <v>3176</v>
      </c>
      <c r="F78" s="1629">
        <f t="shared" si="9"/>
        <v>95241</v>
      </c>
      <c r="G78" s="1629">
        <f t="shared" si="9"/>
        <v>7986</v>
      </c>
      <c r="H78" s="1629">
        <f t="shared" si="9"/>
        <v>0</v>
      </c>
      <c r="I78" s="1629">
        <f t="shared" si="9"/>
        <v>8568</v>
      </c>
      <c r="J78" s="1629">
        <f t="shared" si="9"/>
        <v>5139</v>
      </c>
      <c r="K78" s="1629">
        <f t="shared" si="9"/>
        <v>8568</v>
      </c>
      <c r="L78" s="457"/>
    </row>
    <row r="79" spans="1:12" ht="13.5" thickTop="1" x14ac:dyDescent="0.2">
      <c r="A79" s="1844" t="str">
        <f>"Fund Balances - July 1, "&amp;'AFR20'!E2-1</f>
        <v>Fund Balances - July 1, 2019</v>
      </c>
      <c r="B79" s="458"/>
      <c r="C79" s="1583">
        <v>439596</v>
      </c>
      <c r="D79" s="1630">
        <v>26106</v>
      </c>
      <c r="E79" s="1630"/>
      <c r="F79" s="1630">
        <v>125847</v>
      </c>
      <c r="G79" s="1630">
        <v>-4236</v>
      </c>
      <c r="H79" s="1630"/>
      <c r="I79" s="1630"/>
      <c r="J79" s="1630">
        <v>30762</v>
      </c>
      <c r="K79" s="1630">
        <v>-194038</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622157</v>
      </c>
      <c r="D81" s="1594">
        <f>SUM(D78:D80)</f>
        <v>69731</v>
      </c>
      <c r="E81" s="1594">
        <f t="shared" ref="E81:K81" si="10">SUM(E78:E80)</f>
        <v>3176</v>
      </c>
      <c r="F81" s="1594">
        <f t="shared" si="10"/>
        <v>221088</v>
      </c>
      <c r="G81" s="1594">
        <f t="shared" si="10"/>
        <v>3750</v>
      </c>
      <c r="H81" s="1594">
        <f t="shared" si="10"/>
        <v>0</v>
      </c>
      <c r="I81" s="1594">
        <f t="shared" si="10"/>
        <v>8568</v>
      </c>
      <c r="J81" s="1594">
        <f t="shared" si="10"/>
        <v>35901</v>
      </c>
      <c r="K81" s="1594">
        <f t="shared" si="10"/>
        <v>-185470</v>
      </c>
      <c r="L81" s="325"/>
    </row>
    <row r="82" spans="1:12" ht="0.75" customHeight="1" thickTop="1" thickBot="1" x14ac:dyDescent="0.25">
      <c r="A82" s="459" t="s">
        <v>340</v>
      </c>
      <c r="B82" s="460"/>
      <c r="C82" s="461">
        <f>(C81-C79)</f>
        <v>182561</v>
      </c>
      <c r="D82" s="461">
        <f t="shared" ref="D82:K82" si="11">(D81-D79)</f>
        <v>43625</v>
      </c>
      <c r="E82" s="461">
        <f t="shared" si="11"/>
        <v>3176</v>
      </c>
      <c r="F82" s="461">
        <f t="shared" si="11"/>
        <v>95241</v>
      </c>
      <c r="G82" s="461">
        <f t="shared" si="11"/>
        <v>7986</v>
      </c>
      <c r="H82" s="461">
        <f t="shared" si="11"/>
        <v>0</v>
      </c>
      <c r="I82" s="461">
        <f t="shared" si="11"/>
        <v>8568</v>
      </c>
      <c r="J82" s="461">
        <f t="shared" si="11"/>
        <v>5139</v>
      </c>
      <c r="K82" s="461">
        <f t="shared" si="11"/>
        <v>8568</v>
      </c>
    </row>
    <row r="83" spans="1:12" ht="14.25" hidden="1" thickTop="1" thickBot="1" x14ac:dyDescent="0.25">
      <c r="A83" s="462" t="s">
        <v>341</v>
      </c>
      <c r="B83" s="428"/>
      <c r="C83" s="463">
        <f>C82/C81</f>
        <v>0.29343236514256049</v>
      </c>
      <c r="D83" s="463">
        <f t="shared" ref="D83:K83" si="12">D82/D81</f>
        <v>0.62561844803602418</v>
      </c>
      <c r="E83" s="463">
        <f t="shared" si="12"/>
        <v>1</v>
      </c>
      <c r="F83" s="463">
        <f t="shared" si="12"/>
        <v>0.43078321754233606</v>
      </c>
      <c r="G83" s="463">
        <f t="shared" si="12"/>
        <v>2.1295999999999999</v>
      </c>
      <c r="H83" s="463" t="e">
        <f t="shared" si="12"/>
        <v>#DIV/0!</v>
      </c>
      <c r="I83" s="463">
        <f t="shared" si="12"/>
        <v>1</v>
      </c>
      <c r="J83" s="463">
        <f t="shared" si="12"/>
        <v>0.14314364502381549</v>
      </c>
      <c r="K83" s="463">
        <f t="shared" si="12"/>
        <v>-4.6196150320806602E-2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N368"/>
  <sheetViews>
    <sheetView showGridLines="0" defaultGridColor="0" colorId="8" zoomScale="110" zoomScaleNormal="110" workbookViewId="0">
      <pane ySplit="2" topLeftCell="A60" activePane="bottomLeft" state="frozen"/>
      <selection pane="bottomLeft" activeCell="N58" sqref="N5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6" t="s">
        <v>294</v>
      </c>
      <c r="B3" s="225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685212</v>
      </c>
      <c r="D5" s="1573">
        <v>121057</v>
      </c>
      <c r="E5" s="1573">
        <v>63632</v>
      </c>
      <c r="F5" s="1573">
        <v>32516</v>
      </c>
      <c r="G5" s="1573"/>
      <c r="H5" s="1573"/>
      <c r="I5" s="1574">
        <v>49398</v>
      </c>
      <c r="J5" s="1574"/>
      <c r="K5" s="1672">
        <f>SUM(C5:J5)</f>
        <v>951815</v>
      </c>
      <c r="L5" s="1573">
        <v>980000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95605</v>
      </c>
      <c r="D7" s="1574">
        <v>35081</v>
      </c>
      <c r="E7" s="1574"/>
      <c r="F7" s="1574">
        <v>3302</v>
      </c>
      <c r="G7" s="1574"/>
      <c r="H7" s="1574"/>
      <c r="I7" s="1574">
        <v>1749</v>
      </c>
      <c r="J7" s="1574"/>
      <c r="K7" s="1672">
        <f t="shared" ref="K7:K32" si="0">SUM(C7:J7)</f>
        <v>135737</v>
      </c>
      <c r="L7" s="1573">
        <v>177324</v>
      </c>
    </row>
    <row r="8" spans="1:14" x14ac:dyDescent="0.2">
      <c r="A8" s="1274" t="s">
        <v>163</v>
      </c>
      <c r="B8" s="503">
        <v>1200</v>
      </c>
      <c r="C8" s="1573">
        <v>92964</v>
      </c>
      <c r="D8" s="1573">
        <v>19419</v>
      </c>
      <c r="E8" s="1573">
        <v>118850</v>
      </c>
      <c r="F8" s="1573">
        <v>921</v>
      </c>
      <c r="G8" s="1573"/>
      <c r="H8" s="1573"/>
      <c r="I8" s="1574"/>
      <c r="J8" s="1574"/>
      <c r="K8" s="1672">
        <f t="shared" si="0"/>
        <v>232154</v>
      </c>
      <c r="L8" s="1573">
        <v>321439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82024</v>
      </c>
      <c r="D10" s="1573">
        <v>7454</v>
      </c>
      <c r="E10" s="1573"/>
      <c r="F10" s="1573"/>
      <c r="G10" s="1573"/>
      <c r="H10" s="1573"/>
      <c r="I10" s="1574"/>
      <c r="J10" s="1574"/>
      <c r="K10" s="1672">
        <f t="shared" si="0"/>
        <v>89478</v>
      </c>
      <c r="L10" s="1573">
        <v>73625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19187</v>
      </c>
      <c r="D14" s="1573">
        <v>2119</v>
      </c>
      <c r="E14" s="1573">
        <v>860</v>
      </c>
      <c r="F14" s="1573">
        <v>3271</v>
      </c>
      <c r="G14" s="1573"/>
      <c r="H14" s="1573"/>
      <c r="I14" s="1574"/>
      <c r="J14" s="1574"/>
      <c r="K14" s="1672">
        <f t="shared" si="0"/>
        <v>25437</v>
      </c>
      <c r="L14" s="1573">
        <v>29600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974992</v>
      </c>
      <c r="D33" s="1674">
        <f t="shared" ref="D33:L33" si="1">SUM(D5:D32)</f>
        <v>185130</v>
      </c>
      <c r="E33" s="1674">
        <f t="shared" si="1"/>
        <v>183342</v>
      </c>
      <c r="F33" s="1674">
        <f t="shared" si="1"/>
        <v>40010</v>
      </c>
      <c r="G33" s="1674">
        <f t="shared" si="1"/>
        <v>0</v>
      </c>
      <c r="H33" s="1674">
        <f t="shared" si="1"/>
        <v>0</v>
      </c>
      <c r="I33" s="1674">
        <f t="shared" si="1"/>
        <v>51147</v>
      </c>
      <c r="J33" s="1674">
        <f t="shared" si="1"/>
        <v>0</v>
      </c>
      <c r="K33" s="1674">
        <f t="shared" si="1"/>
        <v>1434621</v>
      </c>
      <c r="L33" s="1674">
        <f t="shared" si="1"/>
        <v>1581988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51959</v>
      </c>
      <c r="D36" s="1586">
        <v>9807</v>
      </c>
      <c r="E36" s="1586">
        <v>4800</v>
      </c>
      <c r="F36" s="1586">
        <v>65</v>
      </c>
      <c r="G36" s="1586"/>
      <c r="H36" s="1586"/>
      <c r="I36" s="1574"/>
      <c r="J36" s="1574"/>
      <c r="K36" s="1672">
        <f t="shared" ref="K36:K41" si="2">SUM(C36:J36)</f>
        <v>66631</v>
      </c>
      <c r="L36" s="1573">
        <v>72600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22041</v>
      </c>
      <c r="D38" s="1573">
        <v>161</v>
      </c>
      <c r="E38" s="1573"/>
      <c r="F38" s="1573">
        <v>40</v>
      </c>
      <c r="G38" s="1573"/>
      <c r="H38" s="1573"/>
      <c r="I38" s="1574"/>
      <c r="J38" s="1574"/>
      <c r="K38" s="1672">
        <f t="shared" si="2"/>
        <v>22242</v>
      </c>
      <c r="L38" s="1573">
        <v>29421</v>
      </c>
    </row>
    <row r="39" spans="1:14" x14ac:dyDescent="0.2">
      <c r="A39" s="1274" t="s">
        <v>197</v>
      </c>
      <c r="B39" s="503">
        <v>2140</v>
      </c>
      <c r="C39" s="1573"/>
      <c r="D39" s="1573"/>
      <c r="E39" s="1573">
        <v>5000</v>
      </c>
      <c r="F39" s="1573"/>
      <c r="G39" s="1573"/>
      <c r="H39" s="1573"/>
      <c r="I39" s="1574"/>
      <c r="J39" s="1574"/>
      <c r="K39" s="1672">
        <f t="shared" si="2"/>
        <v>5000</v>
      </c>
      <c r="L39" s="1573">
        <v>5000</v>
      </c>
    </row>
    <row r="40" spans="1:14" x14ac:dyDescent="0.2">
      <c r="A40" s="1274" t="s">
        <v>198</v>
      </c>
      <c r="B40" s="503">
        <v>2150</v>
      </c>
      <c r="C40" s="1573"/>
      <c r="D40" s="1573"/>
      <c r="E40" s="1573">
        <v>5256</v>
      </c>
      <c r="F40" s="1573"/>
      <c r="G40" s="1573"/>
      <c r="H40" s="1573"/>
      <c r="I40" s="1574"/>
      <c r="J40" s="1574"/>
      <c r="K40" s="1672">
        <f t="shared" si="2"/>
        <v>5256</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74000</v>
      </c>
      <c r="D42" s="1674">
        <f t="shared" ref="D42:L42" si="3">SUM(D36:D41)</f>
        <v>9968</v>
      </c>
      <c r="E42" s="1674">
        <f t="shared" si="3"/>
        <v>15056</v>
      </c>
      <c r="F42" s="1674">
        <f t="shared" si="3"/>
        <v>105</v>
      </c>
      <c r="G42" s="1674">
        <f t="shared" si="3"/>
        <v>0</v>
      </c>
      <c r="H42" s="1674">
        <f t="shared" si="3"/>
        <v>0</v>
      </c>
      <c r="I42" s="1674">
        <f t="shared" si="3"/>
        <v>0</v>
      </c>
      <c r="J42" s="1674">
        <f t="shared" si="3"/>
        <v>0</v>
      </c>
      <c r="K42" s="1674">
        <f t="shared" si="3"/>
        <v>99129</v>
      </c>
      <c r="L42" s="1674">
        <f t="shared" si="3"/>
        <v>107021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360</v>
      </c>
      <c r="D44" s="1586">
        <v>12</v>
      </c>
      <c r="E44" s="1586">
        <v>46789</v>
      </c>
      <c r="F44" s="1586">
        <v>1380</v>
      </c>
      <c r="G44" s="1586"/>
      <c r="H44" s="1586"/>
      <c r="I44" s="1574"/>
      <c r="J44" s="1574"/>
      <c r="K44" s="1678">
        <f>SUM(C44:J44)</f>
        <v>48541</v>
      </c>
      <c r="L44" s="1586">
        <v>65420</v>
      </c>
    </row>
    <row r="45" spans="1:14" x14ac:dyDescent="0.2">
      <c r="A45" s="1274" t="s">
        <v>810</v>
      </c>
      <c r="B45" s="503">
        <v>2220</v>
      </c>
      <c r="C45" s="1573"/>
      <c r="D45" s="1573"/>
      <c r="E45" s="1573">
        <v>1803</v>
      </c>
      <c r="F45" s="1573">
        <v>12008</v>
      </c>
      <c r="G45" s="1573"/>
      <c r="H45" s="1573"/>
      <c r="I45" s="1574">
        <v>5400</v>
      </c>
      <c r="J45" s="1574"/>
      <c r="K45" s="1678">
        <f>SUM(C45:J45)</f>
        <v>19211</v>
      </c>
      <c r="L45" s="1573">
        <v>1803</v>
      </c>
    </row>
    <row r="46" spans="1:14" x14ac:dyDescent="0.2">
      <c r="A46" s="1274" t="s">
        <v>811</v>
      </c>
      <c r="B46" s="503">
        <v>2230</v>
      </c>
      <c r="C46" s="1573"/>
      <c r="D46" s="1573"/>
      <c r="E46" s="1573">
        <v>2580</v>
      </c>
      <c r="F46" s="1573"/>
      <c r="G46" s="1573"/>
      <c r="H46" s="1573"/>
      <c r="I46" s="1574"/>
      <c r="J46" s="1574"/>
      <c r="K46" s="1678">
        <f>SUM(C46:J46)</f>
        <v>2580</v>
      </c>
      <c r="L46" s="1573">
        <v>2580</v>
      </c>
    </row>
    <row r="47" spans="1:14" ht="12.75" customHeight="1" thickBot="1" x14ac:dyDescent="0.25">
      <c r="A47" s="1380" t="s">
        <v>557</v>
      </c>
      <c r="B47" s="1381" t="s">
        <v>32</v>
      </c>
      <c r="C47" s="1674">
        <f>SUM(C44:C46)</f>
        <v>360</v>
      </c>
      <c r="D47" s="1674">
        <f t="shared" ref="D47:K47" si="4">SUM(D44:D46)</f>
        <v>12</v>
      </c>
      <c r="E47" s="1674">
        <f t="shared" si="4"/>
        <v>51172</v>
      </c>
      <c r="F47" s="1674">
        <f t="shared" si="4"/>
        <v>13388</v>
      </c>
      <c r="G47" s="1674">
        <f t="shared" si="4"/>
        <v>0</v>
      </c>
      <c r="H47" s="1674">
        <f t="shared" si="4"/>
        <v>0</v>
      </c>
      <c r="I47" s="1674">
        <f t="shared" si="4"/>
        <v>5400</v>
      </c>
      <c r="J47" s="1674">
        <f t="shared" si="4"/>
        <v>0</v>
      </c>
      <c r="K47" s="1674">
        <f t="shared" si="4"/>
        <v>70332</v>
      </c>
      <c r="L47" s="1674">
        <f>SUM(L44:L46)</f>
        <v>69803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39130</v>
      </c>
      <c r="F49" s="1586">
        <v>1421</v>
      </c>
      <c r="G49" s="1586"/>
      <c r="H49" s="1586"/>
      <c r="I49" s="1574"/>
      <c r="J49" s="1574"/>
      <c r="K49" s="1678">
        <f>SUM(C49:J49)</f>
        <v>40551</v>
      </c>
      <c r="L49" s="1586">
        <v>41500</v>
      </c>
    </row>
    <row r="50" spans="1:14" x14ac:dyDescent="0.2">
      <c r="A50" s="1274" t="s">
        <v>813</v>
      </c>
      <c r="B50" s="503">
        <v>2320</v>
      </c>
      <c r="C50" s="1573">
        <v>171331</v>
      </c>
      <c r="D50" s="1573">
        <v>25732</v>
      </c>
      <c r="E50" s="1573">
        <v>19583</v>
      </c>
      <c r="F50" s="1573">
        <v>3335</v>
      </c>
      <c r="G50" s="1573"/>
      <c r="H50" s="1573"/>
      <c r="I50" s="1574"/>
      <c r="J50" s="1574"/>
      <c r="K50" s="1678">
        <f>SUM(C50:J50)</f>
        <v>219981</v>
      </c>
      <c r="L50" s="1573">
        <v>287246</v>
      </c>
    </row>
    <row r="51" spans="1:14" x14ac:dyDescent="0.2">
      <c r="A51" s="1274" t="s">
        <v>42</v>
      </c>
      <c r="B51" s="503">
        <v>2330</v>
      </c>
      <c r="C51" s="1573">
        <v>73428</v>
      </c>
      <c r="D51" s="1573">
        <v>11028</v>
      </c>
      <c r="E51" s="1573"/>
      <c r="F51" s="1573"/>
      <c r="G51" s="1573"/>
      <c r="H51" s="1573"/>
      <c r="I51" s="1574"/>
      <c r="J51" s="1574"/>
      <c r="K51" s="1678">
        <f>SUM(C51:J51)</f>
        <v>84456</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244759</v>
      </c>
      <c r="D53" s="1674">
        <f t="shared" ref="D53:L53" si="5">SUM(D49:D52)</f>
        <v>36760</v>
      </c>
      <c r="E53" s="1674">
        <f t="shared" si="5"/>
        <v>58713</v>
      </c>
      <c r="F53" s="1674">
        <f t="shared" si="5"/>
        <v>4756</v>
      </c>
      <c r="G53" s="1674">
        <f t="shared" si="5"/>
        <v>0</v>
      </c>
      <c r="H53" s="1674">
        <f t="shared" si="5"/>
        <v>0</v>
      </c>
      <c r="I53" s="1674">
        <f t="shared" si="5"/>
        <v>0</v>
      </c>
      <c r="J53" s="1674">
        <f t="shared" si="5"/>
        <v>0</v>
      </c>
      <c r="K53" s="1674">
        <f t="shared" si="5"/>
        <v>344988</v>
      </c>
      <c r="L53" s="1674">
        <f t="shared" si="5"/>
        <v>328746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172107</v>
      </c>
      <c r="D55" s="1586">
        <v>39576</v>
      </c>
      <c r="E55" s="1586">
        <v>2633</v>
      </c>
      <c r="F55" s="1586">
        <v>4958</v>
      </c>
      <c r="G55" s="1586"/>
      <c r="H55" s="1586"/>
      <c r="I55" s="1574"/>
      <c r="J55" s="1574"/>
      <c r="K55" s="1678">
        <f>SUM(C55:J55)</f>
        <v>219274</v>
      </c>
      <c r="L55" s="1586">
        <v>198727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172107</v>
      </c>
      <c r="D57" s="1679">
        <f t="shared" ref="D57:K57" si="6">SUM(D55:D56)</f>
        <v>39576</v>
      </c>
      <c r="E57" s="1679">
        <f t="shared" si="6"/>
        <v>2633</v>
      </c>
      <c r="F57" s="1679">
        <f t="shared" si="6"/>
        <v>4958</v>
      </c>
      <c r="G57" s="1679">
        <f t="shared" si="6"/>
        <v>0</v>
      </c>
      <c r="H57" s="1679">
        <f t="shared" si="6"/>
        <v>0</v>
      </c>
      <c r="I57" s="1679">
        <f t="shared" si="6"/>
        <v>0</v>
      </c>
      <c r="J57" s="1679">
        <f t="shared" si="6"/>
        <v>0</v>
      </c>
      <c r="K57" s="1679">
        <f t="shared" si="6"/>
        <v>219274</v>
      </c>
      <c r="L57" s="1674">
        <f>SUM(L55:L56)</f>
        <v>198727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v>12180</v>
      </c>
      <c r="F61" s="1573"/>
      <c r="G61" s="1573"/>
      <c r="H61" s="1573"/>
      <c r="I61" s="1574"/>
      <c r="J61" s="1574"/>
      <c r="K61" s="1678">
        <f t="shared" si="7"/>
        <v>12180</v>
      </c>
      <c r="L61" s="1573">
        <v>16240</v>
      </c>
      <c r="M61" s="501"/>
      <c r="N61" s="501"/>
    </row>
    <row r="62" spans="1:14" s="321" customFormat="1" x14ac:dyDescent="0.2">
      <c r="A62" s="1274" t="s">
        <v>947</v>
      </c>
      <c r="B62" s="503">
        <v>2550</v>
      </c>
      <c r="C62" s="1573"/>
      <c r="D62" s="1573"/>
      <c r="E62" s="1573">
        <v>27907</v>
      </c>
      <c r="F62" s="1573"/>
      <c r="G62" s="1573"/>
      <c r="H62" s="1573"/>
      <c r="I62" s="1574"/>
      <c r="J62" s="1574"/>
      <c r="K62" s="1678">
        <f t="shared" si="7"/>
        <v>27907</v>
      </c>
      <c r="L62" s="1573">
        <v>31000</v>
      </c>
      <c r="M62" s="501"/>
      <c r="N62" s="501"/>
    </row>
    <row r="63" spans="1:14" s="501" customFormat="1" x14ac:dyDescent="0.2">
      <c r="A63" s="1274" t="s">
        <v>100</v>
      </c>
      <c r="B63" s="503">
        <v>2560</v>
      </c>
      <c r="C63" s="1573">
        <v>60712</v>
      </c>
      <c r="D63" s="1573">
        <v>1722</v>
      </c>
      <c r="E63" s="1573">
        <v>4301</v>
      </c>
      <c r="F63" s="1573">
        <v>83970</v>
      </c>
      <c r="G63" s="1573"/>
      <c r="H63" s="1573"/>
      <c r="I63" s="1574"/>
      <c r="J63" s="1574"/>
      <c r="K63" s="1678">
        <f t="shared" si="7"/>
        <v>150705</v>
      </c>
      <c r="L63" s="1573">
        <v>143111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60712</v>
      </c>
      <c r="D65" s="1674">
        <f t="shared" ref="D65:L65" si="8">SUM(D59:D64)</f>
        <v>1722</v>
      </c>
      <c r="E65" s="1674">
        <f t="shared" si="8"/>
        <v>44388</v>
      </c>
      <c r="F65" s="1674">
        <f t="shared" si="8"/>
        <v>83970</v>
      </c>
      <c r="G65" s="1674">
        <f t="shared" si="8"/>
        <v>0</v>
      </c>
      <c r="H65" s="1674">
        <f t="shared" si="8"/>
        <v>0</v>
      </c>
      <c r="I65" s="1674">
        <f t="shared" si="8"/>
        <v>0</v>
      </c>
      <c r="J65" s="1674">
        <f t="shared" si="8"/>
        <v>0</v>
      </c>
      <c r="K65" s="1674">
        <f t="shared" si="8"/>
        <v>190792</v>
      </c>
      <c r="L65" s="1674">
        <f t="shared" si="8"/>
        <v>190351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v>17370</v>
      </c>
      <c r="F67" s="1573">
        <v>48</v>
      </c>
      <c r="G67" s="1573"/>
      <c r="H67" s="1573"/>
      <c r="I67" s="1574"/>
      <c r="J67" s="1574"/>
      <c r="K67" s="1678">
        <f>SUM(C67:J67)</f>
        <v>17418</v>
      </c>
      <c r="L67" s="1586">
        <v>26000</v>
      </c>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62917</v>
      </c>
      <c r="F69" s="1573">
        <v>2007</v>
      </c>
      <c r="G69" s="1573"/>
      <c r="H69" s="1573"/>
      <c r="I69" s="1574"/>
      <c r="J69" s="1574"/>
      <c r="K69" s="1678">
        <f>SUM(C69:J69)</f>
        <v>64924</v>
      </c>
      <c r="L69" s="1573">
        <v>66000</v>
      </c>
      <c r="M69" s="501"/>
      <c r="N69" s="501"/>
    </row>
    <row r="70" spans="1:14" s="321" customFormat="1" x14ac:dyDescent="0.2">
      <c r="A70" s="1274" t="s">
        <v>400</v>
      </c>
      <c r="B70" s="503">
        <v>2640</v>
      </c>
      <c r="C70" s="1573"/>
      <c r="D70" s="1573"/>
      <c r="E70" s="1573">
        <v>250</v>
      </c>
      <c r="F70" s="1573">
        <v>1348</v>
      </c>
      <c r="G70" s="1573"/>
      <c r="H70" s="1573"/>
      <c r="I70" s="1574"/>
      <c r="J70" s="1574"/>
      <c r="K70" s="1678">
        <f>SUM(C70:J70)</f>
        <v>1598</v>
      </c>
      <c r="L70" s="1573">
        <v>5537</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80537</v>
      </c>
      <c r="F72" s="1674">
        <f t="shared" si="9"/>
        <v>3403</v>
      </c>
      <c r="G72" s="1674">
        <f t="shared" si="9"/>
        <v>0</v>
      </c>
      <c r="H72" s="1674">
        <f t="shared" si="9"/>
        <v>0</v>
      </c>
      <c r="I72" s="1674">
        <f t="shared" si="9"/>
        <v>0</v>
      </c>
      <c r="J72" s="1674">
        <f t="shared" si="9"/>
        <v>0</v>
      </c>
      <c r="K72" s="1674">
        <f t="shared" si="9"/>
        <v>83940</v>
      </c>
      <c r="L72" s="1674">
        <f>SUM(L67:L71)</f>
        <v>97537</v>
      </c>
      <c r="M72" s="501"/>
      <c r="N72" s="501"/>
    </row>
    <row r="73" spans="1:14" s="321" customFormat="1" ht="14.25" thickTop="1" thickBot="1" x14ac:dyDescent="0.25">
      <c r="A73" s="1280" t="s">
        <v>973</v>
      </c>
      <c r="B73" s="515" t="s">
        <v>570</v>
      </c>
      <c r="C73" s="1649"/>
      <c r="D73" s="1649"/>
      <c r="E73" s="1649"/>
      <c r="F73" s="1649">
        <v>555</v>
      </c>
      <c r="G73" s="1649"/>
      <c r="H73" s="1649"/>
      <c r="I73" s="1627"/>
      <c r="J73" s="1627"/>
      <c r="K73" s="1674">
        <f>SUM(C73:J73)</f>
        <v>555</v>
      </c>
      <c r="L73" s="1651"/>
      <c r="M73" s="501"/>
      <c r="N73" s="501"/>
    </row>
    <row r="74" spans="1:14" ht="12.75" customHeight="1" thickTop="1" thickBot="1" x14ac:dyDescent="0.25">
      <c r="A74" s="1380" t="s">
        <v>806</v>
      </c>
      <c r="B74" s="1384">
        <v>2000</v>
      </c>
      <c r="C74" s="1681">
        <f>SUM(C42,C47,C53,C57,C65,C72,C73)</f>
        <v>551938</v>
      </c>
      <c r="D74" s="1681">
        <f t="shared" ref="D74:K74" si="10">SUM(D42,D47,D53,D57,D65,D72,D73)</f>
        <v>88038</v>
      </c>
      <c r="E74" s="1681">
        <f t="shared" si="10"/>
        <v>252499</v>
      </c>
      <c r="F74" s="1681">
        <f t="shared" si="10"/>
        <v>111135</v>
      </c>
      <c r="G74" s="1681">
        <f t="shared" si="10"/>
        <v>0</v>
      </c>
      <c r="H74" s="1681">
        <f t="shared" si="10"/>
        <v>0</v>
      </c>
      <c r="I74" s="1681">
        <f t="shared" si="10"/>
        <v>5400</v>
      </c>
      <c r="J74" s="1681">
        <f t="shared" si="10"/>
        <v>0</v>
      </c>
      <c r="K74" s="1681">
        <f t="shared" si="10"/>
        <v>1009010</v>
      </c>
      <c r="L74" s="1681">
        <f>SUM(L42,L47,L53,L57,L65,L72,L73)</f>
        <v>992185</v>
      </c>
    </row>
    <row r="75" spans="1:14" s="254" customFormat="1" ht="15.75" customHeight="1" thickTop="1" thickBot="1" x14ac:dyDescent="0.25">
      <c r="A75" s="1348" t="s">
        <v>47</v>
      </c>
      <c r="B75" s="1349" t="s">
        <v>571</v>
      </c>
      <c r="C75" s="1649">
        <v>91619</v>
      </c>
      <c r="D75" s="1649">
        <v>12587</v>
      </c>
      <c r="E75" s="1649">
        <v>8882</v>
      </c>
      <c r="F75" s="1649">
        <v>5107</v>
      </c>
      <c r="G75" s="1649"/>
      <c r="H75" s="1649"/>
      <c r="I75" s="1627">
        <v>3110</v>
      </c>
      <c r="J75" s="1627"/>
      <c r="K75" s="1674">
        <f>SUM(C75:J75)</f>
        <v>121305</v>
      </c>
      <c r="L75" s="1651">
        <v>193321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71400</v>
      </c>
      <c r="F79" s="1673"/>
      <c r="G79" s="1673"/>
      <c r="H79" s="1573"/>
      <c r="I79" s="1582"/>
      <c r="J79" s="1582"/>
      <c r="K79" s="1672">
        <f t="shared" si="11"/>
        <v>71400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71400</v>
      </c>
      <c r="F84" s="1673"/>
      <c r="G84" s="1673"/>
      <c r="H84" s="1674">
        <f>SUM(H78:H83)</f>
        <v>0</v>
      </c>
      <c r="I84" s="1582"/>
      <c r="J84" s="1582"/>
      <c r="K84" s="1674">
        <f>SUM(K78:K83)</f>
        <v>71400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71400</v>
      </c>
      <c r="F102" s="1673"/>
      <c r="G102" s="1673"/>
      <c r="H102" s="1681">
        <f>SUM(H84,H92,H100,H101)</f>
        <v>0</v>
      </c>
      <c r="I102" s="1582"/>
      <c r="J102" s="1582"/>
      <c r="K102" s="1681">
        <f>SUM(K84,K92,K100,K101)</f>
        <v>71400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1618549</v>
      </c>
      <c r="D114" s="1674">
        <f t="shared" ref="D114:K114" si="13">SUM(D33,D74,D75,D102,D112,D113)</f>
        <v>285755</v>
      </c>
      <c r="E114" s="1674">
        <f t="shared" si="13"/>
        <v>516123</v>
      </c>
      <c r="F114" s="1674">
        <f t="shared" si="13"/>
        <v>156252</v>
      </c>
      <c r="G114" s="1674">
        <f t="shared" si="13"/>
        <v>0</v>
      </c>
      <c r="H114" s="1674">
        <f>SUM(H33,H74,H75,H102,H112,H113)</f>
        <v>0</v>
      </c>
      <c r="I114" s="1674">
        <f t="shared" si="13"/>
        <v>59657</v>
      </c>
      <c r="J114" s="1674">
        <f t="shared" si="13"/>
        <v>0</v>
      </c>
      <c r="K114" s="1674">
        <f t="shared" si="13"/>
        <v>2636336</v>
      </c>
      <c r="L114" s="1674">
        <f>SUM(L33,L74,L75,L102,L112,L113)</f>
        <v>2767494</v>
      </c>
    </row>
    <row r="115" spans="1:14" ht="13.5" thickTop="1" x14ac:dyDescent="0.2">
      <c r="A115" s="2276" t="s">
        <v>989</v>
      </c>
      <c r="B115" s="2277"/>
      <c r="C115" s="1675"/>
      <c r="D115" s="1675"/>
      <c r="E115" s="1675"/>
      <c r="F115" s="1675"/>
      <c r="G115" s="1675"/>
      <c r="H115" s="1675"/>
      <c r="I115" s="1675"/>
      <c r="J115" s="1675"/>
      <c r="K115" s="1689">
        <f>'Revenues 9-14'!C268-'Expenditures 15-22'!K114</f>
        <v>182561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53" t="s">
        <v>293</v>
      </c>
      <c r="B117" s="225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145884</v>
      </c>
      <c r="D124" s="1573">
        <v>31849</v>
      </c>
      <c r="E124" s="1573">
        <v>260121</v>
      </c>
      <c r="F124" s="1573">
        <v>42745</v>
      </c>
      <c r="G124" s="1573"/>
      <c r="H124" s="1573"/>
      <c r="I124" s="1574"/>
      <c r="J124" s="1574"/>
      <c r="K124" s="1674">
        <f>SUM(C124:J124)</f>
        <v>480599</v>
      </c>
      <c r="L124" s="1573">
        <v>463500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145884</v>
      </c>
      <c r="D127" s="1674">
        <f t="shared" ref="D127:L127" si="14">SUM(D122:D126)</f>
        <v>31849</v>
      </c>
      <c r="E127" s="1674">
        <f t="shared" si="14"/>
        <v>260121</v>
      </c>
      <c r="F127" s="1674">
        <f t="shared" si="14"/>
        <v>42745</v>
      </c>
      <c r="G127" s="1674">
        <f t="shared" si="14"/>
        <v>0</v>
      </c>
      <c r="H127" s="1674">
        <f t="shared" si="14"/>
        <v>0</v>
      </c>
      <c r="I127" s="1674">
        <f t="shared" si="14"/>
        <v>0</v>
      </c>
      <c r="J127" s="1674">
        <f t="shared" si="14"/>
        <v>0</v>
      </c>
      <c r="K127" s="1674">
        <f t="shared" si="14"/>
        <v>480599</v>
      </c>
      <c r="L127" s="1674">
        <f t="shared" si="14"/>
        <v>463500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145884</v>
      </c>
      <c r="D129" s="1681">
        <f t="shared" ref="D129:L129" si="15">SUM(D120,D127,D128)</f>
        <v>31849</v>
      </c>
      <c r="E129" s="1681">
        <f t="shared" si="15"/>
        <v>260121</v>
      </c>
      <c r="F129" s="1681">
        <f t="shared" si="15"/>
        <v>42745</v>
      </c>
      <c r="G129" s="1681">
        <f t="shared" si="15"/>
        <v>0</v>
      </c>
      <c r="H129" s="1681">
        <f t="shared" si="15"/>
        <v>0</v>
      </c>
      <c r="I129" s="1681">
        <f t="shared" si="15"/>
        <v>0</v>
      </c>
      <c r="J129" s="1681">
        <f t="shared" si="15"/>
        <v>0</v>
      </c>
      <c r="K129" s="1681">
        <f t="shared" si="15"/>
        <v>480599</v>
      </c>
      <c r="L129" s="1681">
        <f t="shared" si="15"/>
        <v>463500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65" t="s">
        <v>616</v>
      </c>
      <c r="B151" s="2266"/>
      <c r="C151" s="1674">
        <f>SUM(C129,C130,C139,C149,C150)</f>
        <v>145884</v>
      </c>
      <c r="D151" s="1674">
        <f t="shared" ref="D151:K151" si="16">SUM(D129,D130,D139,D149,D150)</f>
        <v>31849</v>
      </c>
      <c r="E151" s="1674">
        <f t="shared" si="16"/>
        <v>260121</v>
      </c>
      <c r="F151" s="1674">
        <f t="shared" si="16"/>
        <v>42745</v>
      </c>
      <c r="G151" s="1674">
        <f t="shared" si="16"/>
        <v>0</v>
      </c>
      <c r="H151" s="1674">
        <f t="shared" si="16"/>
        <v>0</v>
      </c>
      <c r="I151" s="1674">
        <f t="shared" si="16"/>
        <v>0</v>
      </c>
      <c r="J151" s="1674">
        <f t="shared" si="16"/>
        <v>0</v>
      </c>
      <c r="K151" s="1674">
        <f t="shared" si="16"/>
        <v>480599</v>
      </c>
      <c r="L151" s="1674">
        <f>SUM(L129,L130,L139,L149,L150)</f>
        <v>463500</v>
      </c>
    </row>
    <row r="152" spans="1:14" ht="12.75" customHeight="1" thickTop="1" x14ac:dyDescent="0.2">
      <c r="A152" s="2269" t="s">
        <v>1168</v>
      </c>
      <c r="B152" s="2270"/>
      <c r="C152" s="1675"/>
      <c r="D152" s="1675"/>
      <c r="E152" s="1675"/>
      <c r="F152" s="1675"/>
      <c r="G152" s="1675"/>
      <c r="H152" s="1675"/>
      <c r="I152" s="1675"/>
      <c r="J152" s="1673"/>
      <c r="K152" s="1689">
        <f>'Revenues 9-14'!D268-'Expenditures 15-22'!K151</f>
        <v>43625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53" t="s">
        <v>617</v>
      </c>
      <c r="B154" s="225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v>34895</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34895</v>
      </c>
    </row>
    <row r="169" spans="1:14" ht="15.75" customHeight="1" thickTop="1" x14ac:dyDescent="0.2">
      <c r="A169" s="543" t="s">
        <v>83</v>
      </c>
      <c r="B169" s="544" t="s">
        <v>38</v>
      </c>
      <c r="C169" s="1673"/>
      <c r="D169" s="1673"/>
      <c r="E169" s="1673"/>
      <c r="F169" s="1673"/>
      <c r="G169" s="1673"/>
      <c r="H169" s="1695">
        <v>7236</v>
      </c>
      <c r="I169" s="1673"/>
      <c r="J169" s="1673"/>
      <c r="K169" s="1672">
        <f>SUM(C169:H169)</f>
        <v>7236</v>
      </c>
      <c r="L169" s="1695"/>
    </row>
    <row r="170" spans="1:14" ht="33.75" customHeight="1" x14ac:dyDescent="0.2">
      <c r="A170" s="543" t="s">
        <v>1651</v>
      </c>
      <c r="B170" s="545" t="s">
        <v>31</v>
      </c>
      <c r="C170" s="1673"/>
      <c r="D170" s="1673"/>
      <c r="E170" s="1673"/>
      <c r="F170" s="1673"/>
      <c r="G170" s="1673"/>
      <c r="H170" s="1646">
        <v>30000</v>
      </c>
      <c r="I170" s="1673"/>
      <c r="J170" s="1673"/>
      <c r="K170" s="1672">
        <f>SUM(C170:J170)</f>
        <v>30000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37236</v>
      </c>
      <c r="I172" s="1684"/>
      <c r="J172" s="1673"/>
      <c r="K172" s="1681">
        <f>SUM(K168,K169,K170,K171)</f>
        <v>37236</v>
      </c>
      <c r="L172" s="1681">
        <f>SUM(L168,L169,L170,L171)</f>
        <v>34895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37236</v>
      </c>
      <c r="I174" s="1684"/>
      <c r="J174" s="1673"/>
      <c r="K174" s="1681">
        <f>SUM(K160,K172,K173)</f>
        <v>37236</v>
      </c>
      <c r="L174" s="1681">
        <f>SUM(L160,L172,L173)</f>
        <v>34895</v>
      </c>
    </row>
    <row r="175" spans="1:14" ht="13.5" thickTop="1" x14ac:dyDescent="0.2">
      <c r="A175" s="2276" t="s">
        <v>989</v>
      </c>
      <c r="B175" s="2277"/>
      <c r="C175" s="1673"/>
      <c r="D175" s="1673"/>
      <c r="E175" s="1673"/>
      <c r="F175" s="1673"/>
      <c r="G175" s="1673"/>
      <c r="H175" s="1675"/>
      <c r="I175" s="1673"/>
      <c r="J175" s="1673"/>
      <c r="K175" s="1689">
        <f>'Revenues 9-14'!E268-'Expenditures 15-22'!K174</f>
        <v>3176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115881</v>
      </c>
      <c r="D182" s="1573">
        <v>8075</v>
      </c>
      <c r="E182" s="1573">
        <v>88037</v>
      </c>
      <c r="F182" s="1573">
        <v>27105</v>
      </c>
      <c r="G182" s="1573"/>
      <c r="H182" s="1573"/>
      <c r="I182" s="1574"/>
      <c r="J182" s="1574"/>
      <c r="K182" s="1672">
        <f>SUM(C182:J182)</f>
        <v>239098</v>
      </c>
      <c r="L182" s="1573">
        <v>248510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115881</v>
      </c>
      <c r="D184" s="1681">
        <f t="shared" ref="D184:J184" si="17">SUM(D180,D182,D183)</f>
        <v>8075</v>
      </c>
      <c r="E184" s="1681">
        <f t="shared" si="17"/>
        <v>88037</v>
      </c>
      <c r="F184" s="1681">
        <f t="shared" si="17"/>
        <v>27105</v>
      </c>
      <c r="G184" s="1681">
        <f t="shared" si="17"/>
        <v>0</v>
      </c>
      <c r="H184" s="1681">
        <f t="shared" si="17"/>
        <v>0</v>
      </c>
      <c r="I184" s="1681">
        <f t="shared" si="17"/>
        <v>0</v>
      </c>
      <c r="J184" s="1681">
        <f t="shared" si="17"/>
        <v>0</v>
      </c>
      <c r="K184" s="1681">
        <f>SUM(K180,K182,K183)</f>
        <v>239098</v>
      </c>
      <c r="L184" s="1681">
        <f>SUM(L180, L182:L183)</f>
        <v>248510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115881</v>
      </c>
      <c r="D210" s="1674">
        <f>SUM(D184,D185)</f>
        <v>8075</v>
      </c>
      <c r="E210" s="1674">
        <f>SUM(E184,E185,E196)</f>
        <v>88037</v>
      </c>
      <c r="F210" s="1674">
        <f>SUM(F184,F185)</f>
        <v>27105</v>
      </c>
      <c r="G210" s="1674">
        <f>SUM(G184,G185)</f>
        <v>0</v>
      </c>
      <c r="H210" s="1674">
        <f>SUM(H184,H185,H196,H208,H209)</f>
        <v>0</v>
      </c>
      <c r="I210" s="1674">
        <f>SUM(I184,I185)</f>
        <v>0</v>
      </c>
      <c r="J210" s="1674">
        <f>SUM(J184,J185)</f>
        <v>0</v>
      </c>
      <c r="K210" s="1672">
        <f>SUM(K184,K185,K196,K208,K209)</f>
        <v>239098</v>
      </c>
      <c r="L210" s="1674">
        <f>SUM(L184,L185,L196,L208,L209)</f>
        <v>248510</v>
      </c>
    </row>
    <row r="211" spans="1:14" ht="13.5" thickTop="1" x14ac:dyDescent="0.2">
      <c r="A211" s="2276" t="s">
        <v>989</v>
      </c>
      <c r="B211" s="2277"/>
      <c r="C211" s="1675"/>
      <c r="D211" s="1675"/>
      <c r="E211" s="1675"/>
      <c r="F211" s="1675"/>
      <c r="G211" s="1675"/>
      <c r="H211" s="1675"/>
      <c r="I211" s="1673"/>
      <c r="J211" s="1673"/>
      <c r="K211" s="1689">
        <f>'Revenues 9-14'!F268-'Expenditures 15-22'!K210</f>
        <v>95241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1" t="s">
        <v>959</v>
      </c>
      <c r="B213" s="227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10298</v>
      </c>
      <c r="E215" s="1673"/>
      <c r="F215" s="1673"/>
      <c r="G215" s="1673"/>
      <c r="H215" s="1673"/>
      <c r="I215" s="1673"/>
      <c r="J215" s="1673"/>
      <c r="K215" s="1672">
        <f>D215</f>
        <v>10298</v>
      </c>
      <c r="L215" s="1573">
        <v>15000</v>
      </c>
    </row>
    <row r="216" spans="1:14" x14ac:dyDescent="0.2">
      <c r="A216" s="1274" t="s">
        <v>162</v>
      </c>
      <c r="B216" s="503" t="s">
        <v>961</v>
      </c>
      <c r="C216" s="1673"/>
      <c r="D216" s="1574">
        <v>4792</v>
      </c>
      <c r="E216" s="1673"/>
      <c r="F216" s="1673"/>
      <c r="G216" s="1673"/>
      <c r="H216" s="1673"/>
      <c r="I216" s="1673"/>
      <c r="J216" s="1673"/>
      <c r="K216" s="1672">
        <f t="shared" ref="K216:K228" si="19">D216</f>
        <v>4792</v>
      </c>
      <c r="L216" s="1573">
        <v>1570</v>
      </c>
    </row>
    <row r="217" spans="1:14" x14ac:dyDescent="0.2">
      <c r="A217" s="1274" t="s">
        <v>163</v>
      </c>
      <c r="B217" s="503">
        <v>1200</v>
      </c>
      <c r="C217" s="1673"/>
      <c r="D217" s="1573">
        <v>1320</v>
      </c>
      <c r="E217" s="1673"/>
      <c r="F217" s="1673"/>
      <c r="G217" s="1673"/>
      <c r="H217" s="1673"/>
      <c r="I217" s="1673"/>
      <c r="J217" s="1673"/>
      <c r="K217" s="1672">
        <f t="shared" si="19"/>
        <v>1320</v>
      </c>
      <c r="L217" s="1573">
        <v>869</v>
      </c>
    </row>
    <row r="218" spans="1:14" x14ac:dyDescent="0.2">
      <c r="A218" s="1274" t="s">
        <v>276</v>
      </c>
      <c r="B218" s="503" t="s">
        <v>962</v>
      </c>
      <c r="C218" s="1673"/>
      <c r="D218" s="1574"/>
      <c r="E218" s="1673"/>
      <c r="F218" s="1673"/>
      <c r="G218" s="1673"/>
      <c r="H218" s="1673"/>
      <c r="I218" s="1673"/>
      <c r="J218" s="1673"/>
      <c r="K218" s="1672">
        <f t="shared" si="19"/>
        <v>0</v>
      </c>
      <c r="L218" s="1573">
        <v>1514</v>
      </c>
    </row>
    <row r="219" spans="1:14" x14ac:dyDescent="0.2">
      <c r="A219" s="1274" t="s">
        <v>277</v>
      </c>
      <c r="B219" s="503">
        <v>1250</v>
      </c>
      <c r="C219" s="1673"/>
      <c r="D219" s="1573">
        <v>5113</v>
      </c>
      <c r="E219" s="1673"/>
      <c r="F219" s="1673"/>
      <c r="G219" s="1673"/>
      <c r="H219" s="1673"/>
      <c r="I219" s="1673"/>
      <c r="J219" s="1673"/>
      <c r="K219" s="1672">
        <f t="shared" si="19"/>
        <v>5113</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855</v>
      </c>
      <c r="E223" s="1673"/>
      <c r="F223" s="1673"/>
      <c r="G223" s="1673"/>
      <c r="H223" s="1673"/>
      <c r="I223" s="1673"/>
      <c r="J223" s="1673"/>
      <c r="K223" s="1672">
        <f t="shared" si="19"/>
        <v>855</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22378</v>
      </c>
      <c r="E229" s="1673"/>
      <c r="F229" s="1673"/>
      <c r="G229" s="1673"/>
      <c r="H229" s="1673"/>
      <c r="I229" s="1673"/>
      <c r="J229" s="1673"/>
      <c r="K229" s="1674">
        <f>SUM(K215:K228)</f>
        <v>22378</v>
      </c>
      <c r="L229" s="1674">
        <f>SUM(L215:L228)</f>
        <v>18953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3961</v>
      </c>
      <c r="E232" s="1673"/>
      <c r="F232" s="1673"/>
      <c r="G232" s="1673"/>
      <c r="H232" s="1673"/>
      <c r="I232" s="1673"/>
      <c r="J232" s="1673"/>
      <c r="K232" s="1672">
        <f t="shared" ref="K232:K237" si="20">D232</f>
        <v>3961</v>
      </c>
      <c r="L232" s="1573">
        <v>675</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v>1871</v>
      </c>
      <c r="E235" s="1673"/>
      <c r="F235" s="1673"/>
      <c r="G235" s="1673"/>
      <c r="H235" s="1673"/>
      <c r="I235" s="1673"/>
      <c r="J235" s="1673"/>
      <c r="K235" s="1672">
        <f t="shared" si="20"/>
        <v>1871</v>
      </c>
      <c r="L235" s="1573">
        <v>695</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5832</v>
      </c>
      <c r="E238" s="1673"/>
      <c r="F238" s="1673"/>
      <c r="G238" s="1673"/>
      <c r="H238" s="1673"/>
      <c r="I238" s="1673"/>
      <c r="J238" s="1673"/>
      <c r="K238" s="1674">
        <f>SUM(K232:K237)</f>
        <v>5832</v>
      </c>
      <c r="L238" s="1674">
        <f>SUM(L232:L237)</f>
        <v>1370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v>
      </c>
      <c r="E240" s="1673"/>
      <c r="F240" s="1673"/>
      <c r="G240" s="1673"/>
      <c r="H240" s="1673"/>
      <c r="I240" s="1673"/>
      <c r="J240" s="1673"/>
      <c r="K240" s="1678">
        <f>D240</f>
        <v>5</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v>
      </c>
      <c r="E243" s="1673"/>
      <c r="F243" s="1673"/>
      <c r="G243" s="1673"/>
      <c r="H243" s="1673"/>
      <c r="I243" s="1673"/>
      <c r="J243" s="1673"/>
      <c r="K243" s="1674">
        <f>SUM(K240:K242)</f>
        <v>5</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134</v>
      </c>
      <c r="E245" s="1673"/>
      <c r="F245" s="1673"/>
      <c r="G245" s="1673"/>
      <c r="H245" s="1673"/>
      <c r="I245" s="1673"/>
      <c r="J245" s="1673"/>
      <c r="K245" s="1678">
        <f>D245</f>
        <v>134</v>
      </c>
      <c r="L245" s="1586"/>
    </row>
    <row r="246" spans="1:12" x14ac:dyDescent="0.2">
      <c r="A246" s="1274" t="s">
        <v>813</v>
      </c>
      <c r="B246" s="503">
        <v>2320</v>
      </c>
      <c r="C246" s="1673"/>
      <c r="D246" s="1573">
        <v>7631</v>
      </c>
      <c r="E246" s="1673"/>
      <c r="F246" s="1673"/>
      <c r="G246" s="1673"/>
      <c r="H246" s="1673"/>
      <c r="I246" s="1673"/>
      <c r="J246" s="1673"/>
      <c r="K246" s="1678">
        <f t="shared" ref="K246:K256" si="21">D246</f>
        <v>7631</v>
      </c>
      <c r="L246" s="1573">
        <v>7000</v>
      </c>
    </row>
    <row r="247" spans="1:12" x14ac:dyDescent="0.2">
      <c r="A247" s="1274" t="s">
        <v>814</v>
      </c>
      <c r="B247" s="503">
        <v>2330</v>
      </c>
      <c r="C247" s="1673"/>
      <c r="D247" s="1573">
        <v>27</v>
      </c>
      <c r="E247" s="1673"/>
      <c r="F247" s="1673"/>
      <c r="G247" s="1673"/>
      <c r="H247" s="1673"/>
      <c r="I247" s="1673"/>
      <c r="J247" s="1673"/>
      <c r="K247" s="1678">
        <f t="shared" si="21"/>
        <v>27</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7792</v>
      </c>
      <c r="E257" s="1673"/>
      <c r="F257" s="1673"/>
      <c r="G257" s="1673"/>
      <c r="H257" s="1673"/>
      <c r="I257" s="1673"/>
      <c r="J257" s="1673"/>
      <c r="K257" s="1674">
        <f>SUM(K245:K256)</f>
        <v>7792</v>
      </c>
      <c r="L257" s="1674">
        <f>SUM(L245:L256)</f>
        <v>7000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33315</v>
      </c>
      <c r="E259" s="1673"/>
      <c r="F259" s="1673"/>
      <c r="G259" s="1673"/>
      <c r="H259" s="1673"/>
      <c r="I259" s="1673"/>
      <c r="J259" s="1673"/>
      <c r="K259" s="1678">
        <f>D259</f>
        <v>33315</v>
      </c>
      <c r="L259" s="1586">
        <v>11770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33315</v>
      </c>
      <c r="E261" s="1673"/>
      <c r="F261" s="1673"/>
      <c r="G261" s="1673"/>
      <c r="H261" s="1673"/>
      <c r="I261" s="1673"/>
      <c r="J261" s="1673"/>
      <c r="K261" s="1674">
        <f>SUM(K259:K260)</f>
        <v>33315</v>
      </c>
      <c r="L261" s="1674">
        <f>SUM(L259:L260)</f>
        <v>11770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12365</v>
      </c>
      <c r="E266" s="1673"/>
      <c r="F266" s="1673"/>
      <c r="G266" s="1673"/>
      <c r="H266" s="1673"/>
      <c r="I266" s="1673"/>
      <c r="J266" s="1673"/>
      <c r="K266" s="1678">
        <f t="shared" si="22"/>
        <v>12365</v>
      </c>
      <c r="L266" s="1573">
        <v>3685</v>
      </c>
    </row>
    <row r="267" spans="1:14" x14ac:dyDescent="0.2">
      <c r="A267" s="1274" t="s">
        <v>947</v>
      </c>
      <c r="B267" s="503">
        <v>2550</v>
      </c>
      <c r="C267" s="1673"/>
      <c r="D267" s="1573">
        <v>9084</v>
      </c>
      <c r="E267" s="1673"/>
      <c r="F267" s="1673"/>
      <c r="G267" s="1673"/>
      <c r="H267" s="1673"/>
      <c r="I267" s="1673"/>
      <c r="J267" s="1673"/>
      <c r="K267" s="1678">
        <f t="shared" si="22"/>
        <v>9084</v>
      </c>
      <c r="L267" s="1573">
        <v>621</v>
      </c>
    </row>
    <row r="268" spans="1:14" x14ac:dyDescent="0.2">
      <c r="A268" s="1274" t="s">
        <v>100</v>
      </c>
      <c r="B268" s="503">
        <v>2560</v>
      </c>
      <c r="C268" s="1673"/>
      <c r="D268" s="1573">
        <v>4857</v>
      </c>
      <c r="E268" s="1673"/>
      <c r="F268" s="1673"/>
      <c r="G268" s="1673"/>
      <c r="H268" s="1673"/>
      <c r="I268" s="1673"/>
      <c r="J268" s="1673"/>
      <c r="K268" s="1678">
        <f t="shared" si="22"/>
        <v>4857</v>
      </c>
      <c r="L268" s="1573">
        <v>1233</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26306</v>
      </c>
      <c r="E270" s="1673"/>
      <c r="F270" s="1673"/>
      <c r="G270" s="1673"/>
      <c r="H270" s="1673"/>
      <c r="I270" s="1673"/>
      <c r="J270" s="1673"/>
      <c r="K270" s="1674">
        <f>SUM(K263:K269)</f>
        <v>26306</v>
      </c>
      <c r="L270" s="1674">
        <f>SUM(L263:L269)</f>
        <v>5539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73250</v>
      </c>
      <c r="E279" s="1673"/>
      <c r="F279" s="1673"/>
      <c r="G279" s="1673"/>
      <c r="H279" s="1673"/>
      <c r="I279" s="1673"/>
      <c r="J279" s="1673"/>
      <c r="K279" s="1681">
        <f>SUM(K238,K243,K257,K261,K270,K277,K278)</f>
        <v>73250</v>
      </c>
      <c r="L279" s="1681">
        <f>SUM(L238,L243,L257,L261,L270,L277,L278)</f>
        <v>25679</v>
      </c>
    </row>
    <row r="280" spans="1:12" ht="15.75" customHeight="1" thickTop="1" thickBot="1" x14ac:dyDescent="0.25">
      <c r="A280" s="1362" t="s">
        <v>870</v>
      </c>
      <c r="B280" s="1351">
        <v>3000</v>
      </c>
      <c r="C280" s="1673"/>
      <c r="D280" s="1651">
        <v>7779</v>
      </c>
      <c r="E280" s="1673"/>
      <c r="F280" s="1673"/>
      <c r="G280" s="1673"/>
      <c r="H280" s="1673"/>
      <c r="I280" s="1673"/>
      <c r="J280" s="1673"/>
      <c r="K280" s="1687">
        <f>D280</f>
        <v>7779</v>
      </c>
      <c r="L280" s="1651">
        <v>3681</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67" t="s">
        <v>502</v>
      </c>
      <c r="B295" s="2268"/>
      <c r="C295" s="1673"/>
      <c r="D295" s="1674">
        <f>SUM(D229,D279,D280,D285)</f>
        <v>103407</v>
      </c>
      <c r="E295" s="1673"/>
      <c r="F295" s="1673"/>
      <c r="G295" s="1673"/>
      <c r="H295" s="1674">
        <f>H293</f>
        <v>0</v>
      </c>
      <c r="I295" s="1673"/>
      <c r="J295" s="1673"/>
      <c r="K295" s="1674">
        <f>SUM(K229,K279,K280,K285,K293,K294)</f>
        <v>103407</v>
      </c>
      <c r="L295" s="1674">
        <f>SUM(L229,L279,L280,L285,L293,L294)</f>
        <v>48313</v>
      </c>
    </row>
    <row r="296" spans="1:14" ht="13.5" thickTop="1" x14ac:dyDescent="0.2">
      <c r="A296" s="2276" t="s">
        <v>989</v>
      </c>
      <c r="B296" s="2277"/>
      <c r="C296" s="1673"/>
      <c r="D296" s="1675"/>
      <c r="E296" s="1673"/>
      <c r="F296" s="1673"/>
      <c r="G296" s="1673"/>
      <c r="H296" s="1707"/>
      <c r="I296" s="1673"/>
      <c r="J296" s="1673"/>
      <c r="K296" s="1689">
        <f>'Revenues 9-14'!G268-'Expenditures 15-22'!K295</f>
        <v>7986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58" t="s">
        <v>142</v>
      </c>
      <c r="B298" s="225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63" t="s">
        <v>275</v>
      </c>
      <c r="B312" s="226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59" t="s">
        <v>989</v>
      </c>
      <c r="B313" s="226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73" t="s">
        <v>148</v>
      </c>
      <c r="B315" s="227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75" t="s">
        <v>892</v>
      </c>
      <c r="B317" s="227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15321</v>
      </c>
      <c r="F320" s="1574"/>
      <c r="G320" s="1574"/>
      <c r="H320" s="1574"/>
      <c r="I320" s="1574"/>
      <c r="J320" s="1574"/>
      <c r="K320" s="1672">
        <f t="shared" ref="K320:K327" si="24">SUM(C320:J320)</f>
        <v>15321</v>
      </c>
      <c r="L320" s="1574">
        <v>24000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37392</v>
      </c>
      <c r="F322" s="1574"/>
      <c r="G322" s="1574"/>
      <c r="H322" s="1574"/>
      <c r="I322" s="1574"/>
      <c r="J322" s="1574"/>
      <c r="K322" s="1672">
        <f t="shared" si="24"/>
        <v>37392</v>
      </c>
      <c r="L322" s="1574"/>
      <c r="M322" s="539"/>
      <c r="N322" s="539"/>
    </row>
    <row r="323" spans="1:14" s="548" customFormat="1" x14ac:dyDescent="0.2">
      <c r="A323" s="1289" t="s">
        <v>697</v>
      </c>
      <c r="B323" s="567" t="s">
        <v>283</v>
      </c>
      <c r="C323" s="1574"/>
      <c r="D323" s="1574"/>
      <c r="E323" s="1574">
        <v>1000</v>
      </c>
      <c r="F323" s="1574"/>
      <c r="G323" s="1574"/>
      <c r="H323" s="1574"/>
      <c r="I323" s="1574"/>
      <c r="J323" s="1574"/>
      <c r="K323" s="1672">
        <f t="shared" si="24"/>
        <v>1000</v>
      </c>
      <c r="L323" s="1574">
        <v>15000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8125</v>
      </c>
      <c r="F327" s="1574"/>
      <c r="G327" s="1574"/>
      <c r="H327" s="1574"/>
      <c r="I327" s="1574"/>
      <c r="J327" s="1574"/>
      <c r="K327" s="1672">
        <f t="shared" si="24"/>
        <v>8125</v>
      </c>
      <c r="L327" s="1574">
        <v>15000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15000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10000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61838</v>
      </c>
      <c r="F330" s="1674">
        <f t="shared" si="25"/>
        <v>0</v>
      </c>
      <c r="G330" s="1674">
        <f t="shared" si="25"/>
        <v>0</v>
      </c>
      <c r="H330" s="1674">
        <f t="shared" si="25"/>
        <v>0</v>
      </c>
      <c r="I330" s="1674">
        <f t="shared" si="25"/>
        <v>0</v>
      </c>
      <c r="J330" s="1674">
        <f t="shared" si="25"/>
        <v>0</v>
      </c>
      <c r="K330" s="1674">
        <f>SUM(K319:K329)</f>
        <v>61838</v>
      </c>
      <c r="L330" s="1674">
        <f>SUM(L319:L329)</f>
        <v>79000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61838</v>
      </c>
      <c r="F342" s="1674">
        <f>SUM(F330)</f>
        <v>0</v>
      </c>
      <c r="G342" s="1674">
        <f>SUM(G330)</f>
        <v>0</v>
      </c>
      <c r="H342" s="1674">
        <f>SUM(H330,H334,H340)</f>
        <v>0</v>
      </c>
      <c r="I342" s="1674">
        <f>SUM(I330)</f>
        <v>0</v>
      </c>
      <c r="J342" s="1674">
        <f>SUM(J330)</f>
        <v>0</v>
      </c>
      <c r="K342" s="1674">
        <f>SUM(K330,K334,K340)</f>
        <v>61838</v>
      </c>
      <c r="L342" s="1681">
        <f>SUM(L330,L334,L340,L341)</f>
        <v>79000</v>
      </c>
    </row>
    <row r="343" spans="1:14" ht="12.75" customHeight="1" thickTop="1" x14ac:dyDescent="0.2">
      <c r="A343" s="2261" t="s">
        <v>989</v>
      </c>
      <c r="B343" s="2262"/>
      <c r="C343" s="1673"/>
      <c r="D343" s="1673"/>
      <c r="E343" s="1673"/>
      <c r="F343" s="1673"/>
      <c r="G343" s="1673"/>
      <c r="H343" s="1673"/>
      <c r="I343" s="1673"/>
      <c r="J343" s="1673"/>
      <c r="K343" s="1689">
        <f>'Revenues 9-14'!J268-'Expenditures 15-22'!K342</f>
        <v>5139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51" t="s">
        <v>960</v>
      </c>
      <c r="B345" s="225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6" t="s">
        <v>989</v>
      </c>
      <c r="B368" s="2277"/>
      <c r="C368" s="1694"/>
      <c r="D368" s="1694"/>
      <c r="E368" s="1677"/>
      <c r="F368" s="1677"/>
      <c r="G368" s="1677"/>
      <c r="H368" s="1677"/>
      <c r="I368" s="1677"/>
      <c r="J368" s="1676"/>
      <c r="K368" s="1672">
        <f>'Revenues 9-14'!K268-'Expenditures 15-22'!K367</f>
        <v>8568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239"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190882</v>
      </c>
      <c r="D5" s="1586">
        <v>42720</v>
      </c>
      <c r="E5" s="1573">
        <v>40348</v>
      </c>
      <c r="F5" s="1631">
        <v>20496</v>
      </c>
      <c r="G5" s="1573">
        <v>75811</v>
      </c>
      <c r="H5" s="1573"/>
      <c r="I5" s="1573">
        <v>8554</v>
      </c>
      <c r="J5" s="1574">
        <v>56886</v>
      </c>
      <c r="K5" s="1573">
        <v>8554</v>
      </c>
    </row>
    <row r="6" spans="1:12" ht="15" x14ac:dyDescent="0.2">
      <c r="A6" s="427" t="s">
        <v>1643</v>
      </c>
      <c r="B6" s="429">
        <v>1130</v>
      </c>
      <c r="C6" s="1573">
        <v>8554</v>
      </c>
      <c r="D6" s="1573"/>
      <c r="E6" s="1580"/>
      <c r="F6" s="1580"/>
      <c r="G6" s="1575"/>
      <c r="H6" s="1575"/>
      <c r="I6" s="1575"/>
      <c r="J6" s="1575"/>
      <c r="K6" s="1575"/>
    </row>
    <row r="7" spans="1:12" x14ac:dyDescent="0.2">
      <c r="A7" s="427" t="s">
        <v>110</v>
      </c>
      <c r="B7" s="471">
        <v>1140</v>
      </c>
      <c r="C7" s="1573">
        <v>3422</v>
      </c>
      <c r="D7" s="1573"/>
      <c r="E7" s="1575"/>
      <c r="F7" s="1574"/>
      <c r="G7" s="1574"/>
      <c r="H7" s="1574"/>
      <c r="I7" s="1575"/>
      <c r="J7" s="1575"/>
      <c r="K7" s="1575"/>
    </row>
    <row r="8" spans="1:12" x14ac:dyDescent="0.2">
      <c r="A8" s="427" t="s">
        <v>410</v>
      </c>
      <c r="B8" s="429">
        <v>1150</v>
      </c>
      <c r="C8" s="1580"/>
      <c r="D8" s="1580"/>
      <c r="E8" s="1582"/>
      <c r="F8" s="1582"/>
      <c r="G8" s="1586">
        <v>25421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202858</v>
      </c>
      <c r="D12" s="1633">
        <f t="shared" si="0"/>
        <v>42720</v>
      </c>
      <c r="E12" s="1633">
        <f t="shared" si="0"/>
        <v>40348</v>
      </c>
      <c r="F12" s="1633">
        <f t="shared" si="0"/>
        <v>20496</v>
      </c>
      <c r="G12" s="1633">
        <f t="shared" si="0"/>
        <v>101232</v>
      </c>
      <c r="H12" s="1633">
        <f t="shared" si="0"/>
        <v>0</v>
      </c>
      <c r="I12" s="1633">
        <f t="shared" si="0"/>
        <v>8554</v>
      </c>
      <c r="J12" s="1633">
        <f t="shared" si="0"/>
        <v>56886</v>
      </c>
      <c r="K12" s="1594">
        <f t="shared" si="0"/>
        <v>8554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46436</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46436</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3971</v>
      </c>
      <c r="D65" s="1573">
        <v>68</v>
      </c>
      <c r="E65" s="1573">
        <v>64</v>
      </c>
      <c r="F65" s="1574">
        <v>33</v>
      </c>
      <c r="G65" s="1573">
        <v>161</v>
      </c>
      <c r="H65" s="1573"/>
      <c r="I65" s="1573">
        <v>14</v>
      </c>
      <c r="J65" s="1574">
        <v>91</v>
      </c>
      <c r="K65" s="1573">
        <v>14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3971</v>
      </c>
      <c r="D67" s="1594">
        <f t="shared" ref="D67:K67" si="2">SUM(D65:D66)</f>
        <v>68</v>
      </c>
      <c r="E67" s="1594">
        <f t="shared" si="2"/>
        <v>64</v>
      </c>
      <c r="F67" s="1594">
        <f t="shared" si="2"/>
        <v>33</v>
      </c>
      <c r="G67" s="1594">
        <f t="shared" si="2"/>
        <v>161</v>
      </c>
      <c r="H67" s="1594">
        <f t="shared" si="2"/>
        <v>0</v>
      </c>
      <c r="I67" s="1594">
        <f t="shared" si="2"/>
        <v>14</v>
      </c>
      <c r="J67" s="1594">
        <f t="shared" si="2"/>
        <v>91</v>
      </c>
      <c r="K67" s="1594">
        <f t="shared" si="2"/>
        <v>14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3184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3184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261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243</v>
      </c>
      <c r="D106" s="1598"/>
      <c r="E106" s="1574"/>
      <c r="F106" s="1574"/>
      <c r="G106" s="1574"/>
      <c r="H106" s="1574"/>
      <c r="I106" s="1617"/>
      <c r="J106" s="1574"/>
      <c r="K106" s="1574"/>
    </row>
    <row r="107" spans="1:12" ht="12.75" customHeight="1" x14ac:dyDescent="0.2">
      <c r="A107" s="427" t="s">
        <v>78</v>
      </c>
      <c r="B107" s="429">
        <v>1999</v>
      </c>
      <c r="C107" s="1632">
        <v>12500</v>
      </c>
      <c r="D107" s="1573"/>
      <c r="E107" s="1573"/>
      <c r="F107" s="1573"/>
      <c r="G107" s="1573"/>
      <c r="H107" s="1573"/>
      <c r="I107" s="1573"/>
      <c r="J107" s="1574"/>
      <c r="K107" s="1573"/>
    </row>
    <row r="108" spans="1:12" ht="12.75" customHeight="1" thickBot="1" x14ac:dyDescent="0.25">
      <c r="A108" s="1406" t="s">
        <v>484</v>
      </c>
      <c r="B108" s="1408"/>
      <c r="C108" s="1633">
        <f>SUM(C95:C107)</f>
        <v>12843</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223117</v>
      </c>
      <c r="D109" s="1641">
        <f t="shared" si="4"/>
        <v>89224</v>
      </c>
      <c r="E109" s="1641">
        <f t="shared" si="4"/>
        <v>40412</v>
      </c>
      <c r="F109" s="1641">
        <f t="shared" si="4"/>
        <v>20529</v>
      </c>
      <c r="G109" s="1641">
        <f t="shared" si="4"/>
        <v>101393</v>
      </c>
      <c r="H109" s="1641">
        <f t="shared" si="4"/>
        <v>0</v>
      </c>
      <c r="I109" s="1641">
        <f t="shared" si="4"/>
        <v>8568</v>
      </c>
      <c r="J109" s="1641">
        <f t="shared" si="4"/>
        <v>56977</v>
      </c>
      <c r="K109" s="1629">
        <f t="shared" si="4"/>
        <v>8568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1606689</v>
      </c>
      <c r="D117" s="1586">
        <v>385000</v>
      </c>
      <c r="E117" s="1573"/>
      <c r="F117" s="1586">
        <v>127000</v>
      </c>
      <c r="G117" s="1586">
        <v>10000</v>
      </c>
      <c r="H117" s="1573"/>
      <c r="I117" s="1575"/>
      <c r="J117" s="1574">
        <v>10000</v>
      </c>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v>50000</v>
      </c>
      <c r="E121" s="1573"/>
      <c r="F121" s="1573"/>
      <c r="G121" s="1573"/>
      <c r="H121" s="1573"/>
      <c r="I121" s="1575"/>
      <c r="J121" s="1574"/>
      <c r="K121" s="1573"/>
    </row>
    <row r="122" spans="1:11" ht="12.6" customHeight="1" thickBot="1" x14ac:dyDescent="0.25">
      <c r="A122" s="1406" t="s">
        <v>485</v>
      </c>
      <c r="B122" s="1413"/>
      <c r="C122" s="1633">
        <f t="shared" ref="C122:H122" si="5">SUM(C117:C121)</f>
        <v>1606689</v>
      </c>
      <c r="D122" s="1633">
        <f t="shared" si="5"/>
        <v>435000</v>
      </c>
      <c r="E122" s="1633">
        <f t="shared" si="5"/>
        <v>0</v>
      </c>
      <c r="F122" s="1633">
        <f t="shared" si="5"/>
        <v>127000</v>
      </c>
      <c r="G122" s="1633">
        <f t="shared" si="5"/>
        <v>10000</v>
      </c>
      <c r="H122" s="1633">
        <f t="shared" si="5"/>
        <v>0</v>
      </c>
      <c r="I122" s="1575"/>
      <c r="J122" s="1633">
        <f>SUM(J117:J121)</f>
        <v>10000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3887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3887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2210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119721</v>
      </c>
      <c r="G152" s="1574"/>
      <c r="H152" s="1575"/>
      <c r="I152" s="1575"/>
      <c r="J152" s="1575"/>
      <c r="K152" s="1575"/>
    </row>
    <row r="153" spans="1:11" ht="12.75" customHeight="1" x14ac:dyDescent="0.2">
      <c r="A153" s="427" t="s">
        <v>1048</v>
      </c>
      <c r="B153" s="478">
        <v>3510</v>
      </c>
      <c r="C153" s="1632"/>
      <c r="D153" s="1573"/>
      <c r="E153" s="1640"/>
      <c r="F153" s="1573">
        <v>67089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186810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386266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11420</v>
      </c>
      <c r="D168" s="1655"/>
      <c r="E168" s="1655"/>
      <c r="F168" s="1655"/>
      <c r="G168" s="1656"/>
      <c r="H168" s="1657"/>
      <c r="I168" s="1656"/>
      <c r="J168" s="1656"/>
      <c r="K168" s="1657"/>
    </row>
    <row r="169" spans="1:11" ht="12.75" customHeight="1" thickTop="1" thickBot="1" x14ac:dyDescent="0.25">
      <c r="A169" s="2278" t="s">
        <v>395</v>
      </c>
      <c r="B169" s="2279"/>
      <c r="C169" s="1658">
        <f t="shared" ref="C169:K169" si="6">SUM(C132,C141,C145,C146:C150,C155,C156:C167,C168)</f>
        <v>403783</v>
      </c>
      <c r="D169" s="1658">
        <f t="shared" si="6"/>
        <v>0</v>
      </c>
      <c r="E169" s="1658">
        <f t="shared" si="6"/>
        <v>0</v>
      </c>
      <c r="F169" s="1658">
        <f t="shared" si="6"/>
        <v>186810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2010472</v>
      </c>
      <c r="D170" s="1641">
        <f t="shared" si="7"/>
        <v>435000</v>
      </c>
      <c r="E170" s="1641">
        <f t="shared" si="7"/>
        <v>0</v>
      </c>
      <c r="F170" s="1641">
        <f t="shared" si="7"/>
        <v>313810</v>
      </c>
      <c r="G170" s="1641">
        <f t="shared" si="7"/>
        <v>10000</v>
      </c>
      <c r="H170" s="1641">
        <f t="shared" si="7"/>
        <v>0</v>
      </c>
      <c r="I170" s="1641">
        <f t="shared" si="7"/>
        <v>0</v>
      </c>
      <c r="J170" s="1641">
        <f t="shared" si="7"/>
        <v>10000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80" t="s">
        <v>1475</v>
      </c>
      <c r="B172" s="228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84" t="s">
        <v>1646</v>
      </c>
      <c r="B175" s="228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7" t="s">
        <v>1645</v>
      </c>
      <c r="B176" s="228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86"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82" t="s">
        <v>1780</v>
      </c>
      <c r="B182" s="228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4470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4470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77140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46509</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v>4469</v>
      </c>
      <c r="D196" s="1575"/>
      <c r="E196" s="1640"/>
      <c r="F196" s="1575"/>
      <c r="G196" s="1665"/>
      <c r="H196" s="1575"/>
      <c r="I196" s="1575"/>
      <c r="J196" s="1575"/>
      <c r="K196" s="1575"/>
    </row>
    <row r="197" spans="1:11" ht="12.75" customHeight="1" x14ac:dyDescent="0.2">
      <c r="A197" s="427" t="s">
        <v>71</v>
      </c>
      <c r="B197" s="429">
        <v>4299</v>
      </c>
      <c r="C197" s="1632">
        <v>17378</v>
      </c>
      <c r="D197" s="1575"/>
      <c r="E197" s="1640"/>
      <c r="F197" s="1575"/>
      <c r="G197" s="1664"/>
      <c r="H197" s="1575"/>
      <c r="I197" s="1575"/>
      <c r="J197" s="1575"/>
      <c r="K197" s="1575"/>
    </row>
    <row r="198" spans="1:11" ht="12.75" customHeight="1" thickBot="1" x14ac:dyDescent="0.25">
      <c r="A198" s="1406" t="s">
        <v>544</v>
      </c>
      <c r="B198" s="1407"/>
      <c r="C198" s="1594">
        <f>SUM(C190:C197)</f>
        <v>145496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267569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267569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v>19552</v>
      </c>
      <c r="D208" s="1573"/>
      <c r="E208" s="1575"/>
      <c r="F208" s="1573"/>
      <c r="G208" s="1573"/>
      <c r="H208" s="1575"/>
      <c r="I208" s="1575"/>
      <c r="J208" s="1575"/>
      <c r="K208" s="1575"/>
    </row>
    <row r="209" spans="1:11" ht="12.75" customHeight="1" thickBot="1" x14ac:dyDescent="0.25">
      <c r="A209" s="1406" t="s">
        <v>883</v>
      </c>
      <c r="B209" s="1407"/>
      <c r="C209" s="1633">
        <f>SUM(C206:C208)</f>
        <v>19552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15892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81846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97738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14995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13716</v>
      </c>
      <c r="D263" s="1651"/>
      <c r="E263" s="1575"/>
      <c r="F263" s="1651"/>
      <c r="G263" s="1651"/>
      <c r="H263" s="1575"/>
      <c r="I263" s="1575"/>
      <c r="J263" s="1575"/>
      <c r="K263" s="1575"/>
    </row>
    <row r="264" spans="1:11" ht="12.75" customHeight="1" thickTop="1" thickBot="1" x14ac:dyDescent="0.25">
      <c r="A264" s="427" t="s">
        <v>374</v>
      </c>
      <c r="B264" s="429">
        <v>4992</v>
      </c>
      <c r="C264" s="1650">
        <v>1051</v>
      </c>
      <c r="D264" s="1651"/>
      <c r="E264" s="1575"/>
      <c r="F264" s="1651"/>
      <c r="G264" s="1651"/>
      <c r="H264" s="1575"/>
      <c r="I264" s="1575"/>
      <c r="J264" s="1575"/>
      <c r="K264" s="1575"/>
    </row>
    <row r="265" spans="1:11" s="489" customFormat="1" ht="12.75" customHeight="1" thickTop="1" thickBot="1" x14ac:dyDescent="0.25">
      <c r="A265" s="479" t="s">
        <v>75</v>
      </c>
      <c r="B265" s="475">
        <v>4998</v>
      </c>
      <c r="C265" s="1650">
        <v>20721</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585308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585308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2818897</v>
      </c>
      <c r="D268" s="1641">
        <f t="shared" si="12"/>
        <v>524224</v>
      </c>
      <c r="E268" s="1641">
        <f t="shared" si="12"/>
        <v>40412</v>
      </c>
      <c r="F268" s="1641">
        <f t="shared" si="12"/>
        <v>334339</v>
      </c>
      <c r="G268" s="1641">
        <f t="shared" si="12"/>
        <v>111393</v>
      </c>
      <c r="H268" s="1641">
        <f t="shared" si="12"/>
        <v>0</v>
      </c>
      <c r="I268" s="1641">
        <f t="shared" si="12"/>
        <v>8568</v>
      </c>
      <c r="J268" s="1641">
        <f t="shared" si="12"/>
        <v>66977</v>
      </c>
      <c r="K268" s="1629">
        <f t="shared" si="12"/>
        <v>8568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4d435f69-8686-490b-bd6d-b153bf22ab50"/>
    <ds:schemaRef ds:uri="http://purl.org/dc/dcmitype/"/>
    <ds:schemaRef ds:uri="6ce3111e-7420-4802-b50a-75d4e9a0b980"/>
    <ds:schemaRef ds:uri="http://purl.org/dc/term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Expenditures 15-22</vt:lpstr>
      <vt:lpstr>Revenues 9-14</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2020-11-08T03:01:50Z</cp:lastPrinted>
  <dcterms:created xsi:type="dcterms:W3CDTF">2003-10-29T19:06:34Z</dcterms:created>
  <dcterms:modified xsi:type="dcterms:W3CDTF">2020-11-12T21:31:16Z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