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4B91659-F5A3-4045-8DA9-E95F11AB90BD}" xr6:coauthVersionLast="36" xr6:coauthVersionMax="36" xr10:uidLastSave="{00000000-0000-0000-0000-000000000000}"/>
  <bookViews>
    <workbookView xWindow="-120" yWindow="-12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0" i="108" l="1"/>
  <c r="E142" i="183"/>
  <c r="D142" i="183"/>
  <c r="J34" i="8" l="1"/>
  <c r="J33" i="8"/>
  <c r="J31" i="8"/>
  <c r="N21" i="3"/>
  <c r="D39" i="3"/>
  <c r="E39" i="3"/>
  <c r="J24" i="24"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F17" i="183"/>
  <c r="E17" i="183"/>
  <c r="F142" i="183" l="1"/>
  <c r="F80" i="34"/>
  <c r="B7885" i="106" l="1"/>
  <c r="D7885" i="106" s="1"/>
  <c r="B7884" i="106"/>
  <c r="D7884" i="106" s="1"/>
  <c r="B7883" i="106"/>
  <c r="B7882" i="106"/>
  <c r="D7882" i="106" s="1"/>
  <c r="D7883" i="106"/>
  <c r="B11" i="7" l="1"/>
  <c r="D7836" i="106" l="1"/>
  <c r="J88" i="28" l="1"/>
  <c r="J85" i="28"/>
  <c r="J90" i="28" s="1"/>
  <c r="B7819" i="106" l="1"/>
  <c r="D7819" i="106" s="1"/>
  <c r="B7818" i="106"/>
  <c r="D7818" i="106" s="1"/>
  <c r="A15" i="183" l="1"/>
  <c r="D82" i="36" l="1"/>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J32" i="8" s="1"/>
  <c r="J49" i="8" s="1"/>
  <c r="B4172" i="106" s="1"/>
  <c r="D4172" i="106"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B5752" i="106"/>
  <c r="D5752" i="106" s="1"/>
  <c r="H33" i="118" l="1"/>
  <c r="B279" i="106"/>
  <c r="D279" i="106" s="1"/>
  <c r="M40" i="3"/>
  <c r="H12" i="184"/>
  <c r="B7180" i="106"/>
  <c r="D7180" i="106" s="1"/>
  <c r="E63" i="184"/>
  <c r="N63" i="184" s="1"/>
  <c r="J129" i="29"/>
  <c r="B7038" i="106" s="1"/>
  <c r="D7038" i="106" s="1"/>
  <c r="B7696" i="106"/>
  <c r="D7696" i="106" s="1"/>
  <c r="E66" i="184"/>
  <c r="N66" i="184" s="1"/>
  <c r="B7135" i="106"/>
  <c r="D7135" i="106" s="1"/>
  <c r="E58" i="184"/>
  <c r="N58" i="184" s="1"/>
  <c r="B7705" i="106"/>
  <c r="D7705" i="106" s="1"/>
  <c r="E67" i="184"/>
  <c r="N67" i="184" s="1"/>
  <c r="D24" i="37"/>
  <c r="B4270" i="106" s="1"/>
  <c r="D4270" i="106" s="1"/>
  <c r="F36" i="34"/>
  <c r="B7828" i="106" s="1"/>
  <c r="D7828" i="106" s="1"/>
  <c r="B7198" i="106"/>
  <c r="D7198" i="106" s="1"/>
  <c r="E65" i="184"/>
  <c r="N65" i="184" s="1"/>
  <c r="B7162" i="106"/>
  <c r="D7162" i="106" s="1"/>
  <c r="E61" i="184"/>
  <c r="N61" i="184" s="1"/>
  <c r="B7126" i="106"/>
  <c r="D7126" i="106" s="1"/>
  <c r="E57" i="184"/>
  <c r="H365" i="29"/>
  <c r="B7242" i="106" s="1"/>
  <c r="D7242" i="106" s="1"/>
  <c r="H15" i="184"/>
  <c r="H342" i="29"/>
  <c r="B7171" i="106"/>
  <c r="D7171" i="106" s="1"/>
  <c r="E62" i="184"/>
  <c r="N62" i="184" s="1"/>
  <c r="F70" i="34"/>
  <c r="F37" i="34"/>
  <c r="B7829" i="106" s="1"/>
  <c r="D7829"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G170" i="5"/>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3447" i="106"/>
  <c r="D3447" i="106" s="1"/>
  <c r="L16" i="11" l="1"/>
  <c r="B2061" i="106" s="1"/>
  <c r="D2061" i="106" s="1"/>
  <c r="M41" i="3"/>
  <c r="B280" i="106"/>
  <c r="D280" i="106" s="1"/>
  <c r="K342" i="29"/>
  <c r="F13" i="34" s="1"/>
  <c r="H77" i="4"/>
  <c r="B3299" i="106" s="1"/>
  <c r="D3299" i="106" s="1"/>
  <c r="B1381" i="106"/>
  <c r="D1381" i="106" s="1"/>
  <c r="B5527" i="106"/>
  <c r="D5527" i="106" s="1"/>
  <c r="F41" i="108"/>
  <c r="G43" i="108" s="1"/>
  <c r="L114" i="29"/>
  <c r="N23" i="3"/>
  <c r="B284" i="106" s="1"/>
  <c r="D284" i="106" s="1"/>
  <c r="E367" i="29"/>
  <c r="B3635" i="106"/>
  <c r="B7235" i="106"/>
  <c r="D7235" i="106" s="1"/>
  <c r="J16" i="4"/>
  <c r="B6226" i="106" s="1"/>
  <c r="D6226" i="106" s="1"/>
  <c r="E19" i="184"/>
  <c r="N57" i="184"/>
  <c r="N68" i="184" s="1"/>
  <c r="E68" i="184"/>
  <c r="B7215" i="106"/>
  <c r="D7215" i="106" s="1"/>
  <c r="B7220" i="106"/>
  <c r="D7220" i="106" s="1"/>
  <c r="F75" i="34"/>
  <c r="B7886" i="106" s="1"/>
  <c r="D7886" i="106" s="1"/>
  <c r="B7222" i="106"/>
  <c r="D7222" i="106" s="1"/>
  <c r="F76" i="34"/>
  <c r="B7887" i="106" s="1"/>
  <c r="D7887" i="106" s="1"/>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281" i="106" l="1"/>
  <c r="D281" i="106" s="1"/>
  <c r="D54" i="36"/>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B6223" i="106" l="1"/>
  <c r="D6223" i="106" s="1"/>
  <c r="F8" i="4"/>
  <c r="F10" i="4" s="1"/>
  <c r="B4125" i="106" s="1"/>
  <c r="D4125" i="106" s="1"/>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8" i="146"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B6215" i="106" l="1"/>
  <c r="D6215" i="106" s="1"/>
  <c r="J41" i="3"/>
  <c r="D78" i="4"/>
  <c r="B3239" i="106" s="1"/>
  <c r="D3239" i="106" s="1"/>
  <c r="F78" i="34"/>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567" i="106" l="1"/>
  <c r="D3567" i="106" s="1"/>
  <c r="K41" i="3"/>
  <c r="D51" i="36"/>
  <c r="B6216" i="106"/>
  <c r="D6216" i="106" s="1"/>
  <c r="B2912" i="106"/>
  <c r="D2912" i="106" s="1"/>
  <c r="I41" i="3"/>
  <c r="B212" i="106"/>
  <c r="D212" i="106" s="1"/>
  <c r="H41" i="3"/>
  <c r="B123" i="106"/>
  <c r="D123" i="106" s="1"/>
  <c r="D41" i="3"/>
  <c r="F176" i="34"/>
  <c r="B7878" i="106" s="1"/>
  <c r="D7878" i="106" s="1"/>
  <c r="B7835" i="106"/>
  <c r="D7835" i="106" s="1"/>
  <c r="B3278" i="106"/>
  <c r="D3278" i="106" s="1"/>
  <c r="E81" i="4"/>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92" i="106" l="1"/>
  <c r="D92" i="106" s="1"/>
  <c r="C41" i="3"/>
  <c r="D52" i="36"/>
  <c r="B3568" i="106"/>
  <c r="D3568" i="106" s="1"/>
  <c r="B2913" i="106"/>
  <c r="D2913" i="106" s="1"/>
  <c r="D50" i="36"/>
  <c r="B213" i="106"/>
  <c r="D213" i="106" s="1"/>
  <c r="D49" i="36"/>
  <c r="B189" i="106"/>
  <c r="D189" i="106" s="1"/>
  <c r="G41" i="3"/>
  <c r="B170" i="106"/>
  <c r="D170" i="106" s="1"/>
  <c r="F41" i="3"/>
  <c r="B140" i="106"/>
  <c r="D140" i="106" s="1"/>
  <c r="E41" i="3"/>
  <c r="D76" i="36"/>
  <c r="B124" i="106"/>
  <c r="D124" i="106" s="1"/>
  <c r="D45"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B190" i="106"/>
  <c r="D190" i="106" s="1"/>
  <c r="D48" i="36"/>
  <c r="D47" i="36"/>
  <c r="B171" i="106"/>
  <c r="D171" i="106" s="1"/>
  <c r="B141" i="106"/>
  <c r="D141" i="106" s="1"/>
  <c r="D46"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<sst xmlns="http://schemas.openxmlformats.org/spreadsheetml/2006/main" count="5155" uniqueCount="2089">
  <si>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</si>
  <si>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</si>
  <si>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</si>
  <si>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</si>
  <si>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</si>
  <si>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</si>
  <si>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</si>
  <si>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</si>
  <si>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</si>
  <si>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</si>
  <si>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</si>
  <si>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</si>
  <si>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</si>
  <si>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</si>
  <si>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</si>
  <si>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</si>
  <si>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</si>
  <si>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</si>
  <si>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</si>
  <si>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</si>
  <si>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</si>
  <si>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</si>
  <si>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</si>
  <si>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</si>
  <si>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</si>
  <si>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</si>
  <si>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</si>
  <si>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</si>
  <si>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</si>
  <si>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</si>
  <si>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</si>
  <si>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</si>
  <si>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</si>
  <si>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</si>
  <si>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</si>
  <si>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</si>
  <si>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</si>
  <si>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</si>
  <si>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</si>
  <si>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</si>
  <si>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</si>
  <si>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</si>
  <si>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</si>
  <si>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</si>
  <si>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</si>
  <si>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</si>
  <si>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</si>
  <si>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</si>
  <si>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</si>
  <si>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</si>
  <si>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</si>
  <si>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</si>
  <si>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</si>
  <si>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</si>
  <si>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</si>
  <si>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</si>
  <si>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</si>
  <si>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</si>
  <si>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</si>
  <si>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</si>
  <si>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</si>
  <si>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</si>
  <si>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</si>
  <si>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</si>
  <si>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</si>
  <si>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</si>
  <si>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</si>
  <si>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</si>
  <si>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</si>
  <si>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</si>
  <si>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</si>
  <si>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</si>
  <si>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</si>
  <si>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</si>
  <si>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</si>
  <si>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</si>
  <si>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</si>
  <si>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</si>
  <si>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</si>
  <si>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</si>
  <si>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</si>
  <si>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</si>
  <si>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</si>
  <si>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</si>
  <si>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</si>
  <si>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</si>
  <si>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</si>
  <si>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</si>
  <si>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</si>
  <si>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</si>
  <si>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</si>
  <si>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</si>
  <si>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</si>
  <si>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</si>
  <si>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</si>
  <si>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</si>
  <si>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</si>
  <si>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</si>
  <si>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</si>
  <si>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</si>
  <si>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</si>
  <si>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</si>
  <si>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</si>
  <si>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</si>
  <si>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</si>
  <si>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</si>
  <si>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</si>
  <si>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</si>
  <si>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</si>
  <si>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</si>
  <si>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</si>
  <si>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</si>
  <si>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</si>
  <si>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</si>
  <si>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</si>
  <si>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</si>
  <si>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</si>
  <si>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</si>
  <si>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</si>
  <si>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</si>
  <si>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</si>
  <si>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</si>
  <si>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</si>
  <si>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</si>
  <si>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</si>
  <si>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</si>
  <si>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</si>
  <si>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</si>
  <si>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</si>
  <si>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</si>
  <si>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</si>
  <si>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</si>
  <si>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</si>
  <si>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</si>
  <si>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</si>
  <si>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</si>
  <si>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</si>
  <si>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</si>
  <si>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</si>
  <si>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</si>
  <si>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</si>
  <si>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</si>
  <si>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</si>
  <si>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</si>
  <si>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</si>
  <si>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</si>
  <si>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</si>
  <si>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</si>
  <si>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</si>
  <si>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</si>
  <si>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</si>
  <si>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</si>
  <si>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</si>
  <si>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</si>
  <si>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</si>
  <si>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</si>
  <si>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</si>
  <si>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</si>
  <si>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</si>
  <si>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</si>
  <si>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</si>
  <si>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</si>
  <si>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</si>
  <si>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</si>
  <si>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</si>
  <si>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</si>
  <si>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</si>
  <si>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</si>
  <si>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</si>
  <si>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</si>
  <si>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</si>
  <si>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</si>
  <si>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</si>
  <si>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</si>
  <si>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</si>
  <si>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</si>
  <si>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</si>
  <si>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</si>
  <si>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</si>
  <si>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</si>
  <si>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</si>
  <si>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</si>
  <si>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</si>
  <si>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</si>
  <si>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</si>
  <si>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</si>
  <si>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</si>
  <si>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</si>
  <si>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</si>
  <si>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</si>
  <si>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</si>
  <si>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</si>
  <si>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</si>
  <si>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</si>
  <si>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</si>
  <si>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</si>
  <si>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</si>
  <si>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</si>
  <si>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</si>
  <si>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</si>
  <si>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</si>
  <si>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</si>
  <si>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</si>
  <si>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</si>
  <si>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</si>
  <si>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</si>
  <si>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</si>
  <si>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</si>
  <si>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</si>
  <si>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</si>
  <si>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</si>
  <si>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</si>
  <si>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</si>
  <si>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</si>
  <si>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</si>
  <si>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</si>
  <si>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</si>
  <si>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</si>
  <si>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</si>
  <si>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</si>
  <si>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</si>
  <si>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</si>
  <si>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</si>
  <si>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</si>
  <si>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</si>
  <si>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</si>
  <si>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</si>
  <si>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</si>
  <si>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</si>
  <si>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</si>
  <si>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</si>
  <si>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</si>
  <si>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</si>
  <si>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</si>
  <si>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</si>
  <si>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</si>
  <si>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</si>
  <si>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</si>
  <si>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</si>
  <si>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</si>
  <si>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</si>
  <si>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</si>
  <si>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</si>
  <si>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</si>
  <si>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</si>
  <si>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</si>
  <si>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</si>
  <si>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</si>
  <si>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</si>
  <si>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</si>
  <si>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</si>
  <si>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</si>
  <si>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</si>
  <si>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</si>
  <si>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</si>
  <si>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</si>
  <si>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</si>
  <si>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</si>
  <si>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</si>
  <si>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</si>
  <si>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</si>
  <si>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</si>
  <si>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</si>
  <si>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</si>
  <si>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</si>
  <si>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</si>
  <si>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</si>
  <si>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</si>
  <si>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</si>
  <si>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</si>
  <si>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</si>
  <si>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</si>
  <si>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</si>
  <si>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</si>
  <si>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</si>
  <si>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</si>
  <si>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</si>
  <si>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</si>
  <si>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</si>
  <si>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</si>
  <si>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</si>
  <si>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</si>
  <si>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</si>
  <si>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</si>
  <si>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</si>
  <si>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</si>
  <si>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</si>
  <si>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</si>
  <si>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</si>
  <si>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</si>
  <si>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</si>
  <si>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</si>
  <si>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</si>
  <si>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</si>
  <si>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</si>
  <si>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</si>
  <si>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</si>
  <si>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</si>
  <si>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</si>
  <si>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</si>
  <si>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</si>
  <si>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</si>
  <si>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</si>
  <si>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</si>
  <si>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</si>
  <si>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</si>
  <si>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</si>
  <si>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</si>
  <si>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</si>
  <si>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</si>
  <si>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</si>
  <si>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</si>
  <si>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</si>
  <si>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</si>
  <si>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</si>
  <si>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</si>
  <si>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</si>
  <si>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</si>
  <si>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</si>
  <si>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</si>
  <si>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</si>
  <si>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</si>
  <si>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</si>
  <si>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</si>
  <si>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</si>
  <si>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</si>
  <si>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</si>
  <si>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</si>
  <si>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</si>
  <si>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</si>
  <si>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</si>
  <si>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</si>
  <si>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</si>
  <si>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</si>
  <si>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</si>
  <si>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</si>
  <si>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</si>
  <si>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</si>
  <si>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</si>
  <si>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</si>
  <si>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</si>
  <si>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</si>
  <si>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</si>
  <si>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</si>
  <si>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</si>
  <si>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</si>
  <si>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</si>
  <si>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</si>
  <si>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</si>
  <si>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</si>
  <si>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</si>
  <si>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</si>
  <si>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</si>
  <si>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</si>
  <si>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</si>
  <si>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</si>
  <si>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</si>
  <si>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</si>
  <si>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</si>
  <si>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</si>
  <si>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</si>
  <si>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</si>
  <si>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</si>
  <si>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</si>
  <si>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</si>
  <si>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</si>
  <si>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</si>
  <si>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</si>
  <si>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</si>
  <si>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</si>
  <si>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</si>
  <si>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</si>
  <si>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</si>
  <si>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</si>
  <si>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</si>
  <si>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</si>
  <si>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</si>
  <si>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</si>
  <si>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</si>
  <si>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</si>
  <si>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</si>
  <si>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</si>
  <si>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</si>
  <si>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</si>
  <si>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</si>
  <si>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</si>
  <si>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</si>
  <si>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</si>
  <si>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</si>
  <si>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</si>
  <si>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</si>
  <si>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</si>
  <si>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</si>
  <si>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</si>
  <si>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</si>
  <si>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</si>
  <si>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</si>
  <si>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</si>
  <si>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</si>
  <si>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</si>
  <si>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</si>
  <si>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</si>
  <si>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</si>
  <si>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</si>
  <si>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</si>
  <si>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</si>
  <si>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</si>
  <si>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</si>
  <si>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</si>
  <si>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</si>
  <si>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</si>
  <si>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</si>
  <si>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</si>
  <si>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</si>
  <si>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</si>
  <si>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</si>
  <si>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</si>
  <si>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</si>
  <si>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</si>
  <si>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</si>
  <si>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</si>
  <si>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</si>
  <si>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</si>
  <si>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</si>
  <si>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</si>
  <si>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</si>
  <si>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</si>
  <si>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</si>
  <si>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</si>
  <si>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</si>
  <si>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</si>
  <si>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</si>
  <si>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</si>
  <si>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</si>
  <si>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</si>
  <si>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</si>
  <si>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</si>
  <si>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</si>
  <si>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</si>
  <si>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</si>
  <si>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</si>
  <si>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</si>
  <si>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</si>
  <si>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</si>
  <si>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</si>
  <si>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</si>
  <si>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</si>
  <si>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</si>
  <si>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</si>
  <si>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</si>
  <si>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</si>
  <si>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</si>
  <si>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</si>
  <si>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</si>
  <si>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</si>
  <si>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</si>
  <si>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</si>
  <si>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</si>
  <si>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</si>
  <si>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</si>
  <si>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</si>
  <si>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</si>
  <si>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</si>
  <si>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</si>
  <si>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</si>
  <si>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</si>
  <si>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</si>
  <si>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</si>
  <si>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</si>
  <si>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</si>
  <si>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</si>
  <si>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</si>
  <si>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</si>
  <si>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</si>
  <si>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</si>
  <si>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</si>
  <si>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</si>
  <si>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</si>
  <si>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</si>
  <si>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</si>
  <si>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</si>
  <si>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</si>
  <si>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</si>
  <si>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</si>
  <si>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</si>
  <si>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</si>
  <si>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</si>
  <si>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</si>
  <si>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</si>
  <si>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</si>
  <si>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</si>
  <si>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</si>
  <si>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</si>
  <si>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</si>
  <si>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</si>
  <si>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</si>
  <si>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</si>
  <si>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</si>
  <si>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</si>
  <si>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</si>
  <si>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</si>
  <si>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</si>
  <si>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</si>
  <si>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</si>
  <si>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</si>
  <si>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</si>
  <si>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</si>
  <si>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</si>
  <si>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</si>
  <si>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</si>
  <si>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</si>
  <si>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</si>
  <si>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</si>
  <si>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</si>
  <si>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</si>
  <si>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</si>
  <si>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</si>
  <si>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</si>
  <si>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</si>
  <si>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</si>
  <si>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</si>
  <si>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</si>
  <si>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</si>
  <si>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</si>
  <si>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</si>
  <si>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</si>
  <si>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</si>
  <si>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</si>
  <si>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</si>
  <si>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</si>
  <si>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</si>
  <si>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</si>
  <si>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</si>
  <si>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</si>
  <si>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</si>
  <si>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</si>
  <si>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</si>
  <si>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</si>
  <si>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</si>
  <si>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</si>
  <si>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</si>
  <si>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</si>
  <si>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</si>
  <si>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</si>
  <si>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</si>
  <si>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</si>
  <si>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</si>
  <si>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</si>
  <si>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</si>
  <si>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</si>
  <si>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</si>
  <si>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</si>
  <si>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</si>
  <si>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</si>
  <si>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</si>
  <si>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</si>
  <si>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</si>
  <si>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</si>
  <si>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</si>
  <si>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</si>
  <si>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</si>
  <si>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</si>
  <si>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</si>
  <si>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</si>
  <si>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</si>
  <si>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</si>
  <si>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</si>
  <si>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</si>
  <si>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</si>
  <si>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</si>
  <si>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</si>
  <si>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</si>
  <si>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</si>
  <si>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</si>
  <si>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</si>
  <si>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</si>
  <si>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</si>
  <si>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</si>
  <si>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</si>
  <si>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</si>
  <si>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</si>
  <si>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</si>
  <si>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</si>
  <si>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</si>
  <si>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</si>
  <si>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</si>
  <si>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</si>
  <si>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</si>
  <si>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</si>
  <si>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</si>
  <si>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</si>
  <si>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</si>
  <si>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</si>
  <si>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</si>
  <si>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</si>
  <si>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</si>
  <si>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</si>
  <si>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</si>
  <si>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</si>
  <si>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</si>
  <si>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</si>
  <si>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</si>
  <si>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</si>
  <si>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</si>
  <si>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</si>
  <si>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</si>
  <si>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</si>
  <si>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</si>
  <si>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</si>
  <si>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</si>
  <si>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</si>
  <si>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</si>
  <si>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</si>
  <si>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</si>
  <si>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</si>
  <si>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</si>
  <si>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</si>
  <si>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</si>
  <si>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</si>
  <si>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</si>
  <si>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</si>
  <si>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</si>
  <si>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</si>
  <si>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</si>
  <si>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</si>
  <si>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</si>
  <si>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</si>
  <si>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</si>
  <si>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</si>
  <si>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</si>
  <si>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</si>
  <si>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</si>
  <si>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</si>
  <si>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</si>
  <si>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</si>
  <si>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</si>
  <si>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</si>
  <si>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</si>
  <si>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</si>
  <si>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</si>
  <si>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</si>
  <si>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</si>
  <si>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</si>
  <si>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</si>
  <si>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</si>
  <si>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</si>
  <si>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</si>
  <si>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</si>
  <si>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</si>
  <si>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</si>
  <si>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</si>
  <si>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</si>
  <si>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</si>
  <si>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</si>
  <si>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</si>
  <si>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</si>
  <si>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</si>
  <si>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</si>
  <si>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</si>
  <si>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</si>
  <si>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</si>
  <si>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</si>
  <si>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</si>
  <si>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</si>
  <si>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</si>
  <si>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</si>
  <si>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</si>
  <si>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</si>
  <si>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</si>
  <si>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</si>
  <si>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</si>
  <si>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</si>
  <si>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</si>
  <si>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</si>
  <si>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</si>
  <si>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</si>
  <si>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</si>
  <si>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</si>
  <si>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</si>
  <si>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</si>
  <si>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</si>
  <si>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</si>
  <si>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</si>
  <si>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</si>
  <si>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</si>
  <si>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</si>
  <si>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</si>
  <si>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</si>
  <si>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</si>
  <si>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</si>
  <si>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</si>
  <si>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</si>
  <si>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</si>
  <si>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</si>
  <si>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</si>
  <si>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</si>
  <si>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</si>
  <si>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</si>
  <si>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</si>
  <si>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</si>
  <si>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</si>
  <si>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</si>
  <si>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</si>
  <si>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</si>
  <si>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</si>
  <si>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</si>
  <si>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</si>
  <si>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</si>
  <si>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</si>
  <si>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</si>
  <si>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</si>
  <si>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</si>
  <si>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</si>
  <si>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</si>
  <si>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</si>
  <si>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</si>
  <si>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</si>
  <si>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</si>
  <si>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</si>
  <si>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</si>
  <si>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</si>
  <si>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</si>
  <si>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</si>
  <si>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</si>
  <si>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</si>
  <si>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</si>
  <si>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</si>
  <si>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</si>
  <si>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</si>
  <si>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</si>
  <si>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</si>
  <si>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</si>
  <si>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</si>
  <si>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</si>
  <si>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</si>
  <si>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</si>
  <si>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</si>
  <si>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</si>
  <si>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</si>
  <si>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</si>
  <si>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</si>
  <si>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</si>
  <si>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</si>
  <si>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</si>
  <si>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</si>
  <si>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</si>
  <si>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</si>
  <si>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</si>
  <si>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</si>
  <si>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</si>
  <si>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</si>
  <si>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</si>
  <si>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</si>
  <si>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</si>
  <si>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</si>
  <si>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</si>
  <si>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</si>
  <si>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</si>
  <si>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</si>
  <si>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</si>
  <si>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</si>
  <si>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</si>
  <si>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</si>
  <si>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</si>
  <si>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</si>
  <si>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</si>
  <si>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</si>
  <si>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</si>
  <si>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</si>
  <si>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</si>
  <si>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</si>
  <si>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</si>
  <si>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</si>
  <si>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</si>
  <si>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</si>
  <si>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</si>
  <si>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</si>
  <si>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</si>
  <si>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</si>
  <si>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</si>
  <si>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</si>
  <si>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</si>
  <si>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</si>
  <si>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</si>
  <si>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</si>
  <si>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</si>
  <si>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</si>
  <si>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</si>
  <si>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</si>
  <si>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</si>
  <si>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</si>
  <si>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</si>
  <si>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</si>
  <si>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</si>
  <si>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</si>
  <si>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</si>
  <si>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</si>
  <si>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</si>
  <si>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</si>
  <si>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</si>
  <si>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</si>
  <si>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</si>
  <si>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</si>
  <si>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</si>
  <si>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</si>
  <si>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</si>
  <si>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</si>
  <si>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</si>
  <si>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</si>
  <si>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</si>
  <si>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</si>
  <si>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</si>
  <si>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</si>
  <si>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</si>
  <si>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</si>
  <si>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</si>
  <si>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</si>
  <si>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</si>
  <si>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</si>
  <si>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</si>
  <si>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</si>
  <si>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</si>
  <si>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</si>
  <si>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</si>
  <si>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</si>
  <si>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</si>
  <si>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</si>
  <si>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</si>
  <si>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</si>
  <si>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</si>
  <si>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</si>
  <si>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</si>
  <si>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</si>
  <si>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</si>
  <si>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</si>
  <si>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</si>
  <si>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</si>
  <si>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</si>
  <si>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</si>
  <si>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</si>
  <si>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</si>
  <si>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</si>
  <si>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</si>
  <si>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</si>
  <si>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</si>
  <si>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</si>
  <si>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</si>
  <si>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</si>
  <si>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</si>
  <si>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</si>
  <si>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</si>
  <si>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</si>
  <si>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</si>
  <si>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</si>
  <si>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</si>
  <si>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</si>
  <si>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</si>
  <si>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</si>
  <si>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</si>
  <si>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</si>
  <si>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</si>
  <si>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</si>
  <si>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</si>
  <si>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</si>
  <si>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</si>
  <si>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</si>
  <si>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</si>
  <si>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</si>
  <si>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</si>
  <si>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</si>
  <si>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</si>
  <si>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</si>
  <si>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</si>
  <si>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</si>
  <si>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</si>
  <si>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</si>
  <si>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</si>
  <si>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</si>
  <si>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</si>
  <si>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</si>
  <si>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</si>
  <si>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</si>
  <si>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</si>
  <si>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</si>
  <si>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</si>
  <si>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</si>
  <si>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</si>
  <si>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</si>
  <si>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</si>
  <si>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</si>
  <si>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</si>
  <si>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</si>
  <si>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</si>
  <si>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</si>
  <si>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</si>
  <si>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</si>
  <si>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</si>
  <si>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</si>
  <si>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</si>
  <si>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</si>
  <si>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</si>
  <si>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</si>
  <si>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</si>
  <si>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</si>
  <si>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</si>
  <si>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</si>
  <si>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</si>
  <si>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</si>
  <si>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</si>
  <si>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</si>
  <si>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</si>
  <si>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</si>
  <si>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</si>
  <si>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</si>
  <si>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</si>
  <si>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</si>
  <si>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</si>
  <si>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</si>
  <si>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</si>
  <si>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</si>
  <si>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</si>
  <si>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</si>
  <si>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</si>
  <si>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</si>
  <si>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</si>
  <si>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</si>
  <si>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</si>
  <si>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</si>
  <si>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</si>
  <si>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</si>
  <si>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</si>
  <si>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</si>
  <si>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</si>
  <si>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</si>
  <si>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</si>
  <si>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</si>
  <si>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</si>
  <si>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</si>
  <si>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</si>
  <si>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</si>
  <si>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</si>
  <si>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</si>
  <si>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</si>
  <si>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</si>
  <si>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</si>
  <si>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</si>
  <si>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</si>
  <si>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</si>
  <si>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</si>
  <si>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</si>
  <si>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</si>
  <si>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</si>
  <si>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</si>
  <si>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</si>
  <si>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</si>
  <si>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</si>
  <si>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</si>
  <si>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</si>
  <si>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</si>
  <si>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</si>
  <si>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</si>
  <si>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</si>
  <si>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</si>
  <si>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</si>
  <si>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</si>
  <si>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</si>
  <si>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</si>
  <si>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</si>
  <si>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</si>
  <si>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</si>
  <si>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</si>
  <si>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</si>
  <si>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</si>
  <si>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</si>
  <si>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</si>
  <si>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</si>
  <si>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</si>
  <si>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</si>
  <si>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</si>
  <si>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</si>
  <si>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</si>
  <si>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</si>
  <si>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</si>
  <si>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</si>
  <si>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</si>
  <si>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</si>
  <si>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</si>
  <si>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</si>
  <si>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</si>
  <si>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</si>
  <si>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</si>
  <si>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</si>
  <si>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</si>
  <si>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</si>
  <si>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</si>
  <si>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</si>
  <si>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</si>
  <si>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</si>
  <si>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</si>
  <si>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</si>
  <si>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</si>
  <si>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</si>
  <si>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</si>
  <si>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</si>
  <si>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</si>
  <si>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</si>
  <si>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</si>
  <si>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</si>
  <si>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</si>
  <si>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</si>
  <si>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</si>
  <si>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</si>
  <si>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</si>
  <si>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</si>
  <si>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</si>
  <si>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</si>
  <si>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</si>
  <si>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</si>
  <si>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</si>
  <si>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</si>
  <si>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</si>
  <si>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</si>
  <si>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</si>
  <si>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</si>
  <si>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</si>
  <si>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</si>
  <si>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</si>
  <si>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</si>
  <si>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</si>
  <si>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</si>
  <si>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</si>
  <si>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</si>
  <si>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</si>
  <si>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</si>
  <si>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</si>
  <si>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</si>
  <si>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</si>
  <si>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</si>
  <si>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</si>
  <si>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</si>
  <si>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</si>
  <si>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</si>
  <si>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</si>
  <si>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</si>
  <si>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</si>
  <si>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</si>
  <si>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</si>
  <si>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</si>
  <si>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</si>
  <si>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</si>
  <si>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</si>
  <si>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</si>
  <si>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</si>
  <si>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</si>
  <si>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</si>
  <si>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</si>
  <si>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</si>
  <si>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</si>
  <si>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</si>
  <si>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</si>
  <si>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</si>
  <si>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</si>
  <si>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</si>
  <si>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</si>
  <si>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</si>
  <si>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</si>
  <si>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</si>
  <si>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</si>
  <si>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</si>
  <si>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</si>
  <si>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</si>
  <si>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</si>
  <si>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</si>
  <si>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</si>
  <si>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</si>
  <si>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</si>
  <si>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</si>
  <si>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</si>
  <si>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</si>
  <si>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</si>
  <si>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</si>
  <si>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</si>
  <si>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</si>
  <si>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</si>
  <si>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</si>
  <si>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</si>
  <si>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</si>
  <si>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</si>
  <si>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</si>
  <si>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</si>
  <si>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</si>
  <si>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</si>
  <si>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</si>
  <si>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</si>
  <si>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</si>
  <si>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</si>
  <si>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</si>
  <si>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</si>
  <si>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</si>
  <si>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</si>
  <si>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</si>
  <si>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</si>
  <si>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</si>
  <si>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</si>
  <si>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</si>
  <si>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</si>
  <si>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</si>
  <si>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</si>
  <si>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</si>
  <si>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</si>
  <si>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</si>
  <si>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</si>
  <si>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</si>
  <si>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</si>
  <si>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</si>
  <si>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</si>
  <si>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</si>
  <si>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</si>
  <si>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</si>
  <si>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</si>
  <si>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</si>
  <si>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</si>
  <si>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</si>
  <si>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</si>
  <si>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</si>
  <si>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</si>
  <si>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</si>
  <si>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</si>
  <si>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</si>
  <si>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</si>
  <si>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</si>
  <si>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</si>
  <si>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</si>
  <si>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</si>
  <si>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</si>
  <si>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</si>
  <si>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</si>
  <si>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</si>
  <si>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</si>
  <si>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</si>
  <si>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</si>
  <si>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</si>
  <si>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</si>
  <si>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</si>
  <si>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</si>
  <si>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</si>
  <si>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</si>
  <si>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</si>
  <si>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</si>
  <si>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</si>
  <si>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</si>
  <si>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</si>
  <si>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</si>
  <si>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</si>
  <si>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</si>
  <si>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</si>
  <si>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</si>
  <si>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</si>
  <si>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</si>
  <si>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</si>
  <si>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</si>
  <si>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</si>
  <si>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</si>
  <si>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</si>
  <si>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</si>
  <si>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</si>
  <si>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</si>
  <si>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</si>
  <si>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</si>
  <si>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</si>
  <si>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</si>
  <si>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</si>
  <si>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</si>
  <si>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</si>
  <si>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</si>
  <si>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</si>
  <si>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</si>
  <si>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</si>
  <si>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</si>
  <si>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</si>
  <si>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</si>
  <si>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</si>
  <si>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</si>
  <si>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</si>
  <si>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</si>
  <si>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</si>
  <si>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</si>
  <si>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</si>
  <si>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</si>
  <si>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</si>
  <si>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</si>
  <si>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</si>
  <si>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</si>
  <si>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</si>
  <si>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</si>
  <si>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</si>
  <si>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</si>
  <si>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</si>
  <si>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</si>
  <si>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</si>
  <si>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</si>
  <si>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</si>
  <si>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</si>
  <si>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</si>
  <si>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</si>
  <si>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</si>
  <si>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</si>
  <si>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</si>
  <si>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</si>
  <si>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</si>
  <si>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</si>
  <si>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</si>
  <si>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</si>
  <si>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</si>
  <si>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</si>
  <si>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</si>
  <si>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</si>
  <si>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</si>
  <si>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</si>
  <si>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</si>
  <si>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</si>
  <si>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</si>
  <si>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</si>
  <si>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</si>
  <si>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</si>
  <si>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</si>
  <si>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</si>
  <si>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</si>
  <si>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</si>
  <si>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</si>
  <si>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</si>
  <si>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</si>
  <si>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</si>
  <si>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</si>
  <si>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</si>
  <si>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</si>
  <si>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</si>
  <si>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</si>
  <si>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</si>
  <si>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</si>
  <si>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</si>
  <si>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</si>
  <si>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</si>
  <si>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</si>
  <si>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</si>
  <si>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</si>
  <si>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</si>
  <si>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</si>
  <si>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</si>
  <si>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</si>
  <si>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</si>
  <si>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</si>
  <si>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</si>
  <si>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</si>
  <si>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</si>
  <si>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</si>
  <si>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</si>
  <si>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</si>
  <si>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</si>
  <si>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</si>
  <si>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</si>
  <si>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</si>
  <si>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</si>
  <si>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</si>
  <si>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</si>
  <si>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</si>
  <si>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</si>
  <si>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</si>
  <si>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</si>
  <si>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</si>
  <si>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</si>
  <si>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</si>
  <si>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</si>
  <si>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</si>
  <si>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</si>
  <si>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</si>
  <si>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</si>
  <si>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</si>
  <si>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</si>
  <si>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</si>
  <si>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</si>
  <si>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</si>
  <si>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</si>
  <si>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</si>
  <si>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</si>
  <si>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</si>
  <si>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</si>
  <si>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</si>
  <si>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</si>
  <si>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</si>
  <si>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</si>
  <si>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</si>
  <si>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</si>
  <si>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</si>
  <si>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</si>
  <si>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</si>
  <si>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</si>
  <si>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</si>
  <si>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</si>
  <si>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</si>
  <si>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</si>
  <si>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</si>
  <si>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</si>
  <si>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</si>
  <si>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</si>
  <si>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</si>
  <si>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</si>
  <si>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</si>
  <si>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</si>
  <si>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</si>
  <si>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</si>
  <si>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</si>
  <si>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</si>
  <si>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</si>
  <si>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</si>
  <si>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</si>
  <si>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</si>
  <si>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</si>
  <si>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</si>
  <si>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</si>
  <si>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</si>
  <si>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</si>
  <si>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</si>
  <si>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</si>
  <si>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</si>
  <si>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</si>
  <si>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</si>
  <si>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</si>
  <si>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</si>
  <si>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</si>
  <si>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</si>
  <si>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</si>
  <si>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</si>
  <si>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</si>
  <si>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</si>
  <si>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</si>
  <si>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</si>
  <si>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</si>
  <si>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</si>
  <si>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</si>
  <si>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</si>
  <si>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</si>
  <si>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</si>
  <si>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</si>
  <si>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</si>
  <si>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</si>
  <si>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</si>
  <si>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</si>
  <si>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</si>
  <si>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</si>
  <si>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</si>
  <si>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</si>
  <si>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</si>
  <si>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</si>
  <si>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</si>
  <si>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</si>
  <si>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</si>
  <si>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</si>
  <si>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</si>
  <si>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</si>
  <si>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</si>
  <si>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</si>
  <si>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</si>
  <si>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</si>
  <si>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</si>
  <si>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</si>
  <si>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</si>
  <si>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</si>
  <si>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</si>
  <si>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</si>
  <si>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</si>
  <si>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</si>
  <si>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</si>
  <si>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</si>
  <si>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</si>
  <si>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</si>
  <si>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</si>
  <si>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</si>
  <si>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</si>
  <si>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</si>
  <si>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</si>
  <si>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</si>
  <si>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</si>
  <si>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</si>
  <si>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</si>
  <si>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</si>
  <si>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</si>
  <si>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</si>
  <si>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</si>
  <si>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</si>
  <si>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</si>
  <si>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</si>
  <si>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</si>
  <si>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</si>
  <si>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</si>
  <si>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</si>
  <si>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</si>
  <si>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</si>
  <si>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</si>
  <si>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</si>
  <si>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</si>
  <si>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</si>
  <si>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</si>
  <si>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</si>
  <si>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</si>
  <si>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</si>
  <si>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</si>
  <si>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</si>
  <si>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</si>
  <si>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</si>
  <si>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</si>
  <si>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</si>
  <si>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</si>
  <si>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</si>
  <si>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</si>
  <si>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</si>
  <si>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</si>
  <si>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</si>
  <si>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</si>
  <si>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</si>
  <si>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</si>
  <si>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</si>
  <si>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</si>
  <si>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</si>
  <si>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</si>
  <si>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</si>
  <si>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</si>
  <si>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</si>
  <si>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</si>
  <si>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</si>
  <si>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</si>
  <si>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</si>
  <si>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</si>
  <si>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</si>
  <si>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</si>
  <si>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</si>
  <si>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</si>
  <si>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</si>
  <si>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</si>
  <si>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</si>
  <si>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</si>
  <si>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</si>
  <si>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</si>
  <si>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</si>
  <si>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</si>
  <si>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</si>
  <si>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</si>
  <si>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</si>
  <si>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</si>
  <si>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</si>
  <si>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</si>
  <si>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</si>
  <si>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</si>
  <si>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</si>
  <si>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</si>
  <si>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</si>
  <si>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</si>
  <si>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</si>
  <si>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</si>
  <si>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</si>
  <si>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</si>
  <si>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</si>
  <si>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</si>
  <si>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</si>
  <si>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</si>
  <si>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</si>
  <si>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</si>
  <si>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</si>
  <si>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</si>
  <si>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</si>
  <si>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</si>
  <si>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</si>
  <si>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</si>
  <si>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</si>
  <si>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</si>
  <si>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</si>
  <si>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</si>
  <si>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</si>
  <si>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</si>
  <si>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</si>
  <si>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</si>
  <si>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</si>
  <si>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</si>
  <si>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</si>
  <si>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</si>
  <si>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</si>
  <si>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</si>
  <si>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</si>
  <si>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</si>
  <si>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</si>
  <si>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</si>
  <si>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</si>
  <si>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</si>
  <si>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</si>
  <si>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</si>
  <si>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</si>
  <si>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</si>
  <si>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</si>
  <si>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</si>
  <si>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</si>
  <si>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</si>
  <si>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</si>
  <si>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</si>
  <si>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</si>
  <si>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</si>
  <si>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</si>
  <si>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</si>
  <si>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</si>
  <si>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</si>
  <si>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</si>
  <si>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</si>
  <si>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</si>
  <si>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</si>
  <si>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</si>
  <si>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</si>
  <si>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</si>
  <si>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</si>
  <si>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</si>
  <si>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</si>
  <si>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</si>
  <si>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</si>
  <si>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</si>
  <si>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</si>
  <si>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</si>
  <si>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</si>
  <si>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</si>
  <si>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</si>
  <si>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</si>
  <si>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</si>
  <si>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</si>
  <si>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</si>
  <si>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</si>
  <si>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</si>
  <si>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</si>
  <si>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</si>
  <si>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</si>
  <si>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</si>
  <si>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</si>
  <si>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</si>
  <si>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</si>
  <si>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</si>
  <si>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</si>
  <si>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</si>
  <si>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</si>
  <si>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</si>
  <si>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</si>
  <si>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</si>
  <si>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</si>
  <si>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</si>
  <si>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</si>
  <si>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</si>
  <si>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</si>
  <si>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</si>
  <si>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</si>
  <si>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</si>
  <si>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</si>
  <si>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</si>
  <si>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</si>
  <si>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</si>
  <si>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</si>
  <si>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</si>
  <si>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</si>
  <si>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</si>
  <si>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</si>
  <si>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</si>
  <si>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</si>
  <si>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</si>
  <si>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</si>
  <si>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</si>
  <si>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</si>
  <si>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</si>
  <si>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</si>
  <si>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</si>
  <si>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</si>
  <si>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</si>
  <si>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</si>
  <si>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</si>
  <si>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</si>
  <si>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</si>
  <si>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</si>
  <si>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</si>
  <si>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</si>
  <si>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</si>
  <si>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</si>
  <si>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</si>
  <si>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</si>
  <si>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</si>
  <si>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</si>
  <si>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</si>
  <si>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</si>
  <si>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</si>
  <si>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</si>
  <si>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</si>
  <si>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</si>
  <si>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</si>
  <si>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</si>
  <si>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</si>
  <si>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</si>
  <si>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</si>
  <si>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</si>
  <si>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</si>
  <si>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</si>
  <si>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</si>
  <si>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</si>
  <si>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</si>
  <si>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</si>
  <si>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</si>
  <si>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</si>
  <si>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</si>
  <si>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</si>
  <si>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</si>
  <si>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</si>
  <si>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</si>
  <si>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</si>
  <si>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</si>
  <si>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</si>
  <si>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</si>
  <si>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</si>
  <si>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</si>
  <si>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</si>
  <si>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</si>
  <si>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</si>
  <si>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</si>
  <si>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</si>
  <si>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</si>
  <si>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</si>
  <si>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</si>
  <si>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</si>
  <si>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</si>
  <si>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</si>
  <si>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</si>
  <si>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</si>
  <si>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</si>
  <si>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</si>
  <si>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</si>
  <si>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</si>
  <si>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</si>
  <si>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</si>
  <si>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</si>
  <si>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</si>
  <si>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</si>
  <si>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</si>
  <si>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</si>
  <si>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</si>
  <si>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</si>
  <si>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</si>
  <si>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</si>
  <si>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</si>
  <si>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</si>
  <si>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</si>
  <si>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</si>
  <si>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</si>
  <si>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</si>
  <si>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</si>
  <si>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</si>
  <si>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</si>
  <si>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</si>
  <si>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</si>
  <si>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</si>
  <si>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</si>
  <si>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</si>
  <si>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</si>
  <si>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</si>
  <si>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</si>
  <si>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</si>
  <si>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</si>
  <si>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</si>
  <si>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</si>
  <si>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</si>
  <si>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</si>
  <si>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</si>
  <si>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</si>
  <si>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</si>
  <si>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</si>
  <si>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</si>
  <si>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</si>
  <si>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</si>
  <si>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</si>
  <si>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</si>
  <si>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</si>
  <si>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</si>
  <si>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</si>
  <si>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</si>
  <si>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</si>
  <si>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</si>
  <si>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</si>
  <si>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</si>
  <si>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</si>
  <si>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</si>
  <si>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</si>
  <si>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</si>
  <si>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</si>
  <si>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</si>
  <si>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</si>
  <si>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</si>
  <si>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</si>
  <si>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</si>
  <si>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</si>
  <si>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</si>
  <si>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</si>
  <si>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</si>
  <si>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</si>
  <si>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</si>
  <si>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</si>
  <si>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</si>
  <si>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</si>
  <si>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</si>
  <si>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</si>
  <si>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</si>
  <si>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</si>
  <si>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</si>
  <si>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</si>
  <si>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</si>
  <si>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</si>
  <si>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</si>
  <si>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</si>
  <si>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</si>
  <si>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</si>
  <si>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</si>
  <si>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</si>
  <si>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</si>
  <si>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</si>
  <si>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</si>
  <si>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</si>
  <si>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</si>
  <si>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</si>
  <si>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</si>
  <si>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</si>
  <si>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</si>
  <si>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</si>
  <si>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</si>
  <si>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</si>
  <si>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</si>
  <si>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</si>
  <si>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</si>
  <si>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</si>
  <si>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</si>
  <si>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</si>
  <si>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</si>
  <si>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</si>
  <si>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</si>
  <si>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</si>
  <si>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</si>
  <si>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</si>
  <si>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</si>
  <si>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</si>
  <si>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</si>
  <si>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</si>
  <si>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</si>
  <si>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</si>
  <si>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</si>
  <si>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</si>
  <si>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</si>
  <si>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</si>
  <si>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</si>
  <si>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</si>
  <si>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</si>
  <si>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</si>
  <si>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</si>
  <si>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</si>
  <si>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</si>
  <si>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</si>
  <si>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</si>
  <si>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</si>
  <si>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</si>
  <si>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</si>
  <si>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</si>
  <si>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</si>
  <si>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</si>
  <si>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</si>
  <si>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</si>
  <si>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</si>
  <si>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</si>
  <si>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</si>
  <si>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</si>
  <si>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</si>
  <si>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</si>
  <si>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</si>
  <si>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</si>
  <si>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</si>
  <si>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</si>
  <si>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</si>
  <si>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</si>
  <si>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</si>
  <si>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</si>
  <si>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</si>
  <si>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</si>
  <si>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</si>
  <si>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</si>
  <si>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</si>
  <si>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</si>
  <si>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</si>
  <si>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</si>
  <si>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</si>
  <si>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</si>
  <si>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</si>
  <si>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</si>
  <si>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</si>
  <si>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</si>
  <si>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</si>
  <si>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</si>
  <si>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</si>
  <si>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</si>
  <si>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</si>
  <si>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</si>
  <si>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</si>
  <si>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</si>
  <si>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</si>
  <si>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</si>
  <si>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</si>
  <si>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</si>
  <si>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</si>
  <si>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</si>
  <si>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</si>
  <si>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</si>
  <si>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</si>
  <si>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</si>
  <si>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</si>
  <si>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</si>
  <si>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</si>
  <si>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</si>
  <si>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</si>
  <si>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</si>
  <si>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</si>
  <si>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</si>
  <si>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</si>
  <si>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</si>
  <si>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</si>
  <si>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</si>
  <si>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</si>
  <si>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</si>
  <si>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</si>
  <si>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</si>
  <si>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</si>
  <si>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</si>
  <si>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</si>
  <si>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</si>
  <si>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</si>
  <si>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</si>
  <si>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</si>
  <si>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</si>
  <si>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</si>
  <si>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</si>
  <si>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</si>
  <si>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</si>
  <si>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</si>
  <si>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</si>
  <si>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</si>
  <si>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</si>
  <si>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</si>
  <si>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</si>
  <si>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</si>
  <si>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</si>
  <si>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</si>
  <si>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</si>
  <si>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</si>
  <si>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</si>
  <si>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</si>
  <si>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</si>
  <si>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</si>
  <si>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</si>
  <si>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</si>
  <si>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</si>
  <si>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</si>
  <si>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</si>
  <si>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</si>
  <si>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</si>
  <si>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</si>
  <si>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</si>
  <si>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</si>
  <si>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</si>
  <si>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</si>
  <si>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</si>
  <si>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</si>
  <si>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</si>
  <si>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</si>
  <si>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</si>
  <si>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</si>
  <si>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</si>
  <si>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</si>
  <si>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</si>
  <si>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</si>
  <si>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</si>
  <si>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</si>
  <si>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</si>
  <si>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</si>
  <si>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</si>
  <si>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</si>
  <si>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</si>
  <si>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</si>
  <si>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</si>
  <si>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</si>
  <si>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</si>
  <si>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</si>
  <si>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</si>
  <si>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</si>
  <si>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</si>
  <si>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</si>
  <si>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</si>
  <si>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</si>
  <si>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</si>
  <si>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</si>
  <si>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</si>
  <si>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</si>
  <si>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</si>
  <si>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</si>
  <si>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</si>
  <si>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</si>
  <si>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</si>
  <si>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</si>
  <si>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</si>
  <si>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</si>
  <si>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</si>
  <si>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</si>
  <si>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</si>
  <si>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</si>
  <si>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</si>
  <si>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</si>
  <si>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</si>
  <si>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</si>
  <si>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</si>
  <si>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</si>
  <si>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</si>
  <si>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</si>
  <si>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</si>
  <si>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</si>
  <si>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</si>
  <si>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</si>
  <si>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</si>
  <si>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</si>
  <si>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</si>
  <si>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</si>
  <si>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</si>
  <si>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</si>
  <si>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</si>
  <si>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</si>
  <si>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</si>
  <si>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</si>
  <si>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</si>
  <si>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</si>
  <si>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</si>
  <si>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</si>
  <si>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</si>
  <si>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</si>
  <si>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</si>
  <si>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</si>
  <si>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</si>
  <si>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</si>
  <si>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</si>
  <si>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</si>
  <si>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</si>
  <si>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</si>
  <si>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</si>
  <si>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</si>
  <si>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</si>
  <si>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</si>
  <si>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</si>
  <si>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</si>
  <si>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</si>
  <si>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</si>
  <si>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</si>
  <si>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</si>
  <si>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</si>
  <si>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</si>
  <si>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</si>
  <si>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</si>
  <si>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</si>
  <si>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</si>
  <si>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</si>
  <si>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</si>
  <si>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</si>
  <si>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</si>
  <si>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</si>
  <si>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</si>
  <si>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</si>
  <si>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</si>
  <si>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</si>
  <si>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</si>
  <si>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</si>
  <si>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</si>
  <si>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</si>
  <si>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</si>
  <si>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</si>
  <si>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</si>
  <si>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</si>
  <si>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</si>
  <si>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</si>
  <si>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</si>
  <si>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</si>
  <si>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</si>
  <si>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</si>
  <si>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</si>
  <si>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</si>
  <si>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</si>
  <si>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</si>
  <si>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</si>
  <si>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</si>
  <si>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</si>
  <si>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</si>
  <si>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</si>
  <si>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</si>
  <si>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</si>
  <si>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</si>
  <si>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</si>
  <si>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</si>
  <si>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</si>
  <si>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</si>
  <si>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</si>
  <si>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</si>
  <si>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</si>
  <si>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</si>
  <si>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</si>
  <si>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</si>
  <si>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</si>
  <si>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</si>
  <si>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</si>
  <si>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</si>
  <si>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</si>
  <si>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</si>
  <si>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</si>
  <si>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</si>
  <si>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</si>
  <si>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</si>
  <si>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</si>
  <si>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</si>
  <si>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</si>
  <si>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</si>
  <si>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</si>
  <si>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</si>
  <si>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</si>
  <si>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</si>
  <si>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</si>
  <si>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</si>
  <si>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</si>
  <si>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</si>
  <si>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</si>
  <si>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</si>
  <si>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</si>
  <si>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</si>
  <si>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</si>
  <si>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</si>
  <si>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</si>
  <si>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</si>
  <si>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</si>
  <si>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</si>
  <si>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</si>
  <si>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</si>
  <si>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</si>
  <si>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</si>
  <si>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</si>
  <si>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</si>
  <si>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32-046-2580-04</t>
  </si>
  <si>
    <t>Kankakee</t>
  </si>
  <si>
    <t>St. George CCSD 258</t>
  </si>
  <si>
    <t>5200 E Center</t>
  </si>
  <si>
    <t>Bourbonnais</t>
  </si>
  <si>
    <t>SKDO, P.C.</t>
  </si>
  <si>
    <t>Carmen Huizenga</t>
  </si>
  <si>
    <t>1605 N Convent</t>
  </si>
  <si>
    <t>IL</t>
  </si>
  <si>
    <t>815-937-1997</t>
  </si>
  <si>
    <t>815-935-0360</t>
  </si>
  <si>
    <t>066-005281</t>
  </si>
  <si>
    <t>carmenh@skdocpa.com</t>
  </si>
  <si>
    <t>815-802-3102</t>
  </si>
  <si>
    <t>2019A General Obligation School Building Bonds</t>
  </si>
  <si>
    <t>2019B Taxable General Obligation Refunding School Bonds</t>
  </si>
  <si>
    <t>ED-Support Services-Central</t>
  </si>
  <si>
    <t>Inhouse CIO</t>
  </si>
  <si>
    <t>Trans-Pupil Transportation Serv-</t>
  </si>
  <si>
    <t>Santander Leasing LLC</t>
  </si>
  <si>
    <t>X</t>
  </si>
  <si>
    <t>IKAN ROE</t>
  </si>
  <si>
    <t>x</t>
  </si>
  <si>
    <t>Long Term Debt - Any Differences - Bonds Refunded = $915,000</t>
  </si>
  <si>
    <t>Dr. Gregg Murphy</t>
  </si>
  <si>
    <t>gmurphy@i-kan.org</t>
  </si>
  <si>
    <t>815-937-2950</t>
  </si>
  <si>
    <t>815-937-2921</t>
  </si>
  <si>
    <t>hboehrnsen@sg258.com</t>
  </si>
  <si>
    <t>Helen Boehrnsen</t>
  </si>
  <si>
    <t>Series 2012 Working Cash Fund Bonds</t>
  </si>
  <si>
    <t>Series 2013 Refunding Bonds</t>
  </si>
  <si>
    <t>Kankakee Area Special Education Cooperative</t>
  </si>
  <si>
    <t>#1999 - Other Local Revenues: (2) $830 Miscellaneous; (4) $110 Other Spec-Ed Transportation</t>
  </si>
  <si>
    <t>#4090 - Other Restricted Grants-In-Aid Received Directly from the Federal Government: $57,789 - Other Grants-In-Aid Federal</t>
  </si>
  <si>
    <t>#2190 - Educational Fund: Other Support Services-Pupils: (3) $8764 PT Other Prof &amp; Tech Systems; $14 Other = $8778</t>
  </si>
  <si>
    <t>#5400 - Debt Services Fund: Debt Services-Other: (6) $1000 Other</t>
  </si>
  <si>
    <t>FP Info - Debt in excess of limitation: the $6,930,000 building bonds are exempted from this calculation. The adjusted balance is $1,645,700, which is well within the district's debt limitation. See notes to the financial statements for more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</si>
</sst>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49" fontId="62" fillId="0" borderId="0" xfId="0" applyNumberFormat="1" applyFont="1" applyBorder="1" applyAlignment="1" applyProtection="1">
      <alignment horizontal="left" vertic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1188027</xdr:colOff>
          <xdr:row>7</xdr:row>
          <xdr:rowOff>113434</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1035627</xdr:colOff>
          <xdr:row>0</xdr:row>
          <xdr:rowOff>38100</xdr:rowOff>
        </xdr:from>
        <xdr:to>
          <xdr:col>1</xdr:col>
          <xdr:colOff>2350077</xdr:colOff>
          <xdr:row>7</xdr:row>
          <xdr:rowOff>151534</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2588202</xdr:colOff>
          <xdr:row>0</xdr:row>
          <xdr:rowOff>76200</xdr:rowOff>
        </xdr:from>
        <xdr:to>
          <xdr:col>1</xdr:col>
          <xdr:colOff>3902652</xdr:colOff>
          <xdr:row>8</xdr:row>
          <xdr:rowOff>30307</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pageSetUpPr fitToPage="1"/>
  </sheetPr>
  <dimension ref="A1:AF48"/>
  <sheetViews>
    <sheetView showGridLines="0" tabSelected="1" zoomScaleNormal="100" workbookViewId="0">
      <selection activeCell="A38" sqref="A38:H3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2003</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2073</v>
      </c>
      <c r="C5" s="26" t="s">
        <v>904</v>
      </c>
      <c r="D5" s="81"/>
      <c r="E5" s="81"/>
      <c r="H5" s="38"/>
      <c r="I5" s="2090" t="s">
        <v>675</v>
      </c>
      <c r="J5" s="2089"/>
      <c r="K5" s="2089"/>
      <c r="L5" s="2089"/>
      <c r="M5" s="2089"/>
      <c r="N5" s="2089"/>
      <c r="O5" s="2089"/>
      <c r="P5" s="2089"/>
      <c r="Q5" s="2089"/>
      <c r="R5" s="2089"/>
      <c r="S5" s="2089"/>
      <c r="AF5" s="1827"/>
    </row>
    <row r="6" spans="1:32" ht="14.1" customHeight="1" x14ac:dyDescent="0.2">
      <c r="B6" s="101"/>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2073</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t="s">
        <v>2051</v>
      </c>
      <c r="B13" s="2102"/>
      <c r="C13" s="2102"/>
      <c r="D13" s="2102"/>
      <c r="E13" s="2102"/>
      <c r="F13" s="2102"/>
      <c r="G13" s="2102"/>
      <c r="H13" s="2103"/>
      <c r="I13" s="31"/>
      <c r="J13" s="30"/>
      <c r="K13" s="28"/>
      <c r="L13" s="30"/>
      <c r="M13" s="30"/>
      <c r="N13" s="30"/>
      <c r="O13" s="30"/>
      <c r="P13" s="30"/>
      <c r="Q13" s="30"/>
      <c r="R13" s="30"/>
      <c r="S13" s="30"/>
      <c r="T13" s="2107" t="s">
        <v>2056</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2052</v>
      </c>
      <c r="B15" s="2105"/>
      <c r="C15" s="2105"/>
      <c r="D15" s="2105"/>
      <c r="E15" s="2105"/>
      <c r="F15" s="2105"/>
      <c r="G15" s="2105"/>
      <c r="H15" s="2106"/>
      <c r="T15" s="2111" t="s">
        <v>2057</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2053</v>
      </c>
      <c r="B17" s="2075"/>
      <c r="C17" s="2075"/>
      <c r="D17" s="2075"/>
      <c r="E17" s="2075"/>
      <c r="F17" s="2075"/>
      <c r="G17" s="2075"/>
      <c r="H17" s="2100"/>
      <c r="T17" s="2118" t="s">
        <v>2058</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2054</v>
      </c>
      <c r="B19" s="2060"/>
      <c r="C19" s="2060"/>
      <c r="D19" s="2060"/>
      <c r="E19" s="2060"/>
      <c r="F19" s="2060"/>
      <c r="G19" s="2060"/>
      <c r="H19" s="2040"/>
      <c r="I19" s="30"/>
      <c r="J19" s="96"/>
      <c r="K19" s="40"/>
      <c r="L19" s="38"/>
      <c r="M19" s="109" t="s">
        <v>312</v>
      </c>
      <c r="P19" s="27"/>
      <c r="Q19" s="27"/>
      <c r="R19" s="27"/>
      <c r="S19" s="31"/>
      <c r="T19" s="2104" t="s">
        <v>2055</v>
      </c>
      <c r="U19" s="2039"/>
      <c r="V19" s="2039"/>
      <c r="W19" s="2040"/>
      <c r="X19" s="2116" t="s">
        <v>2059</v>
      </c>
      <c r="Y19" s="2117"/>
      <c r="Z19" s="2114">
        <v>60914</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2055</v>
      </c>
      <c r="B21" s="2039"/>
      <c r="C21" s="2039"/>
      <c r="D21" s="2039"/>
      <c r="E21" s="2039"/>
      <c r="F21" s="2039"/>
      <c r="G21" s="2039"/>
      <c r="H21" s="2040"/>
      <c r="I21" s="2094" t="s">
        <v>673</v>
      </c>
      <c r="J21" s="2089"/>
      <c r="K21" s="2089"/>
      <c r="L21" s="2089"/>
      <c r="M21" s="2089"/>
      <c r="N21" s="2089"/>
      <c r="O21" s="2089"/>
      <c r="P21" s="2089"/>
      <c r="Q21" s="2089"/>
      <c r="R21" s="2089"/>
      <c r="S21" s="2095"/>
      <c r="T21" s="2129" t="s">
        <v>2060</v>
      </c>
      <c r="U21" s="2130"/>
      <c r="V21" s="2130"/>
      <c r="W21" s="2130"/>
      <c r="X21" s="2135" t="s">
        <v>2061</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c r="B23" s="2092"/>
      <c r="C23" s="2092"/>
      <c r="D23" s="2092"/>
      <c r="E23" s="2092"/>
      <c r="F23" s="2092"/>
      <c r="G23" s="2092"/>
      <c r="H23" s="2093"/>
      <c r="T23" s="2074" t="s">
        <v>2062</v>
      </c>
      <c r="U23" s="2128"/>
      <c r="V23" s="2128"/>
      <c r="W23" s="2128"/>
      <c r="X23" s="2132">
        <v>44530</v>
      </c>
      <c r="Y23" s="2133"/>
      <c r="Z23" s="2133"/>
      <c r="AA23" s="2134"/>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60914</v>
      </c>
      <c r="B25" s="2039"/>
      <c r="C25" s="2039"/>
      <c r="D25" s="2039"/>
      <c r="E25" s="2039"/>
      <c r="F25" s="2039"/>
      <c r="G25" s="2039"/>
      <c r="H25" s="2040"/>
      <c r="I25" s="110"/>
      <c r="J25" s="2063"/>
      <c r="K25" s="2063"/>
      <c r="L25" s="2063"/>
      <c r="M25" s="2063"/>
      <c r="N25" s="2063"/>
      <c r="O25" s="2063"/>
      <c r="P25" s="2063"/>
      <c r="Q25" s="2063"/>
      <c r="R25" s="2063"/>
      <c r="S25" s="2064"/>
      <c r="T25" s="2125" t="s">
        <v>2063</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2073</v>
      </c>
      <c r="F29" s="137" t="s">
        <v>1305</v>
      </c>
      <c r="G29" s="111"/>
      <c r="I29" s="51"/>
      <c r="J29" s="99"/>
      <c r="K29" s="28" t="s">
        <v>572</v>
      </c>
      <c r="L29" s="144" t="s">
        <v>2073</v>
      </c>
      <c r="M29" s="40" t="s">
        <v>99</v>
      </c>
      <c r="N29" s="32" t="s">
        <v>1506</v>
      </c>
      <c r="O29" s="32"/>
      <c r="P29" s="32"/>
      <c r="Q29" s="32"/>
      <c r="R29" s="32"/>
      <c r="S29" s="120"/>
      <c r="T29" s="6"/>
      <c r="U29" s="6"/>
      <c r="V29" s="6"/>
      <c r="W29" s="6"/>
      <c r="X29" s="6"/>
      <c r="Y29" s="6"/>
      <c r="Z29" s="6"/>
      <c r="AA29" s="129"/>
    </row>
    <row r="30" spans="1:27" ht="13.5" customHeight="1" x14ac:dyDescent="0.2">
      <c r="A30" s="149"/>
      <c r="B30" s="133" t="s">
        <v>2073</v>
      </c>
      <c r="C30" s="121" t="s">
        <v>1154</v>
      </c>
      <c r="D30" s="28"/>
      <c r="E30" s="28"/>
      <c r="F30" s="136"/>
      <c r="G30" s="111"/>
      <c r="H30" s="111"/>
      <c r="I30" s="51"/>
      <c r="J30" s="99"/>
      <c r="K30" s="28" t="s">
        <v>572</v>
      </c>
      <c r="L30" s="144" t="s">
        <v>2073</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2073</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2080</v>
      </c>
      <c r="B38" s="2075"/>
      <c r="C38" s="2075"/>
      <c r="D38" s="2075"/>
      <c r="E38" s="2075"/>
      <c r="F38" s="2039"/>
      <c r="G38" s="2039"/>
      <c r="H38" s="2040"/>
      <c r="I38" s="2067"/>
      <c r="J38" s="2068"/>
      <c r="K38" s="2068"/>
      <c r="L38" s="2068"/>
      <c r="M38" s="2068"/>
      <c r="N38" s="2068"/>
      <c r="O38" s="2068"/>
      <c r="P38" s="2069"/>
      <c r="Q38" s="2069"/>
      <c r="R38" s="2069"/>
      <c r="S38" s="2070"/>
      <c r="T38" s="2111" t="s">
        <v>2075</v>
      </c>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2079</v>
      </c>
      <c r="B40" s="2053"/>
      <c r="C40" s="2054"/>
      <c r="D40" s="2054"/>
      <c r="E40" s="2054"/>
      <c r="F40" s="2055"/>
      <c r="G40" s="2055"/>
      <c r="H40" s="2056"/>
      <c r="I40" s="2077"/>
      <c r="J40" s="2078"/>
      <c r="K40" s="2078"/>
      <c r="L40" s="2078"/>
      <c r="M40" s="2078"/>
      <c r="N40" s="2078"/>
      <c r="O40" s="2078"/>
      <c r="P40" s="2078"/>
      <c r="Q40" s="2078"/>
      <c r="R40" s="2078"/>
      <c r="S40" s="2079"/>
      <c r="T40" s="2077" t="s">
        <v>2076</v>
      </c>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2064</v>
      </c>
      <c r="B42" s="2058"/>
      <c r="C42" s="2059"/>
      <c r="D42" s="2057"/>
      <c r="E42" s="2058"/>
      <c r="F42" s="2058"/>
      <c r="G42" s="2058"/>
      <c r="H42" s="2059"/>
      <c r="I42" s="2041"/>
      <c r="J42" s="2042"/>
      <c r="K42" s="2042"/>
      <c r="L42" s="2042"/>
      <c r="M42" s="2042"/>
      <c r="N42" s="2042"/>
      <c r="O42" s="2043"/>
      <c r="P42" s="2076"/>
      <c r="Q42" s="2042"/>
      <c r="R42" s="2042"/>
      <c r="S42" s="2043"/>
      <c r="T42" s="2041" t="s">
        <v>2077</v>
      </c>
      <c r="U42" s="2042"/>
      <c r="V42" s="2042"/>
      <c r="W42" s="2043"/>
      <c r="X42" s="2076" t="s">
        <v>2078</v>
      </c>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election activeCell="E14" sqref="E1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1844994</v>
      </c>
      <c r="C4" s="1722"/>
      <c r="D4" s="1723">
        <f>B4-C4</f>
        <v>1844994</v>
      </c>
      <c r="E4" s="1722">
        <v>1920487</v>
      </c>
      <c r="F4" s="1723">
        <f>E4-C4</f>
        <v>1920487</v>
      </c>
    </row>
    <row r="5" spans="1:8" ht="13.7" customHeight="1" x14ac:dyDescent="0.2">
      <c r="A5" s="579" t="s">
        <v>865</v>
      </c>
      <c r="B5" s="1724">
        <f>'Revenues 9-14'!D5</f>
        <v>279527</v>
      </c>
      <c r="C5" s="1664"/>
      <c r="D5" s="1725">
        <f t="shared" ref="D5:D18" si="0">B5-C5</f>
        <v>279527</v>
      </c>
      <c r="E5" s="1664">
        <v>289929</v>
      </c>
      <c r="F5" s="1725">
        <f>E5-C5</f>
        <v>289929</v>
      </c>
    </row>
    <row r="6" spans="1:8" ht="13.7" customHeight="1" x14ac:dyDescent="0.2">
      <c r="A6" s="579" t="s">
        <v>408</v>
      </c>
      <c r="B6" s="1724">
        <f>'Revenues 9-14'!E5</f>
        <v>543494</v>
      </c>
      <c r="C6" s="1664"/>
      <c r="D6" s="1725">
        <f t="shared" si="0"/>
        <v>543494</v>
      </c>
      <c r="E6" s="1664">
        <v>557772</v>
      </c>
      <c r="F6" s="1725">
        <f t="shared" ref="F6:F18" si="1">E6-C6</f>
        <v>557772</v>
      </c>
    </row>
    <row r="7" spans="1:8" ht="13.7" customHeight="1" x14ac:dyDescent="0.2">
      <c r="A7" s="579" t="s">
        <v>154</v>
      </c>
      <c r="B7" s="1724">
        <f>'Revenues 9-14'!F5</f>
        <v>89392</v>
      </c>
      <c r="C7" s="1664"/>
      <c r="D7" s="1725">
        <f t="shared" si="0"/>
        <v>89392</v>
      </c>
      <c r="E7" s="1664">
        <v>89918</v>
      </c>
      <c r="F7" s="1725">
        <f t="shared" si="1"/>
        <v>89918</v>
      </c>
    </row>
    <row r="8" spans="1:8" ht="13.7" customHeight="1" x14ac:dyDescent="0.2">
      <c r="A8" s="579" t="s">
        <v>1169</v>
      </c>
      <c r="B8" s="1724">
        <f>'Revenues 9-14'!G5</f>
        <v>40726</v>
      </c>
      <c r="C8" s="1664"/>
      <c r="D8" s="1725">
        <f t="shared" si="0"/>
        <v>40726</v>
      </c>
      <c r="E8" s="1664">
        <v>40932</v>
      </c>
      <c r="F8" s="1725">
        <f t="shared" si="1"/>
        <v>40932</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793</v>
      </c>
      <c r="C10" s="1664"/>
      <c r="D10" s="1725">
        <f t="shared" si="0"/>
        <v>793</v>
      </c>
      <c r="E10" s="1664">
        <v>830</v>
      </c>
      <c r="F10" s="1725">
        <f t="shared" si="1"/>
        <v>830</v>
      </c>
    </row>
    <row r="11" spans="1:8" x14ac:dyDescent="0.2">
      <c r="A11" s="579" t="s">
        <v>406</v>
      </c>
      <c r="B11" s="1724">
        <f>'Revenues 9-14'!J5</f>
        <v>4922</v>
      </c>
      <c r="C11" s="1664"/>
      <c r="D11" s="1725">
        <f t="shared" si="0"/>
        <v>4922</v>
      </c>
      <c r="E11" s="1664">
        <v>4151</v>
      </c>
      <c r="F11" s="1725">
        <f t="shared" si="1"/>
        <v>4151</v>
      </c>
    </row>
    <row r="12" spans="1:8" ht="13.7" customHeight="1" x14ac:dyDescent="0.2">
      <c r="A12" s="579" t="s">
        <v>156</v>
      </c>
      <c r="B12" s="1724">
        <f>'Revenues 9-14'!K5</f>
        <v>794</v>
      </c>
      <c r="C12" s="1664"/>
      <c r="D12" s="1725">
        <f t="shared" si="0"/>
        <v>794</v>
      </c>
      <c r="E12" s="1664">
        <v>830</v>
      </c>
      <c r="F12" s="1725">
        <f t="shared" si="1"/>
        <v>830</v>
      </c>
    </row>
    <row r="13" spans="1:8" ht="13.7" customHeight="1" x14ac:dyDescent="0.2">
      <c r="A13" s="579" t="s">
        <v>930</v>
      </c>
      <c r="B13" s="1724">
        <f>SUM('Revenues 9-14'!C6:D6)</f>
        <v>0</v>
      </c>
      <c r="C13" s="1664"/>
      <c r="D13" s="1725">
        <f t="shared" si="0"/>
        <v>0</v>
      </c>
      <c r="E13" s="1664">
        <v>0</v>
      </c>
      <c r="F13" s="1725">
        <f t="shared" si="1"/>
        <v>0</v>
      </c>
    </row>
    <row r="14" spans="1:8" ht="13.7" customHeight="1" x14ac:dyDescent="0.2">
      <c r="A14" s="579" t="s">
        <v>407</v>
      </c>
      <c r="B14" s="1724">
        <f>SUM('Revenues 9-14'!C7:D7,'Revenues 9-14'!F7:H7)</f>
        <v>0</v>
      </c>
      <c r="C14" s="1664"/>
      <c r="D14" s="1725">
        <f t="shared" si="0"/>
        <v>0</v>
      </c>
      <c r="E14" s="1664">
        <v>0</v>
      </c>
      <c r="F14" s="1725">
        <f t="shared" si="1"/>
        <v>0</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67480</v>
      </c>
      <c r="C16" s="1664"/>
      <c r="D16" s="1725">
        <f t="shared" si="0"/>
        <v>67480</v>
      </c>
      <c r="E16" s="1664">
        <v>67916</v>
      </c>
      <c r="F16" s="1725">
        <f t="shared" si="1"/>
        <v>67916</v>
      </c>
    </row>
    <row r="17" spans="1:6" ht="13.7" customHeight="1" x14ac:dyDescent="0.2">
      <c r="A17" s="579" t="s">
        <v>1150</v>
      </c>
      <c r="B17" s="1724">
        <f>'Revenues 9-14'!C10</f>
        <v>0</v>
      </c>
      <c r="C17" s="1664"/>
      <c r="D17" s="1725">
        <f t="shared" si="0"/>
        <v>0</v>
      </c>
      <c r="E17" s="1664">
        <v>0</v>
      </c>
      <c r="F17" s="1725">
        <f t="shared" si="1"/>
        <v>0</v>
      </c>
    </row>
    <row r="18" spans="1:6" ht="13.7" customHeight="1" x14ac:dyDescent="0.2">
      <c r="A18" s="579" t="s">
        <v>757</v>
      </c>
      <c r="B18" s="1724">
        <f>SUM('Revenues 9-14'!C11:K11)</f>
        <v>0</v>
      </c>
      <c r="C18" s="1664"/>
      <c r="D18" s="1725">
        <f t="shared" si="0"/>
        <v>0</v>
      </c>
      <c r="E18" s="1664">
        <v>0</v>
      </c>
      <c r="F18" s="1725">
        <f t="shared" si="1"/>
        <v>0</v>
      </c>
    </row>
    <row r="19" spans="1:6" ht="13.7" customHeight="1" thickBot="1" x14ac:dyDescent="0.25">
      <c r="A19" s="1432" t="s">
        <v>1151</v>
      </c>
      <c r="B19" s="1726">
        <f>SUM(B4:B18)</f>
        <v>2872122</v>
      </c>
      <c r="C19" s="1726">
        <f>SUM(C4:C18)</f>
        <v>0</v>
      </c>
      <c r="D19" s="1726">
        <f>SUM(D4:D18)</f>
        <v>2872122</v>
      </c>
      <c r="E19" s="1726">
        <f>SUM(E4:E18)</f>
        <v>2972765</v>
      </c>
      <c r="F19" s="1726">
        <f>SUM(F4:F18)</f>
        <v>2972765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22" colorId="8" zoomScale="110" zoomScaleNormal="110" workbookViewId="0">
      <selection activeCell="C33" sqref="C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1779</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2006</v>
      </c>
      <c r="B24" s="2305"/>
      <c r="C24" s="2299"/>
      <c r="D24" s="2300"/>
      <c r="E24" s="2300"/>
      <c r="F24" s="2301"/>
    </row>
    <row r="25" spans="1:11" ht="13.5" thickBot="1" x14ac:dyDescent="0.25">
      <c r="A25" s="2306" t="s">
        <v>2007</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2081</v>
      </c>
      <c r="B31" s="595">
        <v>41091</v>
      </c>
      <c r="C31" s="1734">
        <v>150000</v>
      </c>
      <c r="D31" s="1735">
        <v>1</v>
      </c>
      <c r="E31" s="1734">
        <v>87000</v>
      </c>
      <c r="F31" s="1734"/>
      <c r="G31" s="1734"/>
      <c r="H31" s="1734">
        <v>13000</v>
      </c>
      <c r="I31" s="1736">
        <f>((E31+F31)-H31)+G31</f>
        <v>74000</v>
      </c>
      <c r="J31" s="1734">
        <f>I31-'Assets-Liab 5-6'!E4-'Assets-Liab 5-6'!E5</f>
        <v>72083</v>
      </c>
      <c r="K31" s="596"/>
    </row>
    <row r="32" spans="1:11" ht="12" customHeight="1" x14ac:dyDescent="0.2">
      <c r="A32" s="594" t="s">
        <v>2082</v>
      </c>
      <c r="B32" s="595">
        <v>41456</v>
      </c>
      <c r="C32" s="1734">
        <v>3775000</v>
      </c>
      <c r="D32" s="1735">
        <v>3</v>
      </c>
      <c r="E32" s="1734">
        <v>1775000</v>
      </c>
      <c r="F32" s="1734"/>
      <c r="G32" s="1734">
        <v>-915000</v>
      </c>
      <c r="H32" s="1734">
        <v>260000</v>
      </c>
      <c r="I32" s="1736">
        <f>((E32+F32)-H32)+G32</f>
        <v>600000</v>
      </c>
      <c r="J32" s="1734">
        <f>I32</f>
        <v>600000</v>
      </c>
      <c r="K32" s="596"/>
    </row>
    <row r="33" spans="1:11" ht="12" customHeight="1" x14ac:dyDescent="0.2">
      <c r="A33" s="2035" t="s">
        <v>2065</v>
      </c>
      <c r="B33" s="595">
        <v>43676</v>
      </c>
      <c r="C33" s="1734">
        <v>6930000</v>
      </c>
      <c r="D33" s="1735">
        <v>6</v>
      </c>
      <c r="E33" s="1734"/>
      <c r="F33" s="1734">
        <v>6930000</v>
      </c>
      <c r="G33" s="1734"/>
      <c r="H33" s="1734"/>
      <c r="I33" s="1736">
        <f t="shared" ref="I33:I48" si="1">((E33+F33)-H33)+G33</f>
        <v>6930000</v>
      </c>
      <c r="J33" s="1734">
        <f>I33</f>
        <v>6930000</v>
      </c>
      <c r="K33" s="596"/>
    </row>
    <row r="34" spans="1:11" ht="12" customHeight="1" x14ac:dyDescent="0.2">
      <c r="A34" s="594" t="s">
        <v>2066</v>
      </c>
      <c r="B34" s="595">
        <v>43676</v>
      </c>
      <c r="C34" s="1734">
        <v>973800</v>
      </c>
      <c r="D34" s="1735">
        <v>3</v>
      </c>
      <c r="E34" s="1734"/>
      <c r="F34" s="1734">
        <v>973800</v>
      </c>
      <c r="G34" s="1734"/>
      <c r="H34" s="1734">
        <v>2100</v>
      </c>
      <c r="I34" s="1736">
        <f t="shared" si="1"/>
        <v>971700</v>
      </c>
      <c r="J34" s="1734">
        <f>I34</f>
        <v>971700</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11828800</v>
      </c>
      <c r="D49" s="1742"/>
      <c r="E49" s="1736">
        <f t="shared" ref="E49:J49" si="2">SUM(E31:E48)</f>
        <v>1862000</v>
      </c>
      <c r="F49" s="1736">
        <f t="shared" si="2"/>
        <v>7903800</v>
      </c>
      <c r="G49" s="1736">
        <f t="shared" si="2"/>
        <v>-915000</v>
      </c>
      <c r="H49" s="1736">
        <f t="shared" si="2"/>
        <v>275100</v>
      </c>
      <c r="I49" s="1736">
        <f t="shared" si="2"/>
        <v>8575700</v>
      </c>
      <c r="J49" s="1736">
        <f t="shared" si="2"/>
        <v>8573783</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E31:E48 H31:H48 C31:C32 C34:C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1789</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3" t="s">
        <v>1790</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0</v>
      </c>
      <c r="I12" s="1755">
        <f>SUM(I5:I11)</f>
        <v>0</v>
      </c>
      <c r="J12" s="1755">
        <f>SUM(J5:J11)</f>
        <v>0</v>
      </c>
      <c r="K12" s="1755">
        <f>SUM(K5:K11)</f>
        <v>0</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c r="I14" s="1749"/>
      <c r="J14" s="1751"/>
      <c r="K14" s="1745"/>
    </row>
    <row r="15" spans="1:11" x14ac:dyDescent="0.2">
      <c r="A15" s="2324" t="s">
        <v>4</v>
      </c>
      <c r="B15" s="2324"/>
      <c r="C15" s="2324"/>
      <c r="D15" s="2324"/>
      <c r="E15" s="2325"/>
      <c r="F15" s="635" t="s">
        <v>850</v>
      </c>
      <c r="G15" s="1749"/>
      <c r="H15" s="1744"/>
      <c r="I15" s="1744"/>
      <c r="J15" s="1745"/>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1786</v>
      </c>
      <c r="B19" s="2332"/>
      <c r="C19" s="2332"/>
      <c r="D19" s="2332"/>
      <c r="E19" s="2333"/>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1792</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I8" sqref="I8:I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671408</v>
      </c>
      <c r="D5" s="1770">
        <v>0</v>
      </c>
      <c r="E5" s="1770"/>
      <c r="F5" s="1765">
        <f>(C5+D5)-E5</f>
        <v>671408</v>
      </c>
      <c r="G5" s="676"/>
      <c r="H5" s="680"/>
      <c r="I5" s="680"/>
      <c r="J5" s="680"/>
      <c r="K5" s="637"/>
      <c r="L5" s="1442">
        <f>F5-K5</f>
        <v>671408</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7892697</v>
      </c>
      <c r="D8" s="1771">
        <v>0</v>
      </c>
      <c r="E8" s="1771"/>
      <c r="F8" s="1765">
        <f>(C8+D8)-E8</f>
        <v>7892697</v>
      </c>
      <c r="G8" s="681">
        <v>50</v>
      </c>
      <c r="H8" s="619">
        <v>2595904</v>
      </c>
      <c r="I8" s="619">
        <v>158340</v>
      </c>
      <c r="J8" s="619"/>
      <c r="K8" s="1442">
        <f>(H8+I8)-J8</f>
        <v>2754244</v>
      </c>
      <c r="L8" s="1442">
        <f>F8-K8</f>
        <v>5138453</v>
      </c>
    </row>
    <row r="9" spans="1:14" ht="14.25" thickTop="1" thickBot="1" x14ac:dyDescent="0.25">
      <c r="A9" s="629" t="s">
        <v>1109</v>
      </c>
      <c r="B9" s="679">
        <v>232</v>
      </c>
      <c r="C9" s="1745">
        <v>313388</v>
      </c>
      <c r="D9" s="1745">
        <v>259946</v>
      </c>
      <c r="E9" s="1745"/>
      <c r="F9" s="1765">
        <f>(C9+D9)-E9</f>
        <v>573334</v>
      </c>
      <c r="G9" s="681">
        <v>20</v>
      </c>
      <c r="H9" s="619">
        <v>40218</v>
      </c>
      <c r="I9" s="619">
        <v>17099</v>
      </c>
      <c r="J9" s="619"/>
      <c r="K9" s="1442">
        <f>(H9+I9)-J9</f>
        <v>57317</v>
      </c>
      <c r="L9" s="1442">
        <f>F9-K9</f>
        <v>516017</v>
      </c>
    </row>
    <row r="10" spans="1:14" ht="24" thickTop="1" thickBot="1" x14ac:dyDescent="0.25">
      <c r="A10" s="682" t="s">
        <v>1110</v>
      </c>
      <c r="B10" s="679">
        <v>240</v>
      </c>
      <c r="C10" s="1772">
        <v>70850</v>
      </c>
      <c r="D10" s="1772"/>
      <c r="E10" s="1772"/>
      <c r="F10" s="1773">
        <f>(C10+D10)-E10</f>
        <v>70850</v>
      </c>
      <c r="G10" s="681">
        <v>20</v>
      </c>
      <c r="H10" s="683">
        <v>27214</v>
      </c>
      <c r="I10" s="683">
        <v>3206</v>
      </c>
      <c r="J10" s="683"/>
      <c r="K10" s="1442">
        <f>(H10+I10)-J10</f>
        <v>30420</v>
      </c>
      <c r="L10" s="1442">
        <f>F10-K10</f>
        <v>40430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945674</v>
      </c>
      <c r="D12" s="1771">
        <v>34549</v>
      </c>
      <c r="E12" s="1771"/>
      <c r="F12" s="1765">
        <f>(C12+D12)-E12</f>
        <v>980223</v>
      </c>
      <c r="G12" s="681">
        <v>10</v>
      </c>
      <c r="H12" s="619">
        <v>850539</v>
      </c>
      <c r="I12" s="619">
        <v>25075</v>
      </c>
      <c r="J12" s="619"/>
      <c r="K12" s="1442">
        <f>(H12+I12)-J12</f>
        <v>875614</v>
      </c>
      <c r="L12" s="1442">
        <f>F12-K12</f>
        <v>104609</v>
      </c>
    </row>
    <row r="13" spans="1:14" ht="14.25" thickTop="1" thickBot="1" x14ac:dyDescent="0.25">
      <c r="A13" s="684" t="s">
        <v>1112</v>
      </c>
      <c r="B13" s="679">
        <v>252</v>
      </c>
      <c r="C13" s="1771">
        <v>448152</v>
      </c>
      <c r="D13" s="1771">
        <v>0</v>
      </c>
      <c r="E13" s="1771"/>
      <c r="F13" s="1765">
        <f>(C13+D13)-E13</f>
        <v>448152</v>
      </c>
      <c r="G13" s="681">
        <v>5</v>
      </c>
      <c r="H13" s="619">
        <v>368482</v>
      </c>
      <c r="I13" s="619">
        <v>32521</v>
      </c>
      <c r="J13" s="619"/>
      <c r="K13" s="1442">
        <f>(H13+I13)-J13</f>
        <v>401003</v>
      </c>
      <c r="L13" s="1442">
        <f>F13-K13</f>
        <v>47149</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v>1303833</v>
      </c>
      <c r="E15" s="1771"/>
      <c r="F15" s="1765">
        <f>(C15+D15)-E15</f>
        <v>1303833</v>
      </c>
      <c r="G15" s="685" t="s">
        <v>857</v>
      </c>
      <c r="H15" s="632"/>
      <c r="I15" s="632"/>
      <c r="J15" s="632"/>
      <c r="K15" s="632"/>
      <c r="L15" s="1442">
        <f>F15-K15</f>
        <v>1303833</v>
      </c>
    </row>
    <row r="16" spans="1:14" ht="15" customHeight="1" thickTop="1" thickBot="1" x14ac:dyDescent="0.25">
      <c r="A16" s="1438" t="s">
        <v>638</v>
      </c>
      <c r="B16" s="1439">
        <v>200</v>
      </c>
      <c r="C16" s="1765">
        <f>SUM(C3,C5:C6,C8:C10,C12:C15)</f>
        <v>10342169</v>
      </c>
      <c r="D16" s="1765">
        <f>SUM(D3,D5:D6,D8:D10,D12:D15)</f>
        <v>1598328</v>
      </c>
      <c r="E16" s="1765">
        <f>SUM(E3,E5:E6,E8:E10,E12:E15)</f>
        <v>0</v>
      </c>
      <c r="F16" s="1765">
        <f>SUM(F3,F5:F6,F8:F10,F12:F15)</f>
        <v>11940497</v>
      </c>
      <c r="G16" s="681"/>
      <c r="H16" s="1435">
        <f>SUM(H3,H6,H8:H10,H12:H14,)</f>
        <v>3882357</v>
      </c>
      <c r="I16" s="1435">
        <f>SUM(I3,I6,I8:I10,I12:I14,)</f>
        <v>236241</v>
      </c>
      <c r="J16" s="1435">
        <f>SUM(J3,J6,J8:J10,J12:J14,)</f>
        <v>0</v>
      </c>
      <c r="K16" s="1435">
        <f>(H16+I16)-J16</f>
        <v>4118598</v>
      </c>
      <c r="L16" s="1435">
        <f>F16-K16</f>
        <v>7821899</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236241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topLeftCell="A133"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3266926</v>
      </c>
      <c r="G8" s="701"/>
    </row>
    <row r="9" spans="1:9" x14ac:dyDescent="0.2">
      <c r="A9" s="705" t="s">
        <v>457</v>
      </c>
      <c r="B9" s="706" t="s">
        <v>1848</v>
      </c>
      <c r="C9" s="707"/>
      <c r="D9" s="705" t="s">
        <v>498</v>
      </c>
      <c r="E9" s="704"/>
      <c r="F9" s="1775">
        <f>'Expenditures 15-22'!K151</f>
        <v>437870</v>
      </c>
      <c r="G9" s="708"/>
    </row>
    <row r="10" spans="1:9" x14ac:dyDescent="0.2">
      <c r="A10" s="705" t="s">
        <v>496</v>
      </c>
      <c r="B10" s="706" t="s">
        <v>1849</v>
      </c>
      <c r="C10" s="707"/>
      <c r="D10" s="705" t="s">
        <v>498</v>
      </c>
      <c r="E10" s="704"/>
      <c r="F10" s="1775">
        <f>'Expenditures 15-22'!K174</f>
        <v>547463</v>
      </c>
      <c r="G10" s="708"/>
    </row>
    <row r="11" spans="1:9" x14ac:dyDescent="0.2">
      <c r="A11" s="705" t="s">
        <v>458</v>
      </c>
      <c r="B11" s="706" t="s">
        <v>1850</v>
      </c>
      <c r="C11" s="707"/>
      <c r="D11" s="705" t="s">
        <v>498</v>
      </c>
      <c r="E11" s="704"/>
      <c r="F11" s="1775">
        <f>'Expenditures 15-22'!K210</f>
        <v>240577</v>
      </c>
      <c r="G11" s="708"/>
    </row>
    <row r="12" spans="1:9" x14ac:dyDescent="0.2">
      <c r="A12" s="705" t="s">
        <v>459</v>
      </c>
      <c r="B12" s="706" t="s">
        <v>1851</v>
      </c>
      <c r="C12" s="707"/>
      <c r="D12" s="705" t="s">
        <v>498</v>
      </c>
      <c r="E12" s="704"/>
      <c r="F12" s="1775">
        <f>'Expenditures 15-22'!K295</f>
        <v>106345</v>
      </c>
      <c r="G12" s="708"/>
    </row>
    <row r="13" spans="1:9" x14ac:dyDescent="0.2">
      <c r="A13" s="705" t="s">
        <v>106</v>
      </c>
      <c r="B13" s="706" t="s">
        <v>1852</v>
      </c>
      <c r="C13" s="707"/>
      <c r="D13" s="705" t="s">
        <v>498</v>
      </c>
      <c r="E13" s="704"/>
      <c r="F13" s="1775">
        <f>'Expenditures 15-22'!K342</f>
        <v>3934</v>
      </c>
      <c r="G13" s="709"/>
    </row>
    <row r="14" spans="1:9" ht="12" customHeight="1" thickBot="1" x14ac:dyDescent="0.25">
      <c r="A14" s="1443"/>
      <c r="B14" s="1444"/>
      <c r="C14" s="1445"/>
      <c r="D14" s="1446" t="s">
        <v>498</v>
      </c>
      <c r="E14" s="1447" t="s">
        <v>952</v>
      </c>
      <c r="F14" s="1776">
        <f>SUM(F8:F13)</f>
        <v>4603115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421</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46192</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82300</v>
      </c>
      <c r="G53" s="701"/>
    </row>
    <row r="54" spans="1:7" x14ac:dyDescent="0.2">
      <c r="A54" s="705" t="s">
        <v>456</v>
      </c>
      <c r="B54" s="705" t="s">
        <v>1459</v>
      </c>
      <c r="C54" s="724" t="s">
        <v>975</v>
      </c>
      <c r="D54" s="720" t="s">
        <v>1086</v>
      </c>
      <c r="E54" s="704"/>
      <c r="F54" s="1782">
        <f>'Expenditures 15-22'!G114</f>
        <v>20679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93456</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275100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2505</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520653</v>
      </c>
      <c r="G77" s="701"/>
    </row>
    <row r="78" spans="1:9" s="728" customFormat="1" ht="12" customHeight="1" thickTop="1" thickBot="1" x14ac:dyDescent="0.25">
      <c r="A78" s="1450"/>
      <c r="B78" s="1448"/>
      <c r="C78" s="1445"/>
      <c r="D78" s="1449" t="s">
        <v>2012</v>
      </c>
      <c r="E78" s="1447"/>
      <c r="F78" s="1788">
        <f>(F14-F77)</f>
        <v>4082462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390.9</v>
      </c>
      <c r="G79" s="733"/>
      <c r="H79" s="705"/>
      <c r="I79" s="705"/>
    </row>
    <row r="80" spans="1:9" s="728" customFormat="1" ht="12" customHeight="1" thickBot="1" x14ac:dyDescent="0.25">
      <c r="A80" s="1452"/>
      <c r="B80" s="1448"/>
      <c r="C80" s="1445"/>
      <c r="D80" s="1449" t="s">
        <v>2013</v>
      </c>
      <c r="E80" s="1447" t="s">
        <v>952</v>
      </c>
      <c r="F80" s="1790">
        <f>IF(F79&gt;0,F78/F79," Complete Line 79")</f>
        <v>10443.750319774879</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50187</v>
      </c>
      <c r="G95" s="745"/>
    </row>
    <row r="96" spans="1:7" x14ac:dyDescent="0.2">
      <c r="A96" s="741" t="s">
        <v>139</v>
      </c>
      <c r="B96" s="741" t="s">
        <v>174</v>
      </c>
      <c r="C96" s="743">
        <v>1700</v>
      </c>
      <c r="D96" s="751" t="str">
        <f>'Revenues 9-14'!A82</f>
        <v>Total District/School Activity Income</v>
      </c>
      <c r="E96" s="739"/>
      <c r="F96" s="1793">
        <f>SUM('Revenues 9-14'!C82,'Revenues 9-14'!D82)</f>
        <v>17129</v>
      </c>
      <c r="G96" s="745"/>
    </row>
    <row r="97" spans="1:7" x14ac:dyDescent="0.2">
      <c r="A97" s="741" t="s">
        <v>456</v>
      </c>
      <c r="B97" s="741" t="s">
        <v>175</v>
      </c>
      <c r="C97" s="743">
        <f>'Revenues 9-14'!B84</f>
        <v>1811</v>
      </c>
      <c r="D97" s="744" t="str">
        <f>'Revenues 9-14'!A84</f>
        <v>Rentals - Regular Textbooks</v>
      </c>
      <c r="E97" s="739"/>
      <c r="F97" s="1793">
        <f>'Revenues 9-14'!C84</f>
        <v>33026</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76</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14576</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1705</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31603</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533</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142234</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57789</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69014</v>
      </c>
      <c r="G126" s="763"/>
    </row>
    <row r="127" spans="1:7" x14ac:dyDescent="0.2">
      <c r="A127" s="760" t="s">
        <v>663</v>
      </c>
      <c r="B127" s="760" t="s">
        <v>1931</v>
      </c>
      <c r="C127" s="765">
        <v>4300</v>
      </c>
      <c r="D127" s="766" t="str">
        <f>'Revenues 9-14'!A204</f>
        <v>Total Title I</v>
      </c>
      <c r="E127" s="739"/>
      <c r="F127" s="1793">
        <f>SUM('Revenues 9-14'!C204,'Revenues 9-14'!D204,'Revenues 9-14'!F204,'Revenues 9-14'!G204)</f>
        <v>44853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5097</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66504</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1100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10232</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5508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10127</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138393</v>
      </c>
      <c r="G172" s="760"/>
    </row>
    <row r="173" spans="1:7" x14ac:dyDescent="0.2">
      <c r="A173" s="1529" t="s">
        <v>659</v>
      </c>
      <c r="B173" s="1530" t="s">
        <v>1885</v>
      </c>
      <c r="C173" s="1531">
        <v>3300</v>
      </c>
      <c r="D173" s="1532" t="s">
        <v>1888</v>
      </c>
      <c r="E173" s="739"/>
      <c r="F173" s="1794">
        <v>6098</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705784</v>
      </c>
    </row>
    <row r="176" spans="1:7" ht="12" customHeight="1" x14ac:dyDescent="0.2">
      <c r="A176" s="1443"/>
      <c r="B176" s="1453"/>
      <c r="C176" s="1454"/>
      <c r="D176" s="1455" t="s">
        <v>2014</v>
      </c>
      <c r="E176" s="1456"/>
      <c r="F176" s="1793">
        <f>'PCTC-OEPP 27-28'!F78-F175</f>
        <v>3376678</v>
      </c>
    </row>
    <row r="177" spans="1:9" ht="12" customHeight="1" x14ac:dyDescent="0.2">
      <c r="A177" s="1443"/>
      <c r="B177" s="1453"/>
      <c r="C177" s="1454"/>
      <c r="D177" s="1455" t="s">
        <v>1794</v>
      </c>
      <c r="E177" s="1456"/>
      <c r="F177" s="1793">
        <f>'Cap Outlay Deprec 26'!I18</f>
        <v>236241</v>
      </c>
    </row>
    <row r="178" spans="1:9" ht="12" customHeight="1" x14ac:dyDescent="0.2">
      <c r="A178" s="1443"/>
      <c r="B178" s="1453"/>
      <c r="C178" s="1454"/>
      <c r="D178" s="1455" t="s">
        <v>2015</v>
      </c>
      <c r="E178" s="1456"/>
      <c r="F178" s="1793">
        <f>F176+F177</f>
        <v>3612919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390.9</v>
      </c>
      <c r="G179" s="763"/>
      <c r="I179" s="701"/>
    </row>
    <row r="180" spans="1:9" ht="12" customHeight="1" thickBot="1" x14ac:dyDescent="0.25">
      <c r="A180" s="1443"/>
      <c r="B180" s="1457"/>
      <c r="C180" s="1454"/>
      <c r="D180" s="1455" t="s">
        <v>2017</v>
      </c>
      <c r="E180" s="1456" t="s">
        <v>1528</v>
      </c>
      <c r="F180" s="1798">
        <f>F178/F179</f>
        <v>9242.5658736249679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142"/>
  <sheetViews>
    <sheetView showGridLines="0" zoomScaleNormal="100" workbookViewId="0">
      <selection activeCell="C148" sqref="C148"/>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2067</v>
      </c>
      <c r="B18" s="1908">
        <v>102660300</v>
      </c>
      <c r="C18" s="2037" t="s">
        <v>2068</v>
      </c>
      <c r="D18" s="1886">
        <v>50275</v>
      </c>
      <c r="E18" s="1906" t="str">
        <f t="shared" ref="E18:E81" si="0">IF(D18&lt;25000,D18,"25,000")</f>
        <v>25,000</v>
      </c>
      <c r="F18" s="1906">
        <f t="shared" ref="F18:F81" si="1">IF(D18&gt;=25000,(D18-E18),"0")</f>
        <v>25275</v>
      </c>
      <c r="G18" s="1887"/>
    </row>
    <row r="19" spans="1:7" x14ac:dyDescent="0.25">
      <c r="A19" s="2036" t="s">
        <v>2069</v>
      </c>
      <c r="B19" s="1908">
        <v>402550300</v>
      </c>
      <c r="C19" s="2037" t="s">
        <v>2070</v>
      </c>
      <c r="D19" s="1886">
        <v>96215</v>
      </c>
      <c r="E19" s="1906" t="str">
        <f t="shared" si="0"/>
        <v>25,000</v>
      </c>
      <c r="F19" s="1906">
        <f t="shared" si="1"/>
        <v>71215</v>
      </c>
    </row>
    <row r="20" spans="1:7" x14ac:dyDescent="0.25">
      <c r="A20" s="1888"/>
      <c r="B20" s="1908"/>
      <c r="C20" s="1885"/>
      <c r="D20" s="1886"/>
      <c r="E20" s="1906">
        <f t="shared" si="0"/>
        <v>0</v>
      </c>
      <c r="F20" s="1906" t="str">
        <f t="shared" si="1"/>
        <v>0</v>
      </c>
    </row>
    <row r="21" spans="1:7" hidden="1" x14ac:dyDescent="0.25">
      <c r="A21" s="1888"/>
      <c r="B21" s="1908"/>
      <c r="C21" s="1885"/>
      <c r="D21" s="1886"/>
      <c r="E21" s="1906">
        <f t="shared" si="0"/>
        <v>0</v>
      </c>
      <c r="F21" s="1906" t="str">
        <f t="shared" si="1"/>
        <v>0</v>
      </c>
    </row>
    <row r="22" spans="1:7" hidden="1"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146490</v>
      </c>
      <c r="E142" s="1893">
        <f>+E18+E19</f>
        <v>50000</v>
      </c>
      <c r="F142" s="1894">
        <f>SUM(F18:F141)</f>
        <v>96490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topLeftCell="A13"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f>+'Expenditures 15-22'!E63+'Expenditures 15-22'!F63</f>
        <v>63424</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1969915</v>
      </c>
      <c r="F19" s="1802"/>
      <c r="G19" s="1804">
        <f>'Expenditures 15-22'!K33-SUM('Expenditures 15-22'!G33,'Expenditures 15-22'!I33)+'Expenditures 15-22'!D229</f>
        <v>1969915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162853</v>
      </c>
      <c r="F21" s="1805"/>
      <c r="G21" s="1808">
        <f>'Expenditures 15-22'!K42-SUM('Expenditures 15-22'!G42,'Expenditures 15-22'!I42)+'Expenditures 15-22'!K120-SUM('Expenditures 15-22'!G120,'Expenditures 15-22'!I120)+'Expenditures 15-22'!K180-SUM('Expenditures 15-22'!G180,'Expenditures 15-22'!I180)+'Expenditures 15-22'!D238</f>
        <v>162853</v>
      </c>
      <c r="H21" s="817"/>
      <c r="I21" s="157"/>
    </row>
    <row r="22" spans="1:9" s="542" customFormat="1" ht="12" customHeight="1" x14ac:dyDescent="0.2">
      <c r="A22" s="824" t="s">
        <v>560</v>
      </c>
      <c r="B22" s="825"/>
      <c r="C22" s="823">
        <v>2200</v>
      </c>
      <c r="D22" s="1805"/>
      <c r="E22" s="1807">
        <f>'Expenditures 15-22'!K47-SUM('Expenditures 15-22'!G47,'Expenditures 15-22'!I47)+'Expenditures 15-22'!D243</f>
        <v>33456</v>
      </c>
      <c r="F22" s="1805"/>
      <c r="G22" s="1808">
        <f>'Expenditures 15-22'!K47-SUM('Expenditures 15-22'!G47,'Expenditures 15-22'!I47)+'Expenditures 15-22'!D243</f>
        <v>33456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403941</v>
      </c>
      <c r="F23" s="1805"/>
      <c r="G23" s="1807">
        <f>'Expenditures 15-22'!K53-SUM('Expenditures 15-22'!G53,'Expenditures 15-22'!I53)+'Expenditures 15-22'!D257+'Expenditures 15-22'!K330-SUM('Expenditures 15-22'!G330,'Expenditures 15-22'!I330)</f>
        <v>403941</v>
      </c>
      <c r="H23" s="817"/>
      <c r="I23" s="157"/>
    </row>
    <row r="24" spans="1:9" s="542" customFormat="1" ht="12" customHeight="1" x14ac:dyDescent="0.2">
      <c r="A24" s="824" t="s">
        <v>562</v>
      </c>
      <c r="B24" s="825"/>
      <c r="C24" s="823">
        <v>2400</v>
      </c>
      <c r="D24" s="1805"/>
      <c r="E24" s="1807">
        <f>'Expenditures 15-22'!K57-SUM('Expenditures 15-22'!G57,'Expenditures 15-22'!I57)+'Expenditures 15-22'!D261</f>
        <v>280141</v>
      </c>
      <c r="F24" s="1805"/>
      <c r="G24" s="1808">
        <f>'Expenditures 15-22'!K57-SUM('Expenditures 15-22'!G57,'Expenditures 15-22'!I57)+'Expenditures 15-22'!D261</f>
        <v>280141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110067</v>
      </c>
      <c r="E27" s="1807">
        <f>E8</f>
        <v>0</v>
      </c>
      <c r="F27" s="1807">
        <f>'Expenditures 15-22'!K60-SUM('Expenditures 15-22'!G60,'Expenditures 15-22'!I60)+'Expenditures 15-22'!D264-E8</f>
        <v>110067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397952</v>
      </c>
      <c r="F28" s="1809">
        <f>'Expenditures 15-22'!K61-SUM('Expenditures 15-22'!G61,'Expenditures 15-22'!I61)+'Expenditures 15-22'!K124-SUM('Expenditures 15-22'!G124,'Expenditures 15-22'!I124)+'Expenditures 15-22'!D266-E9</f>
        <v>397952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251692</v>
      </c>
      <c r="F29" s="1805"/>
      <c r="G29" s="1808">
        <f>'Expenditures 15-22'!K62-SUM('Expenditures 15-22'!G62,'Expenditures 15-22'!I62)+'Expenditures 15-22'!K125-SUM('Expenditures 15-22'!G125,'Expenditures 15-22'!I125)+'Expenditures 15-22'!K182-SUM('Expenditures 15-22'!G182,'Expenditures 15-22'!I182)+'Expenditures 15-22'!D267</f>
        <v>251692</v>
      </c>
      <c r="H29" s="815"/>
    </row>
    <row r="30" spans="1:9" ht="12" customHeight="1" x14ac:dyDescent="0.2">
      <c r="A30" s="824" t="s">
        <v>100</v>
      </c>
      <c r="B30" s="827"/>
      <c r="C30" s="823">
        <v>2560</v>
      </c>
      <c r="D30" s="1805"/>
      <c r="E30" s="1807">
        <f>'Expenditures 15-22'!K63-SUM('Expenditures 15-22'!G63,'Expenditures 15-22'!I63)+'Expenditures 15-22'!D268-E10</f>
        <v>72728</v>
      </c>
      <c r="F30" s="1805"/>
      <c r="G30" s="1807">
        <f>'Expenditures 15-22'!K63-SUM('Expenditures 15-22'!G63,'Expenditures 15-22'!I63)+'Expenditures 15-22'!D268-E10</f>
        <v>72728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9389</v>
      </c>
      <c r="F35" s="1805"/>
      <c r="G35" s="1807">
        <f>'Expenditures 15-22'!K69-SUM('Expenditures 15-22'!G69,'Expenditures 15-22'!I69)+'Expenditures 15-22'!D274</f>
        <v>9389</v>
      </c>
    </row>
    <row r="36" spans="1:7" ht="12" customHeight="1" x14ac:dyDescent="0.2">
      <c r="A36" s="824" t="s">
        <v>400</v>
      </c>
      <c r="B36" s="827"/>
      <c r="C36" s="823">
        <v>2640</v>
      </c>
      <c r="D36" s="1807">
        <f>'Expenditures 15-22'!K70-SUM('Expenditures 15-22'!G70,'Expenditures 15-22'!I70)+'Expenditures 15-22'!D275-E13</f>
        <v>17458</v>
      </c>
      <c r="E36" s="1807">
        <f>E13</f>
        <v>0</v>
      </c>
      <c r="F36" s="1807">
        <f>'Expenditures 15-22'!K70-SUM('Expenditures 15-22'!G70,'Expenditures 15-22'!I70)+'Expenditures 15-22'!D275-E13</f>
        <v>17458</v>
      </c>
      <c r="G36" s="1807">
        <f>E13</f>
        <v>0</v>
      </c>
    </row>
    <row r="37" spans="1:7" ht="12" customHeight="1" x14ac:dyDescent="0.2">
      <c r="A37" s="824" t="s">
        <v>401</v>
      </c>
      <c r="B37" s="827"/>
      <c r="C37" s="823">
        <v>2660</v>
      </c>
      <c r="D37" s="1807">
        <f>'Expenditures 15-22'!K71-SUM('Expenditures 15-22'!G71,'Expenditures 15-22'!I71)+'Expenditures 15-22'!D276-E14</f>
        <v>86201</v>
      </c>
      <c r="E37" s="1807">
        <f>E14</f>
        <v>0</v>
      </c>
      <c r="F37" s="1807">
        <f>'Expenditures 15-22'!K71-SUM('Expenditures 15-22'!G71,'Expenditures 15-22'!I71)+'Expenditures 15-22'!D276-E14</f>
        <v>86201</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-96490</v>
      </c>
      <c r="F40" s="1805"/>
      <c r="G40" s="1809">
        <f>-'Contracts Paid in CY 29'!F142</f>
        <v>-96490</v>
      </c>
    </row>
    <row r="41" spans="1:7" ht="12" customHeight="1" x14ac:dyDescent="0.2">
      <c r="A41" s="828" t="s">
        <v>155</v>
      </c>
      <c r="B41" s="829"/>
      <c r="C41" s="830"/>
      <c r="D41" s="1809">
        <f>SUM(D19:D39)</f>
        <v>213726</v>
      </c>
      <c r="E41" s="1809">
        <f>SUM(E19:E40)</f>
        <v>3485577</v>
      </c>
      <c r="F41" s="1809">
        <f>SUM(F19:F39)</f>
        <v>611678</v>
      </c>
      <c r="G41" s="1809">
        <f>SUM(G19:G40)</f>
        <v>3087625</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213726</v>
      </c>
      <c r="F43" s="1458" t="s">
        <v>470</v>
      </c>
      <c r="G43" s="1810">
        <f>F41</f>
        <v>611678</v>
      </c>
    </row>
    <row r="44" spans="1:7" ht="12" customHeight="1" x14ac:dyDescent="0.2">
      <c r="A44" s="817"/>
      <c r="B44" s="157"/>
      <c r="C44" s="831"/>
      <c r="D44" s="1458" t="s">
        <v>471</v>
      </c>
      <c r="E44" s="1810">
        <f>E41</f>
        <v>3485577</v>
      </c>
      <c r="F44" s="1458" t="s">
        <v>471</v>
      </c>
      <c r="G44" s="1810">
        <f>G41</f>
        <v>3087625</v>
      </c>
    </row>
    <row r="45" spans="1:7" ht="12" customHeight="1" x14ac:dyDescent="0.2">
      <c r="A45" s="817"/>
      <c r="B45" s="157"/>
      <c r="C45" s="157"/>
      <c r="D45" s="1459" t="s">
        <v>999</v>
      </c>
      <c r="E45" s="1811">
        <f>(E43/E44)</f>
        <v>6.1317251060584804E-2</v>
      </c>
      <c r="F45" s="1459" t="s">
        <v>999</v>
      </c>
      <c r="G45" s="1811">
        <f>(G43/G44)</f>
        <v>0.19810631148536498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O97"/>
  <sheetViews>
    <sheetView showGridLines="0" zoomScale="110" zoomScaleNormal="110" workbookViewId="0">
      <selection activeCell="F27" sqref="F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St. George CCSD 258</v>
      </c>
      <c r="D6" s="2416"/>
      <c r="E6" s="2416"/>
      <c r="F6" s="1482"/>
      <c r="G6" s="1507"/>
      <c r="L6" s="1507"/>
      <c r="M6" s="1855"/>
      <c r="N6" s="1855"/>
      <c r="O6" s="1855"/>
    </row>
    <row r="7" spans="1:15" ht="11.25" customHeight="1" thickBot="1" x14ac:dyDescent="0.3">
      <c r="A7" s="1480"/>
      <c r="B7" s="1481"/>
      <c r="C7" s="2417" t="str">
        <f>COVER!A13</f>
        <v>32-046-2580-04</v>
      </c>
      <c r="D7" s="2417"/>
      <c r="E7" s="241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2071</v>
      </c>
      <c r="D24" s="1495" t="s">
        <v>2071</v>
      </c>
      <c r="E24" s="1498" t="s">
        <v>2071</v>
      </c>
      <c r="F24" s="1497" t="s">
        <v>2072</v>
      </c>
      <c r="G24" s="1507"/>
      <c r="H24" s="1507">
        <f t="shared" si="0"/>
        <v>5</v>
      </c>
      <c r="I24" s="1507">
        <f t="shared" si="1"/>
        <v>5</v>
      </c>
      <c r="J24" s="1507">
        <f t="shared" si="2"/>
        <v>5</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2071</v>
      </c>
      <c r="D26" s="1495" t="s">
        <v>2071</v>
      </c>
      <c r="E26" s="1498" t="s">
        <v>2071</v>
      </c>
      <c r="F26" s="1497" t="s">
        <v>2083</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N83"/>
  <sheetViews>
    <sheetView showGridLines="0" topLeftCell="A37" zoomScaleNormal="100" workbookViewId="0">
      <selection activeCell="M72" sqref="M72"/>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8" t="str">
        <f>COVER!A17</f>
        <v>St. George CCSD 258</v>
      </c>
      <c r="K6" s="2438"/>
      <c r="L6" s="2452"/>
      <c r="M6" s="838"/>
      <c r="N6" s="1998"/>
    </row>
    <row r="7" spans="1:14" x14ac:dyDescent="0.2">
      <c r="A7" s="2453" t="s">
        <v>864</v>
      </c>
      <c r="B7" s="2454"/>
      <c r="C7" s="2454"/>
      <c r="D7" s="2454"/>
      <c r="E7" s="2455"/>
      <c r="F7" s="839"/>
      <c r="G7" s="838"/>
      <c r="H7" s="838"/>
      <c r="I7" s="1924" t="s">
        <v>369</v>
      </c>
      <c r="J7" s="2440" t="str">
        <f>COVER!A13</f>
        <v>32-046-2580-04</v>
      </c>
      <c r="K7" s="2440"/>
      <c r="L7" s="244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6" t="s">
        <v>478</v>
      </c>
      <c r="B11" s="2457"/>
      <c r="C11" s="245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243674</v>
      </c>
      <c r="F12" s="1942"/>
      <c r="G12" s="1968">
        <f>G68</f>
        <v>0</v>
      </c>
      <c r="H12" s="1944">
        <f t="shared" ref="H12:H18" si="0">SUM(E12:G12)</f>
        <v>243674</v>
      </c>
      <c r="I12" s="1943">
        <v>254295</v>
      </c>
      <c r="J12" s="1942"/>
      <c r="K12" s="1943"/>
      <c r="L12" s="1944">
        <f t="shared" ref="L12:L18" si="1">SUM(I12:K12)</f>
        <v>254295</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9" t="s">
        <v>7</v>
      </c>
      <c r="C18" s="2460"/>
      <c r="D18" s="246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243674</v>
      </c>
      <c r="F19" s="1950">
        <f t="shared" si="2"/>
        <v>0</v>
      </c>
      <c r="G19" s="1950">
        <f t="shared" ref="G19" si="3">SUM(G12:G17)-G18</f>
        <v>0</v>
      </c>
      <c r="H19" s="1950">
        <f t="shared" si="2"/>
        <v>243674</v>
      </c>
      <c r="I19" s="1950">
        <f t="shared" si="2"/>
        <v>254295</v>
      </c>
      <c r="J19" s="1950">
        <f t="shared" si="2"/>
        <v>0</v>
      </c>
      <c r="K19" s="1950">
        <f t="shared" si="2"/>
        <v>0</v>
      </c>
      <c r="L19" s="1950">
        <f t="shared" si="2"/>
        <v>254295</v>
      </c>
      <c r="M19" s="838"/>
      <c r="N19" s="1998"/>
    </row>
    <row r="20" spans="1:14" ht="13.5" thickTop="1" x14ac:dyDescent="0.2">
      <c r="A20" s="2003">
        <v>9</v>
      </c>
      <c r="B20" s="2462" t="s">
        <v>2021</v>
      </c>
      <c r="C20" s="2462"/>
      <c r="D20" s="2463"/>
      <c r="E20" s="1951"/>
      <c r="F20" s="1951"/>
      <c r="G20" s="1951"/>
      <c r="H20" s="1951"/>
      <c r="I20" s="1951"/>
      <c r="J20" s="1951"/>
      <c r="K20" s="1951"/>
      <c r="L20" s="1952">
        <f>IF(AND(H19&gt;0,L19&gt;0),(((L19-H19)/H19)),"Enter Budget Data")</f>
        <v>4.3586923512561868E-2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4"/>
      <c r="D27" s="2464"/>
      <c r="E27" s="843"/>
      <c r="F27" s="2465"/>
      <c r="G27" s="2465"/>
      <c r="H27" s="2465"/>
      <c r="I27" s="838"/>
      <c r="J27" s="838"/>
      <c r="K27" s="838"/>
      <c r="L27" s="838"/>
      <c r="M27" s="838"/>
      <c r="N27" s="1998"/>
    </row>
    <row r="28" spans="1:14" x14ac:dyDescent="0.2">
      <c r="A28" s="1997"/>
      <c r="B28" s="2007"/>
      <c r="C28" s="1957" t="s">
        <v>1026</v>
      </c>
      <c r="D28" s="844"/>
      <c r="E28" s="1958"/>
      <c r="F28" s="2466" t="s">
        <v>1492</v>
      </c>
      <c r="G28" s="2466"/>
      <c r="H28" s="2466"/>
      <c r="I28" s="838"/>
      <c r="J28" s="838"/>
      <c r="K28" s="838"/>
      <c r="L28" s="838"/>
      <c r="M28" s="838"/>
      <c r="N28" s="1998"/>
    </row>
    <row r="29" spans="1:14" x14ac:dyDescent="0.2">
      <c r="A29" s="1997"/>
      <c r="B29" s="2007"/>
      <c r="C29" s="2467"/>
      <c r="D29" s="2467"/>
      <c r="E29" s="845"/>
      <c r="F29" s="2467"/>
      <c r="G29" s="2467"/>
      <c r="H29" s="2467"/>
      <c r="I29" s="838"/>
      <c r="J29" s="838"/>
      <c r="K29" s="838"/>
      <c r="L29" s="838"/>
      <c r="M29" s="838"/>
      <c r="N29" s="1998"/>
    </row>
    <row r="30" spans="1:14" x14ac:dyDescent="0.2">
      <c r="A30" s="1997"/>
      <c r="B30" s="2007"/>
      <c r="C30" s="1960" t="s">
        <v>1544</v>
      </c>
      <c r="D30" s="838"/>
      <c r="E30" s="1959"/>
      <c r="F30" s="2451" t="s">
        <v>1493</v>
      </c>
      <c r="G30" s="2451"/>
      <c r="H30" s="245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8" t="s">
        <v>2024</v>
      </c>
      <c r="D34" s="2429"/>
      <c r="E34" s="2429"/>
      <c r="F34" s="2429"/>
      <c r="G34" s="2429"/>
      <c r="H34" s="2429"/>
      <c r="I34" s="2429"/>
      <c r="J34" s="2429"/>
      <c r="K34" s="2016"/>
      <c r="L34" s="838"/>
      <c r="M34" s="838"/>
      <c r="N34" s="1998"/>
    </row>
    <row r="35" spans="1:14" x14ac:dyDescent="0.2">
      <c r="A35" s="1997"/>
      <c r="B35" s="838"/>
      <c r="C35" s="2429"/>
      <c r="D35" s="2429"/>
      <c r="E35" s="2429"/>
      <c r="F35" s="2429"/>
      <c r="G35" s="2429"/>
      <c r="H35" s="2429"/>
      <c r="I35" s="2429"/>
      <c r="J35" s="242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8" t="s">
        <v>2025</v>
      </c>
      <c r="D37" s="2429"/>
      <c r="E37" s="2429"/>
      <c r="F37" s="2429"/>
      <c r="G37" s="2429"/>
      <c r="H37" s="2429"/>
      <c r="I37" s="2429"/>
      <c r="J37" s="2429"/>
      <c r="K37" s="2016"/>
      <c r="L37" s="2018"/>
      <c r="M37" s="838"/>
      <c r="N37" s="1998"/>
    </row>
    <row r="38" spans="1:14" x14ac:dyDescent="0.2">
      <c r="A38" s="1997"/>
      <c r="B38" s="838"/>
      <c r="C38" s="2429"/>
      <c r="D38" s="2429"/>
      <c r="E38" s="2429"/>
      <c r="F38" s="2429"/>
      <c r="G38" s="2429"/>
      <c r="H38" s="2429"/>
      <c r="I38" s="2429"/>
      <c r="J38" s="242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0" t="s">
        <v>2026</v>
      </c>
      <c r="D40" s="2431"/>
      <c r="E40" s="2431"/>
      <c r="F40" s="2431"/>
      <c r="G40" s="2431"/>
      <c r="H40" s="2431"/>
      <c r="I40" s="2431"/>
      <c r="J40" s="243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2" t="s">
        <v>2027</v>
      </c>
      <c r="B43" s="2433"/>
      <c r="C43" s="2433"/>
      <c r="D43" s="2433"/>
      <c r="E43" s="2433"/>
      <c r="F43" s="2433"/>
      <c r="G43" s="2433"/>
      <c r="H43" s="2433"/>
      <c r="I43" s="2433"/>
      <c r="J43" s="2433"/>
      <c r="K43" s="2433"/>
      <c r="L43" s="2433"/>
      <c r="M43" s="2433"/>
      <c r="N43" s="243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5" t="s">
        <v>2029</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8" t="str">
        <f>J6</f>
        <v>St. George CCSD 258</v>
      </c>
      <c r="M52" s="2438"/>
      <c r="N52" s="2439"/>
    </row>
    <row r="53" spans="1:14" x14ac:dyDescent="0.2">
      <c r="A53" s="1982"/>
      <c r="B53" s="1983"/>
      <c r="C53" s="1983"/>
      <c r="D53" s="1983"/>
      <c r="E53" s="1983"/>
      <c r="F53" s="1983"/>
      <c r="G53" s="1983"/>
      <c r="H53" s="1983"/>
      <c r="I53" s="1983"/>
      <c r="J53" s="1983"/>
      <c r="K53" s="1924" t="s">
        <v>369</v>
      </c>
      <c r="L53" s="2440" t="str">
        <f>J7</f>
        <v>32-046-2580-04</v>
      </c>
      <c r="M53" s="2440"/>
      <c r="N53" s="244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2"/>
      <c r="B55" s="2443"/>
      <c r="C55" s="2443"/>
      <c r="D55" s="1970"/>
      <c r="E55" s="1970"/>
      <c r="F55" s="1970"/>
      <c r="G55" s="2444" t="s">
        <v>2030</v>
      </c>
      <c r="H55" s="2444"/>
      <c r="I55" s="2444"/>
      <c r="J55" s="2444"/>
      <c r="K55" s="2444"/>
      <c r="L55" s="2444"/>
      <c r="M55" s="2444"/>
      <c r="N55" s="2445"/>
    </row>
    <row r="56" spans="1:14" ht="63.75" x14ac:dyDescent="0.2">
      <c r="A56" s="2446" t="s">
        <v>2031</v>
      </c>
      <c r="B56" s="2447"/>
      <c r="C56" s="244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9" t="s">
        <v>296</v>
      </c>
      <c r="B57" s="2450"/>
      <c r="C57" s="245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6" t="s">
        <v>2041</v>
      </c>
      <c r="B58" s="2427"/>
      <c r="C58" s="2427"/>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20" t="s">
        <v>297</v>
      </c>
      <c r="B59" s="2421"/>
      <c r="C59" s="2421"/>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0" t="s">
        <v>236</v>
      </c>
      <c r="B60" s="2421"/>
      <c r="C60" s="2421"/>
      <c r="D60" s="1967">
        <v>2364</v>
      </c>
      <c r="E60" s="1977">
        <f>'Expenditures 15-22'!K322</f>
        <v>3934</v>
      </c>
      <c r="F60" s="1972"/>
      <c r="G60" s="2031"/>
      <c r="H60" s="2032"/>
      <c r="I60" s="2032"/>
      <c r="J60" s="2032"/>
      <c r="K60" s="2032"/>
      <c r="L60" s="2032"/>
      <c r="M60" s="2032">
        <v>3934</v>
      </c>
      <c r="N60" s="1975">
        <f t="shared" ref="N60:N67" si="4">IF((SUM(G60:M60))=E60,SUM(G60:M60),"Column N does not agree with Column E")</f>
        <v>3934</v>
      </c>
    </row>
    <row r="61" spans="1:14" ht="24.75" customHeight="1" x14ac:dyDescent="0.2">
      <c r="A61" s="2420" t="s">
        <v>697</v>
      </c>
      <c r="B61" s="2421"/>
      <c r="C61" s="2421"/>
      <c r="D61" s="1967">
        <v>2365</v>
      </c>
      <c r="E61" s="1977">
        <f>'Expenditures 15-22'!K323</f>
        <v>0</v>
      </c>
      <c r="F61" s="1972"/>
      <c r="G61" s="2031"/>
      <c r="H61" s="2032"/>
      <c r="I61" s="2032"/>
      <c r="J61" s="2032"/>
      <c r="K61" s="2032"/>
      <c r="L61" s="2032"/>
      <c r="M61" s="2032"/>
      <c r="N61" s="1975">
        <f t="shared" si="4"/>
        <v>0</v>
      </c>
    </row>
    <row r="62" spans="1:14" ht="24" customHeight="1" x14ac:dyDescent="0.2">
      <c r="A62" s="2420" t="s">
        <v>237</v>
      </c>
      <c r="B62" s="2421"/>
      <c r="C62" s="2421"/>
      <c r="D62" s="1967">
        <v>2366</v>
      </c>
      <c r="E62" s="1977">
        <f>'Expenditures 15-22'!K324</f>
        <v>0</v>
      </c>
      <c r="F62" s="1972"/>
      <c r="G62" s="2031"/>
      <c r="H62" s="2032"/>
      <c r="I62" s="2032"/>
      <c r="J62" s="2032"/>
      <c r="K62" s="2032"/>
      <c r="L62" s="2032"/>
      <c r="M62" s="2032"/>
      <c r="N62" s="1975">
        <f t="shared" si="4"/>
        <v>0</v>
      </c>
    </row>
    <row r="63" spans="1:14" ht="24" customHeight="1" x14ac:dyDescent="0.2">
      <c r="A63" s="2426" t="s">
        <v>1022</v>
      </c>
      <c r="B63" s="2427"/>
      <c r="C63" s="2427"/>
      <c r="D63" s="1967">
        <v>2367</v>
      </c>
      <c r="E63" s="1977">
        <f>'Expenditures 15-22'!K325</f>
        <v>0</v>
      </c>
      <c r="F63" s="1972"/>
      <c r="G63" s="2031"/>
      <c r="H63" s="2032"/>
      <c r="I63" s="2032"/>
      <c r="J63" s="2032"/>
      <c r="K63" s="2032"/>
      <c r="L63" s="2032"/>
      <c r="M63" s="2032"/>
      <c r="N63" s="1975">
        <f t="shared" si="4"/>
        <v>0</v>
      </c>
    </row>
    <row r="64" spans="1:14" ht="24" customHeight="1" x14ac:dyDescent="0.2">
      <c r="A64" s="2420" t="s">
        <v>1023</v>
      </c>
      <c r="B64" s="2421"/>
      <c r="C64" s="2421"/>
      <c r="D64" s="1967">
        <v>2368</v>
      </c>
      <c r="E64" s="1977">
        <f>'Expenditures 15-22'!K326</f>
        <v>0</v>
      </c>
      <c r="F64" s="1972"/>
      <c r="G64" s="2031"/>
      <c r="H64" s="2032"/>
      <c r="I64" s="2032"/>
      <c r="J64" s="2032"/>
      <c r="K64" s="2032"/>
      <c r="L64" s="2032"/>
      <c r="M64" s="2032"/>
      <c r="N64" s="1975">
        <f t="shared" si="4"/>
        <v>0</v>
      </c>
    </row>
    <row r="65" spans="1:14" ht="24" customHeight="1" x14ac:dyDescent="0.2">
      <c r="A65" s="2420" t="s">
        <v>965</v>
      </c>
      <c r="B65" s="2421"/>
      <c r="C65" s="2421"/>
      <c r="D65" s="1967">
        <v>2369</v>
      </c>
      <c r="E65" s="1977">
        <f>'Expenditures 15-22'!K327</f>
        <v>0</v>
      </c>
      <c r="F65" s="1972"/>
      <c r="G65" s="2031"/>
      <c r="H65" s="2032"/>
      <c r="I65" s="2032"/>
      <c r="J65" s="2032"/>
      <c r="K65" s="2032"/>
      <c r="L65" s="2032"/>
      <c r="M65" s="2032"/>
      <c r="N65" s="1975">
        <f t="shared" si="4"/>
        <v>0</v>
      </c>
    </row>
    <row r="66" spans="1:14" ht="24" customHeight="1" x14ac:dyDescent="0.2">
      <c r="A66" s="2420" t="s">
        <v>469</v>
      </c>
      <c r="B66" s="2421"/>
      <c r="C66" s="2421"/>
      <c r="D66" s="1967">
        <v>2371</v>
      </c>
      <c r="E66" s="1977">
        <f>'Expenditures 15-22'!K328</f>
        <v>0</v>
      </c>
      <c r="F66" s="1972"/>
      <c r="G66" s="2031"/>
      <c r="H66" s="2032"/>
      <c r="I66" s="2032"/>
      <c r="J66" s="2032"/>
      <c r="K66" s="2032"/>
      <c r="L66" s="2032"/>
      <c r="M66" s="2032"/>
      <c r="N66" s="1975">
        <f t="shared" si="4"/>
        <v>0</v>
      </c>
    </row>
    <row r="67" spans="1:14" ht="24.75" customHeight="1" x14ac:dyDescent="0.2">
      <c r="A67" s="2422" t="s">
        <v>2042</v>
      </c>
      <c r="B67" s="2423"/>
      <c r="C67" s="2423"/>
      <c r="D67" s="1969">
        <v>2372</v>
      </c>
      <c r="E67" s="1978">
        <f>'Expenditures 15-22'!K329</f>
        <v>0</v>
      </c>
      <c r="F67" s="1972"/>
      <c r="G67" s="2033"/>
      <c r="H67" s="2034"/>
      <c r="I67" s="2034"/>
      <c r="J67" s="2034"/>
      <c r="K67" s="2034"/>
      <c r="L67" s="2034"/>
      <c r="M67" s="2034"/>
      <c r="N67" s="1975">
        <f t="shared" si="4"/>
        <v>0</v>
      </c>
    </row>
    <row r="68" spans="1:14" x14ac:dyDescent="0.2">
      <c r="A68" s="2424" t="s">
        <v>1151</v>
      </c>
      <c r="B68" s="2425"/>
      <c r="C68" s="2425"/>
      <c r="D68" s="1970"/>
      <c r="E68" s="1974">
        <f>SUM(E57:E67)</f>
        <v>3934</v>
      </c>
      <c r="F68" s="1973"/>
      <c r="G68" s="1974">
        <f t="shared" ref="G68:N68" si="5">SUM(G57:G67)</f>
        <v>0</v>
      </c>
      <c r="H68" s="1974">
        <f t="shared" si="5"/>
        <v>0</v>
      </c>
      <c r="I68" s="1974">
        <f t="shared" si="5"/>
        <v>0</v>
      </c>
      <c r="J68" s="1974">
        <f t="shared" si="5"/>
        <v>0</v>
      </c>
      <c r="K68" s="1974">
        <f t="shared" si="5"/>
        <v>0</v>
      </c>
      <c r="L68" s="1974">
        <f t="shared" si="5"/>
        <v>0</v>
      </c>
      <c r="M68" s="1974">
        <f t="shared" si="5"/>
        <v>3934</v>
      </c>
      <c r="N68" s="1988">
        <f t="shared" si="5"/>
        <v>3934</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B38" sqref="B38"/>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2074</v>
      </c>
    </row>
    <row r="6" spans="1:2" x14ac:dyDescent="0.2">
      <c r="A6" s="847">
        <v>2</v>
      </c>
      <c r="B6" s="548" t="s">
        <v>2088</v>
      </c>
    </row>
    <row r="7" spans="1:2" x14ac:dyDescent="0.2">
      <c r="A7" s="847">
        <v>3</v>
      </c>
      <c r="B7" s="307" t="s">
        <v>2084</v>
      </c>
    </row>
    <row r="8" spans="1:2" x14ac:dyDescent="0.2">
      <c r="A8" s="847">
        <v>4</v>
      </c>
      <c r="B8" s="307" t="s">
        <v>2085</v>
      </c>
    </row>
    <row r="9" spans="1:2" x14ac:dyDescent="0.2">
      <c r="A9" s="847">
        <v>5</v>
      </c>
      <c r="B9" s="307" t="s">
        <v>2086</v>
      </c>
    </row>
    <row r="10" spans="1:2" x14ac:dyDescent="0.2">
      <c r="A10" s="847">
        <v>6</v>
      </c>
      <c r="B10" s="307" t="s">
        <v>2087</v>
      </c>
    </row>
    <row r="11" spans="1:2" x14ac:dyDescent="0.2">
      <c r="A11" s="847"/>
    </row>
    <row r="12" spans="1:2" x14ac:dyDescent="0.2">
      <c r="A12" s="847"/>
    </row>
    <row r="13" spans="1:2" x14ac:dyDescent="0.2">
      <c r="A13" s="847"/>
    </row>
    <row r="14" spans="1:2" x14ac:dyDescent="0.2">
      <c r="A14" s="847"/>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St. George CCSD 258</v>
      </c>
    </row>
    <row r="65" spans="2:2" x14ac:dyDescent="0.2">
      <c r="B65" s="849" t="str">
        <f>COVER!A13</f>
        <v>32-046-2580-04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topLeftCell="A37" zoomScale="110" zoomScaleNormal="110" workbookViewId="0">
      <selection activeCell="A38" sqref="A38:H3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zoomScale="110" zoomScaleNormal="110" workbookViewId="0">
      <selection activeCell="B4" sqref="B4"/>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0</xdr:col>
                <xdr:colOff>0</xdr:colOff>
                <xdr:row>0</xdr:row>
                <xdr:rowOff>0</xdr:rowOff>
              </from>
              <to>
                <xdr:col>1</xdr:col>
                <xdr:colOff>1190625</xdr:colOff>
                <xdr:row>7</xdr:row>
                <xdr:rowOff>95250</xdr:rowOff>
              </to>
            </anchor>
          </objectPr>
        </oleObject>
      </mc:Choice>
      <mc:Fallback>
        <oleObject progId="Acrobat Document" dvAspect="DVASPECT_ICON" shapeId="43010"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1038225</xdr:colOff>
                <xdr:row>0</xdr:row>
                <xdr:rowOff>38100</xdr:rowOff>
              </from>
              <to>
                <xdr:col>1</xdr:col>
                <xdr:colOff>2352675</xdr:colOff>
                <xdr:row>7</xdr:row>
                <xdr:rowOff>133350</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2" r:id="rId8">
          <objectPr defaultSize="0" r:id="rId9">
            <anchor moveWithCells="1">
              <from>
                <xdr:col>1</xdr:col>
                <xdr:colOff>2590800</xdr:colOff>
                <xdr:row>0</xdr:row>
                <xdr:rowOff>76200</xdr:rowOff>
              </from>
              <to>
                <xdr:col>1</xdr:col>
                <xdr:colOff>3905250</xdr:colOff>
                <xdr:row>8</xdr:row>
                <xdr:rowOff>9525</xdr:rowOff>
              </to>
            </anchor>
          </objectPr>
        </oleObject>
      </mc:Choice>
      <mc:Fallback>
        <oleObject progId="Acrobat Document" dvAspect="DVASPECT_ICON" shapeId="43012"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3458711</v>
      </c>
      <c r="C8" s="1813">
        <f>'Acct Summary 7-8'!D8</f>
        <v>561396</v>
      </c>
      <c r="D8" s="1813">
        <f>'Acct Summary 7-8'!F8</f>
        <v>231880</v>
      </c>
      <c r="E8" s="1813">
        <f>'Acct Summary 7-8'!I8</f>
        <v>793</v>
      </c>
      <c r="F8" s="1813">
        <f>SUM(B8:E8)</f>
        <v>4252780</v>
      </c>
    </row>
    <row r="9" spans="1:8" s="858" customFormat="1" ht="14.25" customHeight="1" thickBot="1" x14ac:dyDescent="0.25">
      <c r="A9" s="857" t="s">
        <v>1353</v>
      </c>
      <c r="B9" s="1814">
        <f>'Acct Summary 7-8'!C17</f>
        <v>3266926</v>
      </c>
      <c r="C9" s="1814">
        <f>'Acct Summary 7-8'!D17</f>
        <v>437870</v>
      </c>
      <c r="D9" s="1814">
        <f>'Acct Summary 7-8'!F17</f>
        <v>240577</v>
      </c>
      <c r="E9" s="1813"/>
      <c r="F9" s="1813">
        <f>SUM(B9:E9)</f>
        <v>3945373</v>
      </c>
    </row>
    <row r="10" spans="1:8" s="858" customFormat="1" ht="14.25" thickTop="1" thickBot="1" x14ac:dyDescent="0.25">
      <c r="A10" s="859" t="s">
        <v>1354</v>
      </c>
      <c r="B10" s="1815">
        <f>(B8-B9)</f>
        <v>191785</v>
      </c>
      <c r="C10" s="1815">
        <f>(C8-C9)</f>
        <v>123526</v>
      </c>
      <c r="D10" s="1815">
        <f>(D8-D9)</f>
        <v>-8697</v>
      </c>
      <c r="E10" s="1814">
        <f>(E8-E9)</f>
        <v>793</v>
      </c>
      <c r="F10" s="1816">
        <f>SUM(F8-F9)</f>
        <v>307407</v>
      </c>
    </row>
    <row r="11" spans="1:8" s="858" customFormat="1" ht="14.25" thickTop="1" thickBot="1" x14ac:dyDescent="0.25">
      <c r="A11" s="860" t="s">
        <v>1903</v>
      </c>
      <c r="B11" s="1817">
        <f>'Acct Summary 7-8'!C81</f>
        <v>2455452</v>
      </c>
      <c r="C11" s="1817">
        <f>'Acct Summary 7-8'!D81</f>
        <v>270881</v>
      </c>
      <c r="D11" s="1817">
        <f>'Acct Summary 7-8'!F81</f>
        <v>129677</v>
      </c>
      <c r="E11" s="1817">
        <f>'Acct Summary 7-8'!I81</f>
        <v>44459</v>
      </c>
      <c r="F11" s="1818">
        <f>SUM(B11:E11)</f>
        <v>2900469</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2" colorId="8" zoomScale="110" zoomScaleNormal="110" workbookViewId="0">
      <selection activeCell="D69" sqref="D6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t="str">
        <f>COVER!A13</f>
        <v>32-046-2580-04</v>
      </c>
      <c r="E2" s="1542">
        <v>2020</v>
      </c>
      <c r="F2" s="1542">
        <v>1</v>
      </c>
      <c r="G2" s="1899">
        <v>101000300</v>
      </c>
    </row>
    <row r="3" spans="1:7" ht="15" x14ac:dyDescent="0.25">
      <c r="A3" t="s">
        <v>950</v>
      </c>
      <c r="B3" s="135" t="str">
        <f>COVER!A15</f>
        <v>Kankakee</v>
      </c>
      <c r="E3" s="1830" t="s">
        <v>1971</v>
      </c>
      <c r="F3" s="1830" t="s">
        <v>1970</v>
      </c>
      <c r="G3" s="1899">
        <v>101000400</v>
      </c>
    </row>
    <row r="4" spans="1:7" ht="15" x14ac:dyDescent="0.25">
      <c r="A4" t="s">
        <v>1000</v>
      </c>
      <c r="B4" s="135" t="str">
        <f>COVER!A17</f>
        <v>St. George CCSD 258</v>
      </c>
      <c r="E4" s="1828">
        <v>44119</v>
      </c>
      <c r="F4" s="1829">
        <v>44151</v>
      </c>
      <c r="G4" s="1899">
        <v>101000600</v>
      </c>
    </row>
    <row r="5" spans="1:7" ht="15" x14ac:dyDescent="0.25">
      <c r="A5" t="s">
        <v>699</v>
      </c>
      <c r="B5" s="135" t="str">
        <f>COVER!A38</f>
        <v>Helen Boehrnsen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Dr. Gregg Murphy</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066-005281</v>
      </c>
      <c r="G15" s="1899">
        <v>402100400</v>
      </c>
    </row>
    <row r="16" spans="1:7" ht="15" x14ac:dyDescent="0.25">
      <c r="A16" t="s">
        <v>419</v>
      </c>
      <c r="B16" s="135" t="str">
        <f>COVER!T13</f>
        <v>SKDO, P.C.</v>
      </c>
      <c r="G16" s="1899">
        <v>402100600</v>
      </c>
    </row>
    <row r="17" spans="1:7" ht="15" x14ac:dyDescent="0.25">
      <c r="A17" t="s">
        <v>878</v>
      </c>
      <c r="B17" s="135" t="str">
        <f>COVER!T15</f>
        <v>Carmen Huizenga</v>
      </c>
      <c r="G17" s="1899">
        <v>402100800</v>
      </c>
    </row>
    <row r="18" spans="1:7" ht="15" x14ac:dyDescent="0.25">
      <c r="A18" t="s">
        <v>1140</v>
      </c>
      <c r="B18" s="135" t="str">
        <f>COVER!T17</f>
        <v>1605 N Convent</v>
      </c>
      <c r="G18" s="1899">
        <v>102200300</v>
      </c>
    </row>
    <row r="19" spans="1:7" ht="15" x14ac:dyDescent="0.25">
      <c r="A19" t="s">
        <v>880</v>
      </c>
      <c r="B19" s="135" t="str">
        <f>COVER!T25</f>
        <v>carmenh@skdocpa.com</v>
      </c>
      <c r="G19" s="1899">
        <v>102200400</v>
      </c>
    </row>
    <row r="20" spans="1:7" ht="15" x14ac:dyDescent="0.25">
      <c r="A20" t="s">
        <v>881</v>
      </c>
      <c r="B20" s="135" t="str">
        <f>COVER!T19</f>
        <v>Bourbonnais</v>
      </c>
      <c r="G20" s="1899">
        <v>102200600</v>
      </c>
    </row>
    <row r="21" spans="1:7" ht="15" x14ac:dyDescent="0.25">
      <c r="A21" t="s">
        <v>476</v>
      </c>
      <c r="B21" s="135" t="str">
        <f>COVER!X19</f>
        <v>IL</v>
      </c>
      <c r="G21" s="1899">
        <v>102200800</v>
      </c>
    </row>
    <row r="22" spans="1:7" ht="15" x14ac:dyDescent="0.25">
      <c r="A22" t="s">
        <v>882</v>
      </c>
      <c r="B22" s="135">
        <f>COVER!Z19</f>
        <v>60914</v>
      </c>
      <c r="G22" s="1899">
        <v>102300300</v>
      </c>
    </row>
    <row r="23" spans="1:7" ht="15" x14ac:dyDescent="0.25">
      <c r="A23" t="s">
        <v>1142</v>
      </c>
      <c r="B23" s="135" t="str">
        <f>COVER!T21</f>
        <v>815-937-1997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2318378</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2455732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280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280</v>
      </c>
      <c r="C91" s="2" t="s">
        <v>569</v>
      </c>
      <c r="D91" s="2" t="str">
        <f t="shared" si="0"/>
        <v>Error?</v>
      </c>
      <c r="G91" s="1899">
        <v>102640400</v>
      </c>
    </row>
    <row r="92" spans="1:7" ht="15" x14ac:dyDescent="0.25">
      <c r="A92" s="5">
        <v>31</v>
      </c>
      <c r="B92" s="1832">
        <f>'Assets-Liab 5-6'!C39</f>
        <v>2439452</v>
      </c>
      <c r="D92" s="2" t="str">
        <f t="shared" si="0"/>
        <v>Error?</v>
      </c>
      <c r="G92" s="1899">
        <v>102640600</v>
      </c>
    </row>
    <row r="93" spans="1:7" ht="15" x14ac:dyDescent="0.25">
      <c r="A93" s="5">
        <v>32</v>
      </c>
      <c r="B93" s="1832">
        <f>'Assets-Liab 5-6'!C41</f>
        <v>2455732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220000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270881</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270881</v>
      </c>
      <c r="D123" s="2" t="str">
        <f t="shared" si="0"/>
        <v>Error?</v>
      </c>
      <c r="G123" s="1899">
        <v>203000400</v>
      </c>
    </row>
    <row r="124" spans="1:7" ht="15" x14ac:dyDescent="0.25">
      <c r="A124" s="5">
        <v>63</v>
      </c>
      <c r="B124" s="1832">
        <f>'Assets-Liab 5-6'!D41</f>
        <v>270881</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1000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1917</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1917</v>
      </c>
      <c r="D140" s="2" t="str">
        <f t="shared" si="1"/>
        <v>Error?</v>
      </c>
    </row>
    <row r="141" spans="1:7" x14ac:dyDescent="0.2">
      <c r="A141" s="5">
        <v>80</v>
      </c>
      <c r="B141" s="1832">
        <f>'Assets-Liab 5-6'!E41</f>
        <v>1917</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77000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129630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-47</v>
      </c>
      <c r="C169" s="2" t="s">
        <v>569</v>
      </c>
      <c r="D169" s="2" t="str">
        <f t="shared" si="1"/>
        <v>Error?</v>
      </c>
    </row>
    <row r="170" spans="1:4" x14ac:dyDescent="0.2">
      <c r="A170" s="5">
        <v>109</v>
      </c>
      <c r="B170" s="1832">
        <f>'Assets-Liab 5-6'!F39</f>
        <v>129677</v>
      </c>
      <c r="D170" s="2" t="str">
        <f t="shared" si="1"/>
        <v>Error?</v>
      </c>
    </row>
    <row r="171" spans="1:4" x14ac:dyDescent="0.2">
      <c r="A171" s="5">
        <v>110</v>
      </c>
      <c r="B171" s="1832">
        <f>'Assets-Liab 5-6'!F41</f>
        <v>129630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40000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42622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42622</v>
      </c>
      <c r="D189" s="2" t="str">
        <f t="shared" si="1"/>
        <v>Error?</v>
      </c>
    </row>
    <row r="190" spans="1:4" x14ac:dyDescent="0.2">
      <c r="A190" s="5">
        <v>129</v>
      </c>
      <c r="B190" s="1832">
        <f>'Assets-Liab 5-6'!G41</f>
        <v>42622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6610619</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6621140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399651</v>
      </c>
      <c r="D212" s="2" t="str">
        <f t="shared" si="2"/>
        <v>Error?</v>
      </c>
    </row>
    <row r="213" spans="1:4" x14ac:dyDescent="0.2">
      <c r="A213" s="12">
        <v>152</v>
      </c>
      <c r="B213" s="1832">
        <f>'Assets-Liab 5-6'!H41</f>
        <v>6621140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671408</v>
      </c>
      <c r="D273" s="2" t="str">
        <f t="shared" si="3"/>
        <v>Error?</v>
      </c>
    </row>
    <row r="274" spans="1:4" x14ac:dyDescent="0.2">
      <c r="A274" s="5">
        <v>213</v>
      </c>
      <c r="B274" s="1832">
        <f>'Assets-Liab 5-6'!M17</f>
        <v>8466031</v>
      </c>
      <c r="D274" s="2" t="str">
        <f t="shared" si="3"/>
        <v>Error?</v>
      </c>
    </row>
    <row r="275" spans="1:4" x14ac:dyDescent="0.2">
      <c r="A275" s="5">
        <v>214</v>
      </c>
      <c r="B275" s="1832">
        <f>'Assets-Liab 5-6'!M18</f>
        <v>70850</v>
      </c>
      <c r="D275" s="2" t="str">
        <f t="shared" si="3"/>
        <v>Error?</v>
      </c>
    </row>
    <row r="276" spans="1:4" x14ac:dyDescent="0.2">
      <c r="A276" s="5">
        <v>215</v>
      </c>
      <c r="B276" s="1832">
        <f>'Assets-Liab 5-6'!M19</f>
        <v>1428375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11940497</v>
      </c>
      <c r="C279" s="2" t="s">
        <v>569</v>
      </c>
      <c r="D279" s="2" t="str">
        <f t="shared" si="3"/>
        <v>Error?</v>
      </c>
    </row>
    <row r="280" spans="1:4" x14ac:dyDescent="0.2">
      <c r="A280" s="5">
        <v>219</v>
      </c>
      <c r="B280" s="1832">
        <f>'Assets-Liab 5-6'!M40</f>
        <v>11940497</v>
      </c>
      <c r="D280" s="2" t="str">
        <f t="shared" si="3"/>
        <v>Error?</v>
      </c>
    </row>
    <row r="281" spans="1:4" x14ac:dyDescent="0.2">
      <c r="A281" s="5">
        <v>220</v>
      </c>
      <c r="B281" s="1832">
        <f>'Assets-Liab 5-6'!M41</f>
        <v>11940497</v>
      </c>
      <c r="C281" s="2" t="s">
        <v>569</v>
      </c>
      <c r="D281" s="2" t="str">
        <f t="shared" si="3"/>
        <v>Error?</v>
      </c>
    </row>
    <row r="282" spans="1:4" x14ac:dyDescent="0.2">
      <c r="A282" s="5">
        <v>221</v>
      </c>
      <c r="B282" s="1832">
        <f>'Assets-Liab 5-6'!N21</f>
        <v>1917</v>
      </c>
      <c r="D282" s="2" t="str">
        <f t="shared" si="3"/>
        <v>Error?</v>
      </c>
    </row>
    <row r="283" spans="1:4" x14ac:dyDescent="0.2">
      <c r="A283" s="5">
        <v>222</v>
      </c>
      <c r="B283" s="1832">
        <f>'Assets-Liab 5-6'!N22</f>
        <v>8573783</v>
      </c>
      <c r="D283" s="2" t="str">
        <f t="shared" si="3"/>
        <v>Error?</v>
      </c>
    </row>
    <row r="284" spans="1:4" x14ac:dyDescent="0.2">
      <c r="A284" s="5">
        <v>223</v>
      </c>
      <c r="B284" s="1832">
        <f>'Assets-Liab 5-6'!N23</f>
        <v>8575700</v>
      </c>
      <c r="C284" s="2" t="s">
        <v>569</v>
      </c>
      <c r="D284" s="2" t="str">
        <f t="shared" si="3"/>
        <v>Error?</v>
      </c>
    </row>
    <row r="285" spans="1:4" x14ac:dyDescent="0.2">
      <c r="A285" s="5">
        <v>224</v>
      </c>
      <c r="B285" s="1832">
        <f>'Assets-Liab 5-6'!N36</f>
        <v>8575700</v>
      </c>
      <c r="D285" s="2" t="str">
        <f t="shared" si="3"/>
        <v>Error?</v>
      </c>
    </row>
    <row r="286" spans="1:4" x14ac:dyDescent="0.2">
      <c r="A286" s="10">
        <v>225</v>
      </c>
      <c r="B286" s="1832"/>
      <c r="D286" s="2" t="str">
        <f t="shared" si="3"/>
        <v>OK</v>
      </c>
    </row>
    <row r="287" spans="1:4" x14ac:dyDescent="0.2">
      <c r="A287" s="5">
        <v>226</v>
      </c>
      <c r="B287" s="1832">
        <f>'Assets-Liab 5-6'!N37</f>
        <v>8575700</v>
      </c>
      <c r="C287" s="2" t="s">
        <v>569</v>
      </c>
      <c r="D287" s="2" t="str">
        <f t="shared" si="3"/>
        <v>Error?</v>
      </c>
    </row>
    <row r="288" spans="1:4" x14ac:dyDescent="0.2">
      <c r="A288" s="5">
        <v>227</v>
      </c>
      <c r="B288" s="1832">
        <f>'Assets-Liab 5-6'!N41</f>
        <v>8575700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6930000</v>
      </c>
      <c r="D618" s="2" t="str">
        <f t="shared" si="8"/>
        <v>Error?</v>
      </c>
    </row>
    <row r="619" spans="1:4" x14ac:dyDescent="0.2">
      <c r="A619" s="5">
        <v>558</v>
      </c>
      <c r="B619" s="1832">
        <f>'Acct Summary 7-8'!H34</f>
        <v>942639</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944328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45858</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33360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1458971</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40591</v>
      </c>
      <c r="D722" s="2" t="str">
        <f t="shared" si="10"/>
        <v>Error?</v>
      </c>
    </row>
    <row r="723" spans="1:4" x14ac:dyDescent="0.2">
      <c r="A723" s="5">
        <v>662</v>
      </c>
      <c r="B723" s="1832">
        <f>'Expenditures 15-22'!C38</f>
        <v>32</v>
      </c>
      <c r="D723" s="2" t="str">
        <f t="shared" si="10"/>
        <v>Error?</v>
      </c>
    </row>
    <row r="724" spans="1:4" x14ac:dyDescent="0.2">
      <c r="A724" s="5">
        <v>663</v>
      </c>
      <c r="B724" s="1832">
        <f>'Expenditures 15-22'!C39</f>
        <v>17655</v>
      </c>
      <c r="D724" s="2" t="str">
        <f t="shared" si="10"/>
        <v>Error?</v>
      </c>
    </row>
    <row r="725" spans="1:4" x14ac:dyDescent="0.2">
      <c r="A725" s="5">
        <v>664</v>
      </c>
      <c r="B725" s="1832">
        <f>'Expenditures 15-22'!C40</f>
        <v>65909</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124187</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398</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398</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203297</v>
      </c>
      <c r="D733" s="2" t="str">
        <f t="shared" si="10"/>
        <v>Error?</v>
      </c>
    </row>
    <row r="734" spans="1:4" x14ac:dyDescent="0.2">
      <c r="A734" s="5">
        <v>673</v>
      </c>
      <c r="B734" s="1832">
        <f>'Expenditures 15-22'!C53</f>
        <v>203297</v>
      </c>
      <c r="C734" s="2" t="s">
        <v>569</v>
      </c>
      <c r="D734" s="2" t="str">
        <f t="shared" si="10"/>
        <v>Error?</v>
      </c>
    </row>
    <row r="735" spans="1:4" x14ac:dyDescent="0.2">
      <c r="A735" s="5">
        <v>674</v>
      </c>
      <c r="B735" s="1832">
        <f>'Expenditures 15-22'!C55</f>
        <v>219879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219879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72792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56468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129260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4806</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4806</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681827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2140798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250154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12263</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2302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367850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12004</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14089</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26093</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33418</v>
      </c>
      <c r="D791" s="2" t="str">
        <f t="shared" si="11"/>
        <v>Error?</v>
      </c>
    </row>
    <row r="792" spans="1:4" x14ac:dyDescent="0.2">
      <c r="A792" s="5">
        <v>731</v>
      </c>
      <c r="B792" s="1832">
        <f>'Expenditures 15-22'!D53</f>
        <v>33418</v>
      </c>
      <c r="C792" s="2" t="s">
        <v>569</v>
      </c>
      <c r="D792" s="2" t="str">
        <f t="shared" si="11"/>
        <v>Error?</v>
      </c>
    </row>
    <row r="793" spans="1:4" x14ac:dyDescent="0.2">
      <c r="A793" s="5">
        <v>732</v>
      </c>
      <c r="B793" s="1832">
        <f>'Expenditures 15-22'!D55</f>
        <v>43306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43306</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6580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8591</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15171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117988</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485838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2067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6241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9337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-47</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511</v>
      </c>
      <c r="D841" s="2" t="str">
        <f t="shared" si="12"/>
        <v>Error?</v>
      </c>
    </row>
    <row r="842" spans="1:4" x14ac:dyDescent="0.2">
      <c r="A842" s="5">
        <v>781</v>
      </c>
      <c r="B842" s="1832">
        <f>'Expenditures 15-22'!E41</f>
        <v>8778</v>
      </c>
      <c r="D842" s="2" t="str">
        <f t="shared" si="12"/>
        <v>Error?</v>
      </c>
    </row>
    <row r="843" spans="1:4" x14ac:dyDescent="0.2">
      <c r="A843" s="5">
        <v>782</v>
      </c>
      <c r="B843" s="1832">
        <f>'Expenditures 15-22'!E42</f>
        <v>9242</v>
      </c>
      <c r="C843" s="2" t="s">
        <v>569</v>
      </c>
      <c r="D843" s="2" t="str">
        <f t="shared" si="12"/>
        <v>Error?</v>
      </c>
    </row>
    <row r="844" spans="1:4" x14ac:dyDescent="0.2">
      <c r="A844" s="5">
        <v>783</v>
      </c>
      <c r="B844" s="1832">
        <f>'Expenditures 15-22'!E44</f>
        <v>22032</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22032</v>
      </c>
      <c r="C847" s="2" t="s">
        <v>569</v>
      </c>
      <c r="D847" s="2" t="str">
        <f t="shared" si="12"/>
        <v>Error?</v>
      </c>
    </row>
    <row r="848" spans="1:4" x14ac:dyDescent="0.2">
      <c r="A848" s="5">
        <v>787</v>
      </c>
      <c r="B848" s="1832">
        <f>'Expenditures 15-22'!E49</f>
        <v>114690</v>
      </c>
      <c r="D848" s="2" t="str">
        <f t="shared" si="12"/>
        <v>Error?</v>
      </c>
    </row>
    <row r="849" spans="1:4" x14ac:dyDescent="0.2">
      <c r="A849" s="5">
        <v>788</v>
      </c>
      <c r="B849" s="1832">
        <f>'Expenditures 15-22'!E50</f>
        <v>2185</v>
      </c>
      <c r="D849" s="2" t="str">
        <f t="shared" si="12"/>
        <v>Error?</v>
      </c>
    </row>
    <row r="850" spans="1:4" x14ac:dyDescent="0.2">
      <c r="A850" s="5">
        <v>789</v>
      </c>
      <c r="B850" s="1832">
        <f>'Expenditures 15-22'!E53</f>
        <v>141110</v>
      </c>
      <c r="C850" s="2" t="s">
        <v>569</v>
      </c>
      <c r="D850" s="2" t="str">
        <f t="shared" si="12"/>
        <v>Error?</v>
      </c>
    </row>
    <row r="851" spans="1:4" x14ac:dyDescent="0.2">
      <c r="A851" s="5">
        <v>790</v>
      </c>
      <c r="B851" s="1832">
        <f>'Expenditures 15-22'!E55</f>
        <v>2474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2474</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13448</v>
      </c>
      <c r="D855" s="2" t="str">
        <f t="shared" si="12"/>
        <v>Error?</v>
      </c>
    </row>
    <row r="856" spans="1:4" x14ac:dyDescent="0.2">
      <c r="A856" s="5">
        <v>795</v>
      </c>
      <c r="B856" s="1832">
        <f>'Expenditures 15-22'!E61</f>
        <v>36423</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3050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52921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7607</v>
      </c>
      <c r="D864" s="2" t="str">
        <f t="shared" si="12"/>
        <v>Error?</v>
      </c>
    </row>
    <row r="865" spans="1:4" x14ac:dyDescent="0.2">
      <c r="A865" s="5">
        <v>804</v>
      </c>
      <c r="B865" s="1832">
        <f>'Expenditures 15-22'!E70</f>
        <v>9129</v>
      </c>
      <c r="D865" s="2" t="str">
        <f t="shared" si="12"/>
        <v>Error?</v>
      </c>
    </row>
    <row r="866" spans="1:4" x14ac:dyDescent="0.2">
      <c r="A866" s="10">
        <v>805</v>
      </c>
      <c r="B866" s="1832"/>
      <c r="D866" s="2" t="str">
        <f t="shared" si="12"/>
        <v>OK</v>
      </c>
    </row>
    <row r="867" spans="1:4" x14ac:dyDescent="0.2">
      <c r="A867" s="5">
        <v>806</v>
      </c>
      <c r="B867" s="1832">
        <f>'Expenditures 15-22'!E71</f>
        <v>69262</v>
      </c>
      <c r="D867" s="2" t="str">
        <f t="shared" si="12"/>
        <v>Error?</v>
      </c>
    </row>
    <row r="868" spans="1:4" x14ac:dyDescent="0.2">
      <c r="A868" s="10">
        <v>807</v>
      </c>
      <c r="B868" s="1832"/>
      <c r="D868" s="2" t="str">
        <f t="shared" si="12"/>
        <v>OK</v>
      </c>
    </row>
    <row r="869" spans="1:4" x14ac:dyDescent="0.2">
      <c r="A869" s="5">
        <v>808</v>
      </c>
      <c r="B869" s="1832">
        <f>'Expenditures 15-22'!E72</f>
        <v>85998</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313777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355485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72185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1001</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11349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90363</v>
      </c>
      <c r="C894" s="2" t="s">
        <v>569</v>
      </c>
      <c r="D894" s="2" t="str">
        <f t="shared" si="12"/>
        <v>Error?</v>
      </c>
    </row>
    <row r="895" spans="1:4" x14ac:dyDescent="0.2">
      <c r="A895" s="5">
        <v>834</v>
      </c>
      <c r="B895" s="1832">
        <f>'Expenditures 15-22'!F36</f>
        <v>109</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463</v>
      </c>
      <c r="D897" s="2" t="str">
        <f t="shared" si="13"/>
        <v>Error?</v>
      </c>
    </row>
    <row r="898" spans="1:4" x14ac:dyDescent="0.2">
      <c r="A898" s="5">
        <v>837</v>
      </c>
      <c r="B898" s="1832">
        <f>'Expenditures 15-22'!F39</f>
        <v>90</v>
      </c>
      <c r="D898" s="2" t="str">
        <f t="shared" si="13"/>
        <v>Error?</v>
      </c>
    </row>
    <row r="899" spans="1:4" x14ac:dyDescent="0.2">
      <c r="A899" s="5">
        <v>838</v>
      </c>
      <c r="B899" s="1832">
        <f>'Expenditures 15-22'!F40</f>
        <v>828</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1490</v>
      </c>
      <c r="C901" s="2" t="s">
        <v>569</v>
      </c>
      <c r="D901" s="2" t="str">
        <f t="shared" si="13"/>
        <v>Error?</v>
      </c>
    </row>
    <row r="902" spans="1:4" x14ac:dyDescent="0.2">
      <c r="A902" s="5">
        <v>841</v>
      </c>
      <c r="B902" s="1832">
        <f>'Expenditures 15-22'!F44</f>
        <v>943</v>
      </c>
      <c r="D902" s="2" t="str">
        <f t="shared" si="13"/>
        <v>Error?</v>
      </c>
    </row>
    <row r="903" spans="1:4" x14ac:dyDescent="0.2">
      <c r="A903" s="5">
        <v>842</v>
      </c>
      <c r="B903" s="1832">
        <f>'Expenditures 15-22'!F45</f>
        <v>1043</v>
      </c>
      <c r="D903" s="2" t="str">
        <f t="shared" si="13"/>
        <v>Error?</v>
      </c>
    </row>
    <row r="904" spans="1:4" x14ac:dyDescent="0.2">
      <c r="A904" s="5">
        <v>843</v>
      </c>
      <c r="B904" s="1832">
        <f>'Expenditures 15-22'!F46</f>
        <v>8080</v>
      </c>
      <c r="D904" s="2" t="str">
        <f t="shared" si="13"/>
        <v>Error?</v>
      </c>
    </row>
    <row r="905" spans="1:4" x14ac:dyDescent="0.2">
      <c r="A905" s="5">
        <v>844</v>
      </c>
      <c r="B905" s="1832">
        <f>'Expenditures 15-22'!F47</f>
        <v>10066</v>
      </c>
      <c r="C905" s="2" t="s">
        <v>569</v>
      </c>
      <c r="D905" s="2" t="str">
        <f t="shared" si="13"/>
        <v>Error?</v>
      </c>
    </row>
    <row r="906" spans="1:4" x14ac:dyDescent="0.2">
      <c r="A906" s="5">
        <v>845</v>
      </c>
      <c r="B906" s="1832">
        <f>'Expenditures 15-22'!F49</f>
        <v>318</v>
      </c>
      <c r="D906" s="2" t="str">
        <f t="shared" si="13"/>
        <v>Error?</v>
      </c>
    </row>
    <row r="907" spans="1:4" x14ac:dyDescent="0.2">
      <c r="A907" s="5">
        <v>846</v>
      </c>
      <c r="B907" s="1832">
        <f>'Expenditures 15-22'!F50</f>
        <v>1073</v>
      </c>
      <c r="D907" s="2" t="str">
        <f t="shared" si="13"/>
        <v>Error?</v>
      </c>
    </row>
    <row r="908" spans="1:4" x14ac:dyDescent="0.2">
      <c r="A908" s="5">
        <v>847</v>
      </c>
      <c r="B908" s="1832">
        <f>'Expenditures 15-22'!F53</f>
        <v>1391</v>
      </c>
      <c r="C908" s="2" t="s">
        <v>569</v>
      </c>
      <c r="D908" s="2" t="str">
        <f t="shared" si="13"/>
        <v>Error?</v>
      </c>
    </row>
    <row r="909" spans="1:4" x14ac:dyDescent="0.2">
      <c r="A909" s="5">
        <v>848</v>
      </c>
      <c r="B909" s="1832">
        <f>'Expenditures 15-22'!F55</f>
        <v>2625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2625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6567</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60374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66941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1782</v>
      </c>
      <c r="D922" s="2" t="str">
        <f t="shared" si="13"/>
        <v>Error?</v>
      </c>
    </row>
    <row r="923" spans="1:4" x14ac:dyDescent="0.2">
      <c r="A923" s="5">
        <v>862</v>
      </c>
      <c r="B923" s="1832">
        <f>'Expenditures 15-22'!F70</f>
        <v>2874</v>
      </c>
      <c r="D923" s="2" t="str">
        <f t="shared" si="13"/>
        <v>Error?</v>
      </c>
    </row>
    <row r="924" spans="1:4" x14ac:dyDescent="0.2">
      <c r="A924" s="10">
        <v>863</v>
      </c>
      <c r="B924" s="1832"/>
      <c r="D924" s="2" t="str">
        <f t="shared" si="13"/>
        <v>OK</v>
      </c>
    </row>
    <row r="925" spans="1:4" x14ac:dyDescent="0.2">
      <c r="A925" s="5">
        <v>864</v>
      </c>
      <c r="B925" s="1832">
        <f>'Expenditures 15-22'!F71</f>
        <v>16939</v>
      </c>
      <c r="D925" s="2" t="str">
        <f t="shared" si="13"/>
        <v>Error?</v>
      </c>
    </row>
    <row r="926" spans="1:4" x14ac:dyDescent="0.2">
      <c r="A926" s="10">
        <v>865</v>
      </c>
      <c r="B926" s="1832"/>
      <c r="D926" s="2" t="str">
        <f t="shared" si="13"/>
        <v>OK</v>
      </c>
    </row>
    <row r="927" spans="1:4" x14ac:dyDescent="0.2">
      <c r="A927" s="5">
        <v>866</v>
      </c>
      <c r="B927" s="1832">
        <f>'Expenditures 15-22'!F72</f>
        <v>21595</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104108</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194471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2784</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3999</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6783</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689</v>
      </c>
      <c r="D965" s="2" t="str">
        <f t="shared" si="14"/>
        <v>Error?</v>
      </c>
    </row>
    <row r="966" spans="1:4" x14ac:dyDescent="0.2">
      <c r="A966" s="5">
        <v>905</v>
      </c>
      <c r="B966" s="1832">
        <f>'Expenditures 15-22'!G53</f>
        <v>689</v>
      </c>
      <c r="C966" s="2" t="s">
        <v>569</v>
      </c>
      <c r="D966" s="2" t="str">
        <f t="shared" si="14"/>
        <v>Error?</v>
      </c>
    </row>
    <row r="967" spans="1:4" x14ac:dyDescent="0.2">
      <c r="A967" s="5">
        <v>906</v>
      </c>
      <c r="B967" s="1832">
        <f>'Expenditures 15-22'!G55</f>
        <v>3449</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3449</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689</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689</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9069</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9069</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13896</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20679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25</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3058</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4514</v>
      </c>
      <c r="C1010" s="2" t="s">
        <v>569</v>
      </c>
      <c r="D1010" s="2" t="str">
        <f t="shared" si="14"/>
        <v>Error?</v>
      </c>
    </row>
    <row r="1011" spans="1:4" x14ac:dyDescent="0.2">
      <c r="A1011" s="5">
        <v>950</v>
      </c>
      <c r="B1011" s="1832">
        <f>'Expenditures 15-22'!H36</f>
        <v>75</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75</v>
      </c>
      <c r="C1017" s="2" t="s">
        <v>569</v>
      </c>
      <c r="D1017" s="2" t="str">
        <f t="shared" si="14"/>
        <v>Error?</v>
      </c>
    </row>
    <row r="1018" spans="1:4" x14ac:dyDescent="0.2">
      <c r="A1018" s="5">
        <v>957</v>
      </c>
      <c r="B1018" s="1832">
        <f>'Expenditures 15-22'!H44</f>
        <v>931</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931</v>
      </c>
      <c r="C1021" s="2" t="s">
        <v>569</v>
      </c>
      <c r="D1021" s="2" t="str">
        <f t="shared" si="14"/>
        <v>Error?</v>
      </c>
    </row>
    <row r="1022" spans="1:4" x14ac:dyDescent="0.2">
      <c r="A1022" s="5">
        <v>961</v>
      </c>
      <c r="B1022" s="1832">
        <f>'Expenditures 15-22'!H49</f>
        <v>8257</v>
      </c>
      <c r="D1022" s="2" t="str">
        <f t="shared" si="14"/>
        <v>Error?</v>
      </c>
    </row>
    <row r="1023" spans="1:4" x14ac:dyDescent="0.2">
      <c r="A1023" s="5">
        <v>962</v>
      </c>
      <c r="B1023" s="1832">
        <f>'Expenditures 15-22'!H50</f>
        <v>3012</v>
      </c>
      <c r="D1023" s="2" t="str">
        <f t="shared" ref="D1023:D1086" si="15">IF(ISBLANK(B1023),"OK",IF(A1023-B1023=0,"OK","Error?"))</f>
        <v>Error?</v>
      </c>
    </row>
    <row r="1024" spans="1:4" x14ac:dyDescent="0.2">
      <c r="A1024" s="5">
        <v>963</v>
      </c>
      <c r="B1024" s="1832">
        <f>'Expenditures 15-22'!H53</f>
        <v>11269</v>
      </c>
      <c r="C1024" s="2" t="s">
        <v>569</v>
      </c>
      <c r="D1024" s="2" t="str">
        <f t="shared" si="15"/>
        <v>Error?</v>
      </c>
    </row>
    <row r="1025" spans="1:4" x14ac:dyDescent="0.2">
      <c r="A1025" s="5">
        <v>964</v>
      </c>
      <c r="B1025" s="1832">
        <f>'Expenditures 15-22'!H55</f>
        <v>1487</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1487</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678</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772</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1450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15212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49929</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69655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1271543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59122</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60309</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1937818</v>
      </c>
      <c r="C1108" s="2" t="s">
        <v>569</v>
      </c>
      <c r="D1108" s="2" t="str">
        <f t="shared" si="16"/>
        <v>Error?</v>
      </c>
    </row>
    <row r="1109" spans="1:4" x14ac:dyDescent="0.2">
      <c r="A1109" s="5">
        <v>1048</v>
      </c>
      <c r="B1109" s="1832">
        <f>'Expenditures 15-22'!K36</f>
        <v>184</v>
      </c>
      <c r="C1109" s="2" t="s">
        <v>569</v>
      </c>
      <c r="D1109" s="2" t="str">
        <f t="shared" si="16"/>
        <v>Error?</v>
      </c>
    </row>
    <row r="1110" spans="1:4" x14ac:dyDescent="0.2">
      <c r="A1110" s="5">
        <v>1049</v>
      </c>
      <c r="B1110" s="1832">
        <f>'Expenditures 15-22'!K37</f>
        <v>52595</v>
      </c>
      <c r="C1110" s="2" t="s">
        <v>569</v>
      </c>
      <c r="D1110" s="2" t="str">
        <f t="shared" si="16"/>
        <v>Error?</v>
      </c>
    </row>
    <row r="1111" spans="1:4" x14ac:dyDescent="0.2">
      <c r="A1111" s="5">
        <v>1050</v>
      </c>
      <c r="B1111" s="1832">
        <f>'Expenditures 15-22'!K38</f>
        <v>448</v>
      </c>
      <c r="C1111" s="2" t="s">
        <v>569</v>
      </c>
      <c r="D1111" s="2" t="str">
        <f t="shared" si="16"/>
        <v>Error?</v>
      </c>
    </row>
    <row r="1112" spans="1:4" x14ac:dyDescent="0.2">
      <c r="A1112" s="5">
        <v>1051</v>
      </c>
      <c r="B1112" s="1832">
        <f>'Expenditures 15-22'!K39</f>
        <v>17745</v>
      </c>
      <c r="C1112" s="2" t="s">
        <v>569</v>
      </c>
      <c r="D1112" s="2" t="str">
        <f t="shared" si="16"/>
        <v>Error?</v>
      </c>
    </row>
    <row r="1113" spans="1:4" x14ac:dyDescent="0.2">
      <c r="A1113" s="5">
        <v>1052</v>
      </c>
      <c r="B1113" s="1832">
        <f>'Expenditures 15-22'!K40</f>
        <v>81337</v>
      </c>
      <c r="C1113" s="2" t="s">
        <v>569</v>
      </c>
      <c r="D1113" s="2" t="str">
        <f t="shared" si="16"/>
        <v>Error?</v>
      </c>
    </row>
    <row r="1114" spans="1:4" x14ac:dyDescent="0.2">
      <c r="A1114" s="5">
        <v>1053</v>
      </c>
      <c r="B1114" s="1832">
        <f>'Expenditures 15-22'!K41</f>
        <v>8778</v>
      </c>
      <c r="C1114" s="2" t="s">
        <v>569</v>
      </c>
      <c r="D1114" s="2" t="str">
        <f t="shared" si="16"/>
        <v>Error?</v>
      </c>
    </row>
    <row r="1115" spans="1:4" x14ac:dyDescent="0.2">
      <c r="A1115" s="5">
        <v>1054</v>
      </c>
      <c r="B1115" s="1832">
        <f>'Expenditures 15-22'!K42</f>
        <v>161087</v>
      </c>
      <c r="C1115" s="2" t="s">
        <v>569</v>
      </c>
      <c r="D1115" s="2" t="str">
        <f t="shared" si="16"/>
        <v>Error?</v>
      </c>
    </row>
    <row r="1116" spans="1:4" x14ac:dyDescent="0.2">
      <c r="A1116" s="5">
        <v>1055</v>
      </c>
      <c r="B1116" s="1832">
        <f>'Expenditures 15-22'!K44</f>
        <v>23906</v>
      </c>
      <c r="C1116" s="2" t="s">
        <v>569</v>
      </c>
      <c r="D1116" s="2" t="str">
        <f t="shared" si="16"/>
        <v>Error?</v>
      </c>
    </row>
    <row r="1117" spans="1:4" x14ac:dyDescent="0.2">
      <c r="A1117" s="5">
        <v>1056</v>
      </c>
      <c r="B1117" s="1832">
        <f>'Expenditures 15-22'!K45</f>
        <v>1441</v>
      </c>
      <c r="C1117" s="2" t="s">
        <v>569</v>
      </c>
      <c r="D1117" s="2" t="str">
        <f t="shared" si="16"/>
        <v>Error?</v>
      </c>
    </row>
    <row r="1118" spans="1:4" x14ac:dyDescent="0.2">
      <c r="A1118" s="5">
        <v>1057</v>
      </c>
      <c r="B1118" s="1832">
        <f>'Expenditures 15-22'!K46</f>
        <v>8080</v>
      </c>
      <c r="C1118" s="2" t="s">
        <v>569</v>
      </c>
      <c r="D1118" s="2" t="str">
        <f t="shared" si="16"/>
        <v>Error?</v>
      </c>
    </row>
    <row r="1119" spans="1:4" x14ac:dyDescent="0.2">
      <c r="A1119" s="5">
        <v>1058</v>
      </c>
      <c r="B1119" s="1832">
        <f>'Expenditures 15-22'!K47</f>
        <v>33427</v>
      </c>
      <c r="C1119" s="2" t="s">
        <v>569</v>
      </c>
      <c r="D1119" s="2" t="str">
        <f t="shared" si="16"/>
        <v>Error?</v>
      </c>
    </row>
    <row r="1120" spans="1:4" x14ac:dyDescent="0.2">
      <c r="A1120" s="5">
        <v>1059</v>
      </c>
      <c r="B1120" s="1832">
        <f>'Expenditures 15-22'!K49</f>
        <v>123265</v>
      </c>
      <c r="C1120" s="2" t="s">
        <v>569</v>
      </c>
      <c r="D1120" s="2" t="str">
        <f t="shared" si="16"/>
        <v>Error?</v>
      </c>
    </row>
    <row r="1121" spans="1:4" x14ac:dyDescent="0.2">
      <c r="A1121" s="5">
        <v>1060</v>
      </c>
      <c r="B1121" s="1832">
        <f>'Expenditures 15-22'!K50</f>
        <v>243674</v>
      </c>
      <c r="C1121" s="2" t="s">
        <v>569</v>
      </c>
      <c r="D1121" s="2" t="str">
        <f t="shared" si="16"/>
        <v>Error?</v>
      </c>
    </row>
    <row r="1122" spans="1:4" x14ac:dyDescent="0.2">
      <c r="A1122" s="5">
        <v>1061</v>
      </c>
      <c r="B1122" s="1832">
        <f>'Expenditures 15-22'!K53</f>
        <v>391174</v>
      </c>
      <c r="C1122" s="2" t="s">
        <v>569</v>
      </c>
      <c r="D1122" s="2" t="str">
        <f t="shared" si="16"/>
        <v>Error?</v>
      </c>
    </row>
    <row r="1123" spans="1:4" x14ac:dyDescent="0.2">
      <c r="A1123" s="5">
        <v>1062</v>
      </c>
      <c r="B1123" s="1832">
        <f>'Expenditures 15-22'!K55</f>
        <v>273220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273220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100754</v>
      </c>
      <c r="C1127" s="2" t="s">
        <v>569</v>
      </c>
      <c r="D1127" s="2" t="str">
        <f t="shared" si="16"/>
        <v>Error?</v>
      </c>
    </row>
    <row r="1128" spans="1:4" x14ac:dyDescent="0.2">
      <c r="A1128" s="5">
        <v>1067</v>
      </c>
      <c r="B1128" s="1832">
        <f>'Expenditures 15-22'!K61</f>
        <v>36423</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129255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266432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18458</v>
      </c>
      <c r="C1136" s="2" t="s">
        <v>569</v>
      </c>
      <c r="D1136" s="2" t="str">
        <f t="shared" si="16"/>
        <v>Error?</v>
      </c>
    </row>
    <row r="1137" spans="1:4" x14ac:dyDescent="0.2">
      <c r="A1137" s="5">
        <v>1076</v>
      </c>
      <c r="B1137" s="1832">
        <f>'Expenditures 15-22'!K70</f>
        <v>16809</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86201</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121468</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1246808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82300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3266926</v>
      </c>
      <c r="C1152" s="2" t="s">
        <v>569</v>
      </c>
      <c r="D1152" s="2" t="str">
        <f t="shared" si="17"/>
        <v>Error?</v>
      </c>
    </row>
    <row r="1153" spans="1:4" x14ac:dyDescent="0.2">
      <c r="A1153" s="5">
        <v>1092</v>
      </c>
      <c r="B1153" s="1832">
        <f>'Expenditures 15-22'!K115</f>
        <v>191785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127842</v>
      </c>
      <c r="D1221" s="2" t="str">
        <f t="shared" si="18"/>
        <v>Error?</v>
      </c>
    </row>
    <row r="1222" spans="1:4" x14ac:dyDescent="0.2">
      <c r="A1222" s="10">
        <v>1161</v>
      </c>
      <c r="B1222" s="1832"/>
      <c r="D1222" s="2" t="str">
        <f t="shared" si="18"/>
        <v>OK</v>
      </c>
    </row>
    <row r="1223" spans="1:4" x14ac:dyDescent="0.2">
      <c r="A1223" s="5">
        <v>1162</v>
      </c>
      <c r="B1223" s="1832">
        <f>'Expenditures 15-22'!C127</f>
        <v>127842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127842</v>
      </c>
      <c r="C1225" s="2" t="s">
        <v>569</v>
      </c>
      <c r="D1225" s="2" t="str">
        <f t="shared" si="18"/>
        <v>Error?</v>
      </c>
    </row>
    <row r="1226" spans="1:4" x14ac:dyDescent="0.2">
      <c r="A1226" s="5">
        <v>1165</v>
      </c>
      <c r="B1226" s="1832">
        <f>'Expenditures 15-22'!C151</f>
        <v>127842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20608</v>
      </c>
      <c r="D1229" s="2" t="str">
        <f t="shared" si="18"/>
        <v>Error?</v>
      </c>
    </row>
    <row r="1230" spans="1:4" x14ac:dyDescent="0.2">
      <c r="A1230" s="10">
        <v>1169</v>
      </c>
      <c r="B1230" s="1832"/>
      <c r="D1230" s="2" t="str">
        <f t="shared" si="18"/>
        <v>OK</v>
      </c>
    </row>
    <row r="1231" spans="1:4" x14ac:dyDescent="0.2">
      <c r="A1231" s="5">
        <v>1170</v>
      </c>
      <c r="B1231" s="1832">
        <f>'Expenditures 15-22'!D127</f>
        <v>20608</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20608</v>
      </c>
      <c r="C1233" s="2" t="s">
        <v>569</v>
      </c>
      <c r="D1233" s="2" t="str">
        <f t="shared" si="18"/>
        <v>Error?</v>
      </c>
    </row>
    <row r="1234" spans="1:4" x14ac:dyDescent="0.2">
      <c r="A1234" s="5">
        <v>1173</v>
      </c>
      <c r="B1234" s="1832">
        <f>'Expenditures 15-22'!D151</f>
        <v>20608</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93677</v>
      </c>
      <c r="D1237" s="2" t="str">
        <f t="shared" si="18"/>
        <v>Error?</v>
      </c>
    </row>
    <row r="1238" spans="1:4" x14ac:dyDescent="0.2">
      <c r="A1238" s="10">
        <v>1177</v>
      </c>
      <c r="B1238" s="1832"/>
      <c r="D1238" s="2" t="str">
        <f t="shared" si="18"/>
        <v>OK</v>
      </c>
    </row>
    <row r="1239" spans="1:4" x14ac:dyDescent="0.2">
      <c r="A1239" s="5">
        <v>1178</v>
      </c>
      <c r="B1239" s="1832">
        <f>'Expenditures 15-22'!E127</f>
        <v>93677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93677</v>
      </c>
      <c r="C1241" s="2" t="s">
        <v>569</v>
      </c>
      <c r="D1241" s="2" t="str">
        <f t="shared" si="18"/>
        <v>Error?</v>
      </c>
    </row>
    <row r="1242" spans="1:4" x14ac:dyDescent="0.2">
      <c r="A1242" s="5">
        <v>1181</v>
      </c>
      <c r="B1242" s="1832">
        <f>'Expenditures 15-22'!E151</f>
        <v>93677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101034</v>
      </c>
      <c r="D1245" s="2" t="str">
        <f t="shared" si="18"/>
        <v>Error?</v>
      </c>
    </row>
    <row r="1246" spans="1:4" x14ac:dyDescent="0.2">
      <c r="A1246" s="10">
        <v>1185</v>
      </c>
      <c r="B1246" s="1832"/>
      <c r="D1246" s="2" t="str">
        <f t="shared" si="18"/>
        <v>OK</v>
      </c>
    </row>
    <row r="1247" spans="1:4" x14ac:dyDescent="0.2">
      <c r="A1247" s="5">
        <v>1186</v>
      </c>
      <c r="B1247" s="1832">
        <f>'Expenditures 15-22'!F127</f>
        <v>101034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101034</v>
      </c>
      <c r="C1249" s="2" t="s">
        <v>569</v>
      </c>
      <c r="D1249" s="2" t="str">
        <f t="shared" si="18"/>
        <v>Error?</v>
      </c>
    </row>
    <row r="1250" spans="1:4" x14ac:dyDescent="0.2">
      <c r="A1250" s="5">
        <v>1189</v>
      </c>
      <c r="B1250" s="1832">
        <f>'Expenditures 15-22'!F151</f>
        <v>101034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93456</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93456</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93456</v>
      </c>
      <c r="C1258" s="2" t="s">
        <v>569</v>
      </c>
      <c r="D1258" s="2" t="str">
        <f t="shared" si="18"/>
        <v>Error?</v>
      </c>
    </row>
    <row r="1259" spans="1:4" x14ac:dyDescent="0.2">
      <c r="A1259" s="5">
        <v>1198</v>
      </c>
      <c r="B1259" s="1832">
        <f>'Expenditures 15-22'!G151</f>
        <v>93456</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1253</v>
      </c>
      <c r="D1262" s="2" t="str">
        <f t="shared" si="18"/>
        <v>Error?</v>
      </c>
    </row>
    <row r="1263" spans="1:4" x14ac:dyDescent="0.2">
      <c r="A1263" s="10">
        <v>1202</v>
      </c>
      <c r="B1263" s="1832"/>
      <c r="D1263" s="2" t="str">
        <f t="shared" si="18"/>
        <v>OK</v>
      </c>
    </row>
    <row r="1264" spans="1:4" x14ac:dyDescent="0.2">
      <c r="A1264" s="5">
        <v>1203</v>
      </c>
      <c r="B1264" s="1832">
        <f>'Expenditures 15-22'!H127</f>
        <v>1253</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1253</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1253</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437870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437870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437870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437870</v>
      </c>
      <c r="C1288" s="2" t="s">
        <v>569</v>
      </c>
      <c r="D1288" s="2" t="str">
        <f t="shared" si="19"/>
        <v>Error?</v>
      </c>
    </row>
    <row r="1289" spans="1:4" x14ac:dyDescent="0.2">
      <c r="A1289" s="5">
        <v>1228</v>
      </c>
      <c r="B1289" s="1832">
        <f>'Expenditures 15-22'!K152</f>
        <v>123526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271363</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275100</v>
      </c>
      <c r="D1315" s="2" t="str">
        <f t="shared" si="19"/>
        <v>Error?</v>
      </c>
    </row>
    <row r="1316" spans="1:4" x14ac:dyDescent="0.2">
      <c r="A1316" s="5">
        <v>1255</v>
      </c>
      <c r="B1316" s="1832">
        <f>'Expenditures 15-22'!H171</f>
        <v>1000</v>
      </c>
      <c r="D1316" s="2" t="str">
        <f t="shared" si="19"/>
        <v>Error?</v>
      </c>
    </row>
    <row r="1317" spans="1:4" x14ac:dyDescent="0.2">
      <c r="A1317" s="5">
        <v>1256</v>
      </c>
      <c r="B1317" s="1832">
        <f>'Expenditures 15-22'!H172</f>
        <v>547463</v>
      </c>
      <c r="C1317" s="2" t="s">
        <v>569</v>
      </c>
      <c r="D1317" s="2" t="str">
        <f t="shared" si="19"/>
        <v>Error?</v>
      </c>
    </row>
    <row r="1318" spans="1:4" x14ac:dyDescent="0.2">
      <c r="A1318" s="5">
        <v>1257</v>
      </c>
      <c r="B1318" s="1832">
        <f>'Expenditures 15-22'!H174</f>
        <v>547463</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271363</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275100</v>
      </c>
      <c r="C1329" s="2" t="s">
        <v>569</v>
      </c>
      <c r="D1329" s="2" t="str">
        <f t="shared" si="19"/>
        <v>Error?</v>
      </c>
    </row>
    <row r="1330" spans="1:4" x14ac:dyDescent="0.2">
      <c r="A1330" s="5">
        <v>1269</v>
      </c>
      <c r="B1330" s="1832">
        <f>'Expenditures 15-22'!K171</f>
        <v>1000</v>
      </c>
      <c r="C1330" s="2" t="s">
        <v>569</v>
      </c>
      <c r="D1330" s="2" t="str">
        <f t="shared" si="19"/>
        <v>Error?</v>
      </c>
    </row>
    <row r="1331" spans="1:4" x14ac:dyDescent="0.2">
      <c r="A1331" s="5">
        <v>1270</v>
      </c>
      <c r="B1331" s="1832">
        <f>'Expenditures 15-22'!K172</f>
        <v>547463</v>
      </c>
      <c r="C1331" s="2" t="s">
        <v>569</v>
      </c>
      <c r="D1331" s="2" t="str">
        <f t="shared" si="19"/>
        <v>Error?</v>
      </c>
    </row>
    <row r="1332" spans="1:4" x14ac:dyDescent="0.2">
      <c r="A1332" s="5">
        <v>1271</v>
      </c>
      <c r="B1332" s="1832">
        <f>'Expenditures 15-22'!K174</f>
        <v>547463</v>
      </c>
      <c r="C1332" s="2" t="s">
        <v>569</v>
      </c>
      <c r="D1332" s="2" t="str">
        <f t="shared" si="19"/>
        <v>Error?</v>
      </c>
    </row>
    <row r="1333" spans="1:4" x14ac:dyDescent="0.2">
      <c r="A1333" s="5">
        <v>1272</v>
      </c>
      <c r="B1333" s="1832">
        <f>'Expenditures 15-22'!K175</f>
        <v>1907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109343</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109343</v>
      </c>
      <c r="C1339" s="2" t="s">
        <v>569</v>
      </c>
      <c r="D1339" s="2" t="str">
        <f t="shared" si="19"/>
        <v>Error?</v>
      </c>
    </row>
    <row r="1340" spans="1:4" x14ac:dyDescent="0.2">
      <c r="A1340" s="5">
        <v>1279</v>
      </c>
      <c r="B1340" s="1832">
        <f>'Expenditures 15-22'!C210</f>
        <v>109343</v>
      </c>
      <c r="C1340" s="2" t="s">
        <v>569</v>
      </c>
      <c r="D1340" s="2" t="str">
        <f t="shared" si="19"/>
        <v>Error?</v>
      </c>
    </row>
    <row r="1341" spans="1:4" x14ac:dyDescent="0.2">
      <c r="A1341" s="5">
        <v>1280</v>
      </c>
      <c r="B1341" s="1832">
        <f>'Expenditures 15-22'!D182</f>
        <v>3375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3375</v>
      </c>
      <c r="C1345" s="2" t="s">
        <v>569</v>
      </c>
      <c r="D1345" s="2" t="str">
        <f t="shared" si="20"/>
        <v>Error?</v>
      </c>
    </row>
    <row r="1346" spans="1:4" x14ac:dyDescent="0.2">
      <c r="A1346" s="5">
        <v>1285</v>
      </c>
      <c r="B1346" s="1832">
        <f>'Expenditures 15-22'!D210</f>
        <v>3375</v>
      </c>
      <c r="C1346" s="2" t="s">
        <v>569</v>
      </c>
      <c r="D1346" s="2" t="str">
        <f t="shared" si="20"/>
        <v>Error?</v>
      </c>
    </row>
    <row r="1347" spans="1:4" x14ac:dyDescent="0.2">
      <c r="A1347" s="5">
        <v>1286</v>
      </c>
      <c r="B1347" s="1832">
        <f>'Expenditures 15-22'!E182</f>
        <v>108751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108751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108751</v>
      </c>
      <c r="C1353" s="2" t="s">
        <v>569</v>
      </c>
      <c r="D1353" s="2" t="str">
        <f t="shared" si="20"/>
        <v>Error?</v>
      </c>
    </row>
    <row r="1354" spans="1:4" x14ac:dyDescent="0.2">
      <c r="A1354" s="5">
        <v>1293</v>
      </c>
      <c r="B1354" s="1832">
        <f>'Expenditures 15-22'!F182</f>
        <v>19048</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19048</v>
      </c>
      <c r="C1358" s="2" t="s">
        <v>569</v>
      </c>
      <c r="D1358" s="2" t="str">
        <f t="shared" si="20"/>
        <v>Error?</v>
      </c>
    </row>
    <row r="1359" spans="1:4" x14ac:dyDescent="0.2">
      <c r="A1359" s="5">
        <v>1298</v>
      </c>
      <c r="B1359" s="1832">
        <f>'Expenditures 15-22'!F210</f>
        <v>19048</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60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60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60</v>
      </c>
      <c r="C1376" s="2" t="s">
        <v>569</v>
      </c>
      <c r="D1376" s="2" t="str">
        <f t="shared" si="20"/>
        <v>Error?</v>
      </c>
    </row>
    <row r="1377" spans="1:4" x14ac:dyDescent="0.2">
      <c r="A1377" s="5">
        <v>1316</v>
      </c>
      <c r="B1377" s="1832">
        <f>'Expenditures 15-22'!K182</f>
        <v>240577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240577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240577</v>
      </c>
      <c r="C1388" s="2" t="s">
        <v>569</v>
      </c>
      <c r="D1388" s="2" t="str">
        <f t="shared" si="20"/>
        <v>Error?</v>
      </c>
    </row>
    <row r="1389" spans="1:4" x14ac:dyDescent="0.2">
      <c r="A1389" s="5">
        <v>1328</v>
      </c>
      <c r="B1389" s="1832">
        <f>'Expenditures 15-22'!K211</f>
        <v>-8697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665</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1301</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38880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589</v>
      </c>
      <c r="D1412" s="2" t="str">
        <f t="shared" si="21"/>
        <v>Error?</v>
      </c>
    </row>
    <row r="1413" spans="1:4" x14ac:dyDescent="0.2">
      <c r="A1413" s="5">
        <v>1352</v>
      </c>
      <c r="B1413" s="1832">
        <f>'Expenditures 15-22'!D234</f>
        <v>2</v>
      </c>
      <c r="D1413" s="2" t="str">
        <f t="shared" si="21"/>
        <v>Error?</v>
      </c>
    </row>
    <row r="1414" spans="1:4" x14ac:dyDescent="0.2">
      <c r="A1414" s="5">
        <v>1353</v>
      </c>
      <c r="B1414" s="1832">
        <f>'Expenditures 15-22'!D235</f>
        <v>256</v>
      </c>
      <c r="D1414" s="2" t="str">
        <f t="shared" si="21"/>
        <v>Error?</v>
      </c>
    </row>
    <row r="1415" spans="1:4" x14ac:dyDescent="0.2">
      <c r="A1415" s="5">
        <v>1354</v>
      </c>
      <c r="B1415" s="1832">
        <f>'Expenditures 15-22'!D236</f>
        <v>919</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1766</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29</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29</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9522</v>
      </c>
      <c r="D1423" s="2" t="str">
        <f t="shared" si="21"/>
        <v>Error?</v>
      </c>
    </row>
    <row r="1424" spans="1:4" x14ac:dyDescent="0.2">
      <c r="A1424" s="5">
        <v>1363</v>
      </c>
      <c r="B1424" s="1832">
        <f>'Expenditures 15-22'!D257</f>
        <v>9522</v>
      </c>
      <c r="C1424" s="2" t="s">
        <v>569</v>
      </c>
      <c r="D1424" s="2" t="str">
        <f t="shared" si="21"/>
        <v>Error?</v>
      </c>
    </row>
    <row r="1425" spans="1:4" x14ac:dyDescent="0.2">
      <c r="A1425" s="5">
        <v>1364</v>
      </c>
      <c r="B1425" s="1832">
        <f>'Expenditures 15-22'!D259</f>
        <v>10370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10370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10002</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17115</v>
      </c>
      <c r="D1431" s="2" t="str">
        <f t="shared" si="21"/>
        <v>Error?</v>
      </c>
    </row>
    <row r="1432" spans="1:4" x14ac:dyDescent="0.2">
      <c r="A1432" s="5">
        <v>1371</v>
      </c>
      <c r="B1432" s="1832">
        <f>'Expenditures 15-22'!D267</f>
        <v>11115</v>
      </c>
      <c r="D1432" s="2" t="str">
        <f t="shared" si="21"/>
        <v>Error?</v>
      </c>
    </row>
    <row r="1433" spans="1:4" x14ac:dyDescent="0.2">
      <c r="A1433" s="5">
        <v>1372</v>
      </c>
      <c r="B1433" s="1832">
        <f>'Expenditures 15-22'!D268</f>
        <v>6897</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45129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649</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649</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67465</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106345</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665</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1301</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38880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589</v>
      </c>
      <c r="C1476" s="2" t="s">
        <v>569</v>
      </c>
      <c r="D1476" s="2" t="str">
        <f t="shared" si="22"/>
        <v>Error?</v>
      </c>
    </row>
    <row r="1477" spans="1:4" x14ac:dyDescent="0.2">
      <c r="A1477" s="5">
        <v>1416</v>
      </c>
      <c r="B1477" s="1832">
        <f>'Expenditures 15-22'!K234</f>
        <v>2</v>
      </c>
      <c r="C1477" s="2" t="s">
        <v>569</v>
      </c>
      <c r="D1477" s="2" t="str">
        <f t="shared" si="22"/>
        <v>Error?</v>
      </c>
    </row>
    <row r="1478" spans="1:4" x14ac:dyDescent="0.2">
      <c r="A1478" s="5">
        <v>1417</v>
      </c>
      <c r="B1478" s="1832">
        <f>'Expenditures 15-22'!K235</f>
        <v>256</v>
      </c>
      <c r="C1478" s="2" t="s">
        <v>569</v>
      </c>
      <c r="D1478" s="2" t="str">
        <f t="shared" si="22"/>
        <v>Error?</v>
      </c>
    </row>
    <row r="1479" spans="1:4" x14ac:dyDescent="0.2">
      <c r="A1479" s="5">
        <v>1418</v>
      </c>
      <c r="B1479" s="1832">
        <f>'Expenditures 15-22'!K236</f>
        <v>919</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1766</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29</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29</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9522</v>
      </c>
      <c r="C1487" s="2" t="s">
        <v>569</v>
      </c>
      <c r="D1487" s="2" t="str">
        <f t="shared" si="22"/>
        <v>Error?</v>
      </c>
    </row>
    <row r="1488" spans="1:4" x14ac:dyDescent="0.2">
      <c r="A1488" s="5">
        <v>1427</v>
      </c>
      <c r="B1488" s="1832">
        <f>'Expenditures 15-22'!K257</f>
        <v>9522</v>
      </c>
      <c r="C1488" s="2" t="s">
        <v>569</v>
      </c>
      <c r="D1488" s="2" t="str">
        <f t="shared" si="22"/>
        <v>Error?</v>
      </c>
    </row>
    <row r="1489" spans="1:4" x14ac:dyDescent="0.2">
      <c r="A1489" s="5">
        <v>1428</v>
      </c>
      <c r="B1489" s="1832">
        <f>'Expenditures 15-22'!K259</f>
        <v>10370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10370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10002</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17115</v>
      </c>
      <c r="C1495" s="2" t="s">
        <v>569</v>
      </c>
      <c r="D1495" s="2" t="str">
        <f t="shared" si="22"/>
        <v>Error?</v>
      </c>
    </row>
    <row r="1496" spans="1:4" x14ac:dyDescent="0.2">
      <c r="A1496" s="5">
        <v>1435</v>
      </c>
      <c r="B1496" s="1832">
        <f>'Expenditures 15-22'!K267</f>
        <v>11115</v>
      </c>
      <c r="C1496" s="2" t="s">
        <v>569</v>
      </c>
      <c r="D1496" s="2" t="str">
        <f t="shared" si="22"/>
        <v>Error?</v>
      </c>
    </row>
    <row r="1497" spans="1:4" x14ac:dyDescent="0.2">
      <c r="A1497" s="5">
        <v>1436</v>
      </c>
      <c r="B1497" s="1832">
        <f>'Expenditures 15-22'!K268</f>
        <v>6897</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45129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649</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649</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67465</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106345</v>
      </c>
      <c r="C1517" s="2" t="s">
        <v>569</v>
      </c>
      <c r="D1517" s="2" t="str">
        <f t="shared" si="22"/>
        <v>Error?</v>
      </c>
    </row>
    <row r="1518" spans="1:4" x14ac:dyDescent="0.2">
      <c r="A1518" s="5">
        <v>1457</v>
      </c>
      <c r="B1518" s="1832">
        <f>'Expenditures 15-22'!K296</f>
        <v>2036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10356</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10356</v>
      </c>
      <c r="C1535" s="2" t="s">
        <v>569</v>
      </c>
      <c r="D1535" s="2" t="str">
        <f t="shared" ref="D1535:D1598" si="23">IF(ISBLANK(B1535),"OK",IF(A1535-B1535=0,"OK","Error?"))</f>
        <v>Error?</v>
      </c>
    </row>
    <row r="1536" spans="1:4" x14ac:dyDescent="0.2">
      <c r="A1536" s="5">
        <v>1475</v>
      </c>
      <c r="B1536" s="1832">
        <f>'Expenditures 15-22'!E312</f>
        <v>10356</v>
      </c>
      <c r="C1536" s="2" t="s">
        <v>569</v>
      </c>
      <c r="D1536" s="2" t="str">
        <f t="shared" si="23"/>
        <v>Error?</v>
      </c>
    </row>
    <row r="1537" spans="1:4" x14ac:dyDescent="0.2">
      <c r="A1537" s="5">
        <v>1476</v>
      </c>
      <c r="B1537" s="1832">
        <f>'Expenditures 15-22'!F301</f>
        <v>2688</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2688</v>
      </c>
      <c r="C1541" s="2" t="s">
        <v>569</v>
      </c>
      <c r="D1541" s="2" t="str">
        <f t="shared" si="23"/>
        <v>Error?</v>
      </c>
    </row>
    <row r="1542" spans="1:4" x14ac:dyDescent="0.2">
      <c r="A1542" s="5">
        <v>1481</v>
      </c>
      <c r="B1542" s="1832">
        <f>'Expenditures 15-22'!F312</f>
        <v>2688</v>
      </c>
      <c r="C1542" s="2" t="s">
        <v>569</v>
      </c>
      <c r="D1542" s="2" t="str">
        <f t="shared" si="23"/>
        <v>Error?</v>
      </c>
    </row>
    <row r="1543" spans="1:4" x14ac:dyDescent="0.2">
      <c r="A1543" s="5">
        <v>1482</v>
      </c>
      <c r="B1543" s="1832">
        <f>'Expenditures 15-22'!G301</f>
        <v>1484193</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1484193</v>
      </c>
      <c r="C1547" s="2" t="s">
        <v>569</v>
      </c>
      <c r="D1547" s="2" t="str">
        <f t="shared" si="23"/>
        <v>Error?</v>
      </c>
    </row>
    <row r="1548" spans="1:4" x14ac:dyDescent="0.2">
      <c r="A1548" s="5">
        <v>1487</v>
      </c>
      <c r="B1548" s="1832">
        <f>'Expenditures 15-22'!G312</f>
        <v>1484193</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1497237</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1497237</v>
      </c>
      <c r="C1559" s="2" t="s">
        <v>569</v>
      </c>
      <c r="D1559" s="2" t="str">
        <f t="shared" si="23"/>
        <v>Error?</v>
      </c>
    </row>
    <row r="1560" spans="1:4" x14ac:dyDescent="0.2">
      <c r="A1560" s="5">
        <v>1499</v>
      </c>
      <c r="B1560" s="1832">
        <f>'Expenditures 15-22'!K312</f>
        <v>1497237</v>
      </c>
      <c r="C1560" s="2" t="s">
        <v>569</v>
      </c>
      <c r="D1560" s="2" t="str">
        <f t="shared" si="23"/>
        <v>Error?</v>
      </c>
    </row>
    <row r="1561" spans="1:4" x14ac:dyDescent="0.2">
      <c r="A1561" s="5">
        <v>1500</v>
      </c>
      <c r="B1561" s="1832">
        <f>'Expenditures 15-22'!K313</f>
        <v>-1276954</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2263667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2455452</v>
      </c>
      <c r="C1630" s="2" t="s">
        <v>569</v>
      </c>
      <c r="D1630" s="2" t="str">
        <f t="shared" si="24"/>
        <v>Error?</v>
      </c>
    </row>
    <row r="1631" spans="1:4" x14ac:dyDescent="0.2">
      <c r="A1631" s="5">
        <v>1570</v>
      </c>
      <c r="B1631" s="1832">
        <f>'Acct Summary 7-8'!D79</f>
        <v>147355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270881</v>
      </c>
      <c r="C1644" s="2" t="s">
        <v>569</v>
      </c>
      <c r="D1644" s="2" t="str">
        <f t="shared" si="24"/>
        <v>Error?</v>
      </c>
    </row>
    <row r="1645" spans="1:4" x14ac:dyDescent="0.2">
      <c r="A1645" s="5">
        <v>1584</v>
      </c>
      <c r="B1645" s="1832">
        <f>'Acct Summary 7-8'!E79</f>
        <v>10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1917</v>
      </c>
      <c r="C1658" s="2" t="s">
        <v>569</v>
      </c>
      <c r="D1658" s="2" t="str">
        <f t="shared" si="24"/>
        <v>Error?</v>
      </c>
    </row>
    <row r="1659" spans="1:4" x14ac:dyDescent="0.2">
      <c r="A1659" s="5">
        <v>1598</v>
      </c>
      <c r="B1659" s="1832">
        <f>'Acct Summary 7-8'!F79</f>
        <v>138374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129677</v>
      </c>
      <c r="C1672" s="2" t="s">
        <v>569</v>
      </c>
      <c r="D1672" s="2" t="str">
        <f t="shared" si="25"/>
        <v>Error?</v>
      </c>
    </row>
    <row r="1673" spans="1:4" x14ac:dyDescent="0.2">
      <c r="A1673" s="5">
        <v>1612</v>
      </c>
      <c r="B1673" s="1832">
        <f>'Acct Summary 7-8'!G79</f>
        <v>40586</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42622</v>
      </c>
      <c r="C1686" s="2" t="s">
        <v>569</v>
      </c>
      <c r="D1686" s="2" t="str">
        <f t="shared" si="25"/>
        <v>Error?</v>
      </c>
    </row>
    <row r="1687" spans="1:4" x14ac:dyDescent="0.2">
      <c r="A1687" s="5">
        <v>1626</v>
      </c>
      <c r="B1687" s="1832">
        <f>'Acct Summary 7-8'!H79</f>
        <v>260379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6621140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1844994</v>
      </c>
      <c r="C1744" s="2" t="s">
        <v>569</v>
      </c>
      <c r="D1744" s="2" t="str">
        <f t="shared" si="26"/>
        <v>Error?</v>
      </c>
    </row>
    <row r="1745" spans="1:5" x14ac:dyDescent="0.2">
      <c r="A1745" s="5">
        <v>1684</v>
      </c>
      <c r="B1745" s="1832">
        <f>'Tax Sched 23'!B5</f>
        <v>279527</v>
      </c>
      <c r="C1745" s="2" t="s">
        <v>569</v>
      </c>
      <c r="D1745" s="2" t="str">
        <f t="shared" si="26"/>
        <v>Error?</v>
      </c>
    </row>
    <row r="1746" spans="1:5" x14ac:dyDescent="0.2">
      <c r="A1746" s="5">
        <v>1685</v>
      </c>
      <c r="B1746" s="1832">
        <f>'Tax Sched 23'!B6</f>
        <v>543494</v>
      </c>
      <c r="C1746" s="2" t="s">
        <v>569</v>
      </c>
      <c r="D1746" s="2" t="str">
        <f t="shared" si="26"/>
        <v>Error?</v>
      </c>
    </row>
    <row r="1747" spans="1:5" x14ac:dyDescent="0.2">
      <c r="A1747" s="5">
        <v>1686</v>
      </c>
      <c r="B1747" s="1832">
        <f>'Tax Sched 23'!B7</f>
        <v>89392</v>
      </c>
      <c r="C1747" s="2" t="s">
        <v>569</v>
      </c>
      <c r="D1747" s="2" t="str">
        <f t="shared" si="26"/>
        <v>Error?</v>
      </c>
    </row>
    <row r="1748" spans="1:5" x14ac:dyDescent="0.2">
      <c r="A1748" s="5">
        <v>1687</v>
      </c>
      <c r="B1748" s="1832">
        <f>'Tax Sched 23'!B8</f>
        <v>40726</v>
      </c>
      <c r="C1748" s="2" t="s">
        <v>569</v>
      </c>
      <c r="D1748" s="2" t="str">
        <f t="shared" si="26"/>
        <v>Error?</v>
      </c>
    </row>
    <row r="1749" spans="1:5" x14ac:dyDescent="0.2">
      <c r="A1749" s="5">
        <v>1688</v>
      </c>
      <c r="B1749" s="1832">
        <f>'Tax Sched 23'!B10</f>
        <v>793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4922</v>
      </c>
      <c r="C1752" s="2" t="s">
        <v>569</v>
      </c>
      <c r="D1752" s="2" t="str">
        <f t="shared" si="26"/>
        <v>Error?</v>
      </c>
    </row>
    <row r="1753" spans="1:5" x14ac:dyDescent="0.2">
      <c r="A1753" s="5">
        <v>1692</v>
      </c>
      <c r="B1753" s="1832">
        <f>'Tax Sched 23'!B12</f>
        <v>794</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2872122</v>
      </c>
      <c r="C1759" s="2" t="s">
        <v>569</v>
      </c>
      <c r="D1759" s="2" t="str">
        <f t="shared" si="26"/>
        <v>Error?</v>
      </c>
    </row>
    <row r="1760" spans="1:5" x14ac:dyDescent="0.2">
      <c r="A1760" s="5">
        <v>1699</v>
      </c>
      <c r="B1760" s="1832">
        <f>'Tax Sched 23'!D4</f>
        <v>1844994</v>
      </c>
      <c r="C1760" s="2" t="s">
        <v>569</v>
      </c>
      <c r="D1760" s="2" t="str">
        <f t="shared" si="26"/>
        <v>Error?</v>
      </c>
    </row>
    <row r="1761" spans="1:7" x14ac:dyDescent="0.2">
      <c r="A1761" s="5">
        <v>1700</v>
      </c>
      <c r="B1761" s="1832">
        <f>'Tax Sched 23'!D5</f>
        <v>279527</v>
      </c>
      <c r="C1761" s="2" t="s">
        <v>569</v>
      </c>
      <c r="D1761" s="2" t="str">
        <f t="shared" si="26"/>
        <v>Error?</v>
      </c>
    </row>
    <row r="1762" spans="1:7" s="8" customFormat="1" x14ac:dyDescent="0.2">
      <c r="A1762" s="5">
        <v>1701</v>
      </c>
      <c r="B1762" s="1832">
        <f>'Tax Sched 23'!D6</f>
        <v>543494</v>
      </c>
      <c r="C1762" s="2" t="s">
        <v>569</v>
      </c>
      <c r="D1762" s="2" t="str">
        <f t="shared" si="26"/>
        <v>Error?</v>
      </c>
      <c r="E1762" s="9"/>
      <c r="G1762"/>
    </row>
    <row r="1763" spans="1:7" x14ac:dyDescent="0.2">
      <c r="A1763" s="5">
        <v>1702</v>
      </c>
      <c r="B1763" s="1832">
        <f>'Tax Sched 23'!D7</f>
        <v>89392</v>
      </c>
      <c r="C1763" s="2" t="s">
        <v>569</v>
      </c>
      <c r="D1763" s="2" t="str">
        <f t="shared" si="26"/>
        <v>Error?</v>
      </c>
    </row>
    <row r="1764" spans="1:7" x14ac:dyDescent="0.2">
      <c r="A1764" s="5">
        <v>1703</v>
      </c>
      <c r="B1764" s="1832">
        <f>'Tax Sched 23'!D8</f>
        <v>40726</v>
      </c>
      <c r="C1764" s="2" t="s">
        <v>569</v>
      </c>
      <c r="D1764" s="2" t="str">
        <f t="shared" si="26"/>
        <v>Error?</v>
      </c>
    </row>
    <row r="1765" spans="1:7" x14ac:dyDescent="0.2">
      <c r="A1765" s="5">
        <v>1704</v>
      </c>
      <c r="B1765" s="1832">
        <f>'Tax Sched 23'!D10</f>
        <v>793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4922</v>
      </c>
      <c r="C1768" s="2" t="s">
        <v>569</v>
      </c>
      <c r="D1768" s="2" t="str">
        <f t="shared" si="26"/>
        <v>Error?</v>
      </c>
    </row>
    <row r="1769" spans="1:7" x14ac:dyDescent="0.2">
      <c r="A1769" s="5">
        <v>1708</v>
      </c>
      <c r="B1769" s="1832">
        <f>'Tax Sched 23'!D12</f>
        <v>794</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2872122</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1920487</v>
      </c>
      <c r="C1792" s="2" t="s">
        <v>569</v>
      </c>
      <c r="D1792" s="2" t="str">
        <f t="shared" si="27"/>
        <v>Error?</v>
      </c>
    </row>
    <row r="1793" spans="1:4" x14ac:dyDescent="0.2">
      <c r="A1793" s="5">
        <v>1732</v>
      </c>
      <c r="B1793" s="1832">
        <f>'Tax Sched 23'!F5</f>
        <v>289929</v>
      </c>
      <c r="C1793" s="2" t="s">
        <v>569</v>
      </c>
      <c r="D1793" s="2" t="str">
        <f t="shared" si="27"/>
        <v>Error?</v>
      </c>
    </row>
    <row r="1794" spans="1:4" x14ac:dyDescent="0.2">
      <c r="A1794" s="5">
        <v>1733</v>
      </c>
      <c r="B1794" s="1832">
        <f>'Tax Sched 23'!F6</f>
        <v>557772</v>
      </c>
      <c r="C1794" s="2" t="s">
        <v>569</v>
      </c>
      <c r="D1794" s="2" t="str">
        <f t="shared" si="27"/>
        <v>Error?</v>
      </c>
    </row>
    <row r="1795" spans="1:4" x14ac:dyDescent="0.2">
      <c r="A1795" s="5">
        <v>1734</v>
      </c>
      <c r="B1795" s="1832">
        <f>'Tax Sched 23'!F7</f>
        <v>89918</v>
      </c>
      <c r="C1795" s="2" t="s">
        <v>569</v>
      </c>
      <c r="D1795" s="2" t="str">
        <f t="shared" si="27"/>
        <v>Error?</v>
      </c>
    </row>
    <row r="1796" spans="1:4" x14ac:dyDescent="0.2">
      <c r="A1796" s="5">
        <v>1735</v>
      </c>
      <c r="B1796" s="1832">
        <f>'Tax Sched 23'!F8</f>
        <v>40932</v>
      </c>
      <c r="C1796" s="2" t="s">
        <v>569</v>
      </c>
      <c r="D1796" s="2" t="str">
        <f t="shared" si="27"/>
        <v>Error?</v>
      </c>
    </row>
    <row r="1797" spans="1:4" x14ac:dyDescent="0.2">
      <c r="A1797" s="5">
        <v>1736</v>
      </c>
      <c r="B1797" s="1832">
        <f>'Tax Sched 23'!F10</f>
        <v>830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4151</v>
      </c>
      <c r="C1800" s="2" t="s">
        <v>569</v>
      </c>
      <c r="D1800" s="2" t="str">
        <f t="shared" si="27"/>
        <v>Error?</v>
      </c>
    </row>
    <row r="1801" spans="1:4" x14ac:dyDescent="0.2">
      <c r="A1801" s="5">
        <v>1740</v>
      </c>
      <c r="B1801" s="1832">
        <f>'Tax Sched 23'!F12</f>
        <v>830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2972765</v>
      </c>
      <c r="C1807" s="2" t="s">
        <v>569</v>
      </c>
      <c r="D1807" s="2" t="str">
        <f t="shared" si="27"/>
        <v>Error?</v>
      </c>
    </row>
    <row r="1808" spans="1:4" x14ac:dyDescent="0.2">
      <c r="A1808" s="5">
        <v>1747</v>
      </c>
      <c r="B1808" s="1832">
        <f>'Tax Sched 23'!E4</f>
        <v>1920487</v>
      </c>
      <c r="D1808" s="2" t="str">
        <f t="shared" si="27"/>
        <v>Error?</v>
      </c>
    </row>
    <row r="1809" spans="1:4" x14ac:dyDescent="0.2">
      <c r="A1809" s="5">
        <v>1748</v>
      </c>
      <c r="B1809" s="1832">
        <f>'Tax Sched 23'!E5</f>
        <v>289929</v>
      </c>
      <c r="D1809" s="2" t="str">
        <f t="shared" si="27"/>
        <v>Error?</v>
      </c>
    </row>
    <row r="1810" spans="1:4" x14ac:dyDescent="0.2">
      <c r="A1810" s="5">
        <v>1749</v>
      </c>
      <c r="B1810" s="1832">
        <f>'Tax Sched 23'!E6</f>
        <v>557772</v>
      </c>
      <c r="D1810" s="2" t="str">
        <f t="shared" si="27"/>
        <v>Error?</v>
      </c>
    </row>
    <row r="1811" spans="1:4" x14ac:dyDescent="0.2">
      <c r="A1811" s="5">
        <v>1750</v>
      </c>
      <c r="B1811" s="1832">
        <f>'Tax Sched 23'!E7</f>
        <v>89918</v>
      </c>
      <c r="D1811" s="2" t="str">
        <f t="shared" si="27"/>
        <v>Error?</v>
      </c>
    </row>
    <row r="1812" spans="1:4" x14ac:dyDescent="0.2">
      <c r="A1812" s="5">
        <v>1751</v>
      </c>
      <c r="B1812" s="1832">
        <f>'Tax Sched 23'!E8</f>
        <v>40932</v>
      </c>
      <c r="D1812" s="2" t="str">
        <f t="shared" si="27"/>
        <v>Error?</v>
      </c>
    </row>
    <row r="1813" spans="1:4" x14ac:dyDescent="0.2">
      <c r="A1813" s="5">
        <v>1752</v>
      </c>
      <c r="B1813" s="1832">
        <f>'Tax Sched 23'!E10</f>
        <v>830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4151</v>
      </c>
      <c r="D1816" s="2" t="str">
        <f t="shared" si="27"/>
        <v>Error?</v>
      </c>
    </row>
    <row r="1817" spans="1:4" x14ac:dyDescent="0.2">
      <c r="A1817" s="5">
        <v>1756</v>
      </c>
      <c r="B1817" s="1832">
        <f>'Tax Sched 23'!E12</f>
        <v>830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2972765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1862000</v>
      </c>
      <c r="C1939" s="2" t="s">
        <v>569</v>
      </c>
      <c r="D1939" s="2" t="str">
        <f t="shared" si="29"/>
        <v>Error?</v>
      </c>
    </row>
    <row r="1940" spans="1:5" x14ac:dyDescent="0.2">
      <c r="A1940" s="5">
        <v>1879</v>
      </c>
      <c r="B1940" s="1832">
        <f>'Short-Term Long-Term Debt 24'!F49</f>
        <v>7903800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671408</v>
      </c>
      <c r="D2008" s="2" t="str">
        <f t="shared" si="30"/>
        <v>Error?</v>
      </c>
    </row>
    <row r="2009" spans="1:4" x14ac:dyDescent="0.2">
      <c r="A2009" s="5">
        <v>1948</v>
      </c>
      <c r="B2009" s="1832">
        <f>'Cap Outlay Deprec 26'!C8</f>
        <v>7892697</v>
      </c>
      <c r="D2009" s="2" t="str">
        <f t="shared" si="30"/>
        <v>Error?</v>
      </c>
    </row>
    <row r="2010" spans="1:4" x14ac:dyDescent="0.2">
      <c r="A2010" s="5">
        <v>1949</v>
      </c>
      <c r="B2010" s="1832">
        <f>'Cap Outlay Deprec 26'!C10</f>
        <v>70850</v>
      </c>
      <c r="D2010" s="2" t="str">
        <f t="shared" si="30"/>
        <v>Error?</v>
      </c>
    </row>
    <row r="2011" spans="1:4" x14ac:dyDescent="0.2">
      <c r="A2011" s="5">
        <v>1950</v>
      </c>
      <c r="B2011" s="1832">
        <f>'Cap Outlay Deprec 26'!C12</f>
        <v>945674</v>
      </c>
      <c r="D2011" s="2" t="str">
        <f t="shared" si="30"/>
        <v>Error?</v>
      </c>
    </row>
    <row r="2012" spans="1:4" x14ac:dyDescent="0.2">
      <c r="A2012" s="5">
        <v>1951</v>
      </c>
      <c r="B2012" s="1832">
        <f>'Cap Outlay Deprec 26'!C13</f>
        <v>448152</v>
      </c>
      <c r="D2012" s="2" t="str">
        <f t="shared" si="30"/>
        <v>Error?</v>
      </c>
    </row>
    <row r="2013" spans="1:4" x14ac:dyDescent="0.2">
      <c r="A2013" s="5">
        <v>1952</v>
      </c>
      <c r="B2013" s="1832">
        <f>'Cap Outlay Deprec 26'!C16</f>
        <v>10342169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34549</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1598328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671408</v>
      </c>
      <c r="C2026" s="2" t="s">
        <v>569</v>
      </c>
      <c r="D2026" s="2" t="str">
        <f t="shared" si="30"/>
        <v>Error?</v>
      </c>
    </row>
    <row r="2027" spans="1:4" x14ac:dyDescent="0.2">
      <c r="A2027" s="5">
        <v>1966</v>
      </c>
      <c r="B2027" s="1832">
        <f>'Cap Outlay Deprec 26'!F8</f>
        <v>7892697</v>
      </c>
      <c r="C2027" s="2" t="s">
        <v>569</v>
      </c>
      <c r="D2027" s="2" t="str">
        <f t="shared" si="30"/>
        <v>Error?</v>
      </c>
    </row>
    <row r="2028" spans="1:4" x14ac:dyDescent="0.2">
      <c r="A2028" s="5">
        <v>1967</v>
      </c>
      <c r="B2028" s="1832">
        <f>'Cap Outlay Deprec 26'!F10</f>
        <v>70850</v>
      </c>
      <c r="C2028" s="2" t="s">
        <v>569</v>
      </c>
      <c r="D2028" s="2" t="str">
        <f t="shared" si="30"/>
        <v>Error?</v>
      </c>
    </row>
    <row r="2029" spans="1:4" x14ac:dyDescent="0.2">
      <c r="A2029" s="5">
        <v>1968</v>
      </c>
      <c r="B2029" s="1832">
        <f>'Cap Outlay Deprec 26'!F12</f>
        <v>980223</v>
      </c>
      <c r="C2029" s="2" t="s">
        <v>569</v>
      </c>
      <c r="D2029" s="2" t="str">
        <f t="shared" si="30"/>
        <v>Error?</v>
      </c>
    </row>
    <row r="2030" spans="1:4" x14ac:dyDescent="0.2">
      <c r="A2030" s="5">
        <v>1969</v>
      </c>
      <c r="B2030" s="1832">
        <f>'Cap Outlay Deprec 26'!F13</f>
        <v>448152</v>
      </c>
      <c r="C2030" s="2" t="s">
        <v>569</v>
      </c>
      <c r="D2030" s="2" t="str">
        <f t="shared" si="30"/>
        <v>Error?</v>
      </c>
    </row>
    <row r="2031" spans="1:4" x14ac:dyDescent="0.2">
      <c r="A2031" s="5">
        <v>1970</v>
      </c>
      <c r="B2031" s="1832">
        <f>'Cap Outlay Deprec 26'!F16</f>
        <v>11940497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2595904</v>
      </c>
      <c r="D2033" s="2" t="str">
        <f t="shared" si="30"/>
        <v>Error?</v>
      </c>
    </row>
    <row r="2034" spans="1:4" x14ac:dyDescent="0.2">
      <c r="A2034" s="5">
        <v>1973</v>
      </c>
      <c r="B2034" s="1832">
        <f>'Cap Outlay Deprec 26'!H10</f>
        <v>27214</v>
      </c>
      <c r="D2034" s="2" t="str">
        <f t="shared" si="30"/>
        <v>Error?</v>
      </c>
    </row>
    <row r="2035" spans="1:4" x14ac:dyDescent="0.2">
      <c r="A2035" s="5">
        <v>1974</v>
      </c>
      <c r="B2035" s="1832">
        <f>'Cap Outlay Deprec 26'!H12</f>
        <v>850539</v>
      </c>
      <c r="D2035" s="2" t="str">
        <f t="shared" si="30"/>
        <v>Error?</v>
      </c>
    </row>
    <row r="2036" spans="1:4" x14ac:dyDescent="0.2">
      <c r="A2036" s="5">
        <v>1975</v>
      </c>
      <c r="B2036" s="1832">
        <f>'Cap Outlay Deprec 26'!H13</f>
        <v>368482</v>
      </c>
      <c r="D2036" s="2" t="str">
        <f t="shared" si="30"/>
        <v>Error?</v>
      </c>
    </row>
    <row r="2037" spans="1:4" x14ac:dyDescent="0.2">
      <c r="A2037" s="5">
        <v>1976</v>
      </c>
      <c r="B2037" s="1832">
        <f>'Cap Outlay Deprec 26'!H16</f>
        <v>3882357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158340</v>
      </c>
      <c r="D2039" s="2" t="str">
        <f t="shared" si="30"/>
        <v>Error?</v>
      </c>
    </row>
    <row r="2040" spans="1:4" x14ac:dyDescent="0.2">
      <c r="A2040" s="5">
        <v>1979</v>
      </c>
      <c r="B2040" s="1832">
        <f>'Cap Outlay Deprec 26'!I10</f>
        <v>3206</v>
      </c>
      <c r="D2040" s="2" t="str">
        <f t="shared" si="30"/>
        <v>Error?</v>
      </c>
    </row>
    <row r="2041" spans="1:4" x14ac:dyDescent="0.2">
      <c r="A2041" s="5">
        <v>1980</v>
      </c>
      <c r="B2041" s="1832">
        <f>'Cap Outlay Deprec 26'!I12</f>
        <v>25075</v>
      </c>
      <c r="D2041" s="2" t="str">
        <f t="shared" si="30"/>
        <v>Error?</v>
      </c>
    </row>
    <row r="2042" spans="1:4" x14ac:dyDescent="0.2">
      <c r="A2042" s="5">
        <v>1981</v>
      </c>
      <c r="B2042" s="1832">
        <f>'Cap Outlay Deprec 26'!I13</f>
        <v>32521</v>
      </c>
      <c r="D2042" s="2" t="str">
        <f t="shared" si="30"/>
        <v>Error?</v>
      </c>
    </row>
    <row r="2043" spans="1:4" x14ac:dyDescent="0.2">
      <c r="A2043" s="5">
        <v>1982</v>
      </c>
      <c r="B2043" s="1832">
        <f>'Cap Outlay Deprec 26'!I16</f>
        <v>236241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2754244</v>
      </c>
      <c r="C2051" s="2" t="s">
        <v>569</v>
      </c>
      <c r="D2051" s="2" t="str">
        <f t="shared" si="31"/>
        <v>Error?</v>
      </c>
    </row>
    <row r="2052" spans="1:4" x14ac:dyDescent="0.2">
      <c r="A2052" s="5">
        <v>1991</v>
      </c>
      <c r="B2052" s="1832">
        <f>'Cap Outlay Deprec 26'!K10</f>
        <v>30420</v>
      </c>
      <c r="C2052" s="2" t="s">
        <v>569</v>
      </c>
      <c r="D2052" s="2" t="str">
        <f t="shared" si="31"/>
        <v>Error?</v>
      </c>
    </row>
    <row r="2053" spans="1:4" x14ac:dyDescent="0.2">
      <c r="A2053" s="5">
        <v>1992</v>
      </c>
      <c r="B2053" s="1832">
        <f>'Cap Outlay Deprec 26'!K12</f>
        <v>875614</v>
      </c>
      <c r="C2053" s="2" t="s">
        <v>569</v>
      </c>
      <c r="D2053" s="2" t="str">
        <f t="shared" si="31"/>
        <v>Error?</v>
      </c>
    </row>
    <row r="2054" spans="1:4" x14ac:dyDescent="0.2">
      <c r="A2054" s="5">
        <v>1993</v>
      </c>
      <c r="B2054" s="1832">
        <f>'Cap Outlay Deprec 26'!K13</f>
        <v>401003</v>
      </c>
      <c r="C2054" s="2" t="s">
        <v>569</v>
      </c>
      <c r="D2054" s="2" t="str">
        <f t="shared" si="31"/>
        <v>Error?</v>
      </c>
    </row>
    <row r="2055" spans="1:4" x14ac:dyDescent="0.2">
      <c r="A2055" s="5">
        <v>1994</v>
      </c>
      <c r="B2055" s="1832">
        <f>'Cap Outlay Deprec 26'!K16</f>
        <v>4118598</v>
      </c>
      <c r="C2055" s="2" t="s">
        <v>569</v>
      </c>
      <c r="D2055" s="2" t="str">
        <f t="shared" si="31"/>
        <v>Error?</v>
      </c>
    </row>
    <row r="2056" spans="1:4" x14ac:dyDescent="0.2">
      <c r="A2056" s="5">
        <v>1995</v>
      </c>
      <c r="B2056" s="1832">
        <f>'Cap Outlay Deprec 26'!L5</f>
        <v>671408</v>
      </c>
      <c r="C2056" s="2" t="s">
        <v>569</v>
      </c>
      <c r="D2056" s="2" t="str">
        <f t="shared" si="31"/>
        <v>Error?</v>
      </c>
    </row>
    <row r="2057" spans="1:4" x14ac:dyDescent="0.2">
      <c r="A2057" s="5">
        <v>1996</v>
      </c>
      <c r="B2057" s="1832">
        <f>'Cap Outlay Deprec 26'!L8</f>
        <v>5138453</v>
      </c>
      <c r="C2057" s="2" t="s">
        <v>569</v>
      </c>
      <c r="D2057" s="2" t="str">
        <f t="shared" si="31"/>
        <v>Error?</v>
      </c>
    </row>
    <row r="2058" spans="1:4" x14ac:dyDescent="0.2">
      <c r="A2058" s="5">
        <v>1997</v>
      </c>
      <c r="B2058" s="1832">
        <f>'Cap Outlay Deprec 26'!L10</f>
        <v>40430</v>
      </c>
      <c r="C2058" s="2" t="s">
        <v>569</v>
      </c>
      <c r="D2058" s="2" t="str">
        <f t="shared" si="31"/>
        <v>Error?</v>
      </c>
    </row>
    <row r="2059" spans="1:4" x14ac:dyDescent="0.2">
      <c r="A2059" s="5">
        <v>1998</v>
      </c>
      <c r="B2059" s="1832">
        <f>'Cap Outlay Deprec 26'!L12</f>
        <v>104609</v>
      </c>
      <c r="C2059" s="2" t="s">
        <v>569</v>
      </c>
      <c r="D2059" s="2" t="str">
        <f t="shared" si="31"/>
        <v>Error?</v>
      </c>
    </row>
    <row r="2060" spans="1:4" x14ac:dyDescent="0.2">
      <c r="A2060" s="5">
        <v>1999</v>
      </c>
      <c r="B2060" s="1832">
        <f>'Cap Outlay Deprec 26'!L13</f>
        <v>47149</v>
      </c>
      <c r="C2060" s="2" t="s">
        <v>569</v>
      </c>
      <c r="D2060" s="2" t="str">
        <f t="shared" si="31"/>
        <v>Error?</v>
      </c>
    </row>
    <row r="2061" spans="1:4" x14ac:dyDescent="0.2">
      <c r="A2061" s="5">
        <v>2000</v>
      </c>
      <c r="B2061" s="1832">
        <f>'Cap Outlay Deprec 26'!L16</f>
        <v>7821899</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32371</v>
      </c>
      <c r="C2088" s="2" t="s">
        <v>569</v>
      </c>
      <c r="D2088" s="2" t="str">
        <f t="shared" si="31"/>
        <v>Error?</v>
      </c>
    </row>
    <row r="2089" spans="1:4" x14ac:dyDescent="0.2">
      <c r="A2089" s="5">
        <v>2028</v>
      </c>
      <c r="B2089" s="1832">
        <f>'Expenditures 15-22'!K92</f>
        <v>49929</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16000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6221489</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2051104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1136638</v>
      </c>
      <c r="C2553" s="2" t="s">
        <v>569</v>
      </c>
      <c r="D2553" s="2" t="str">
        <f t="shared" si="38"/>
        <v>Error?</v>
      </c>
    </row>
    <row r="2554" spans="1:4" x14ac:dyDescent="0.2">
      <c r="A2554" s="5">
        <v>2493</v>
      </c>
      <c r="B2554" s="1832">
        <f>'Acct Summary 7-8'!C7</f>
        <v>270969</v>
      </c>
      <c r="C2554" s="2" t="s">
        <v>569</v>
      </c>
      <c r="D2554" s="2" t="str">
        <f t="shared" si="38"/>
        <v>Error?</v>
      </c>
    </row>
    <row r="2555" spans="1:4" x14ac:dyDescent="0.2">
      <c r="A2555" s="5">
        <v>2494</v>
      </c>
      <c r="B2555" s="1832">
        <f>'Acct Summary 7-8'!C8</f>
        <v>3458711</v>
      </c>
      <c r="C2555" s="2" t="s">
        <v>569</v>
      </c>
      <c r="D2555" s="2" t="str">
        <f t="shared" si="38"/>
        <v>Error?</v>
      </c>
    </row>
    <row r="2556" spans="1:4" x14ac:dyDescent="0.2">
      <c r="A2556" s="5">
        <v>2495</v>
      </c>
      <c r="B2556" s="1832">
        <f>'Acct Summary 7-8'!C12</f>
        <v>1937818</v>
      </c>
      <c r="C2556" s="2" t="s">
        <v>569</v>
      </c>
      <c r="D2556" s="2" t="str">
        <f t="shared" si="38"/>
        <v>Error?</v>
      </c>
    </row>
    <row r="2557" spans="1:4" x14ac:dyDescent="0.2">
      <c r="A2557" s="5">
        <v>2496</v>
      </c>
      <c r="B2557" s="1832">
        <f>'Acct Summary 7-8'!C13</f>
        <v>1246808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82300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3266926</v>
      </c>
      <c r="C2561" s="2" t="s">
        <v>569</v>
      </c>
      <c r="D2561" s="2" t="str">
        <f t="shared" si="39"/>
        <v>Error?</v>
      </c>
    </row>
    <row r="2562" spans="1:4" x14ac:dyDescent="0.2">
      <c r="A2562" s="5">
        <v>2501</v>
      </c>
      <c r="B2562" s="1832">
        <f>'Acct Summary 7-8'!C20</f>
        <v>191785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286396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275000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561396</v>
      </c>
      <c r="C2568" s="2" t="s">
        <v>569</v>
      </c>
      <c r="D2568" s="2" t="str">
        <f t="shared" si="39"/>
        <v>Error?</v>
      </c>
    </row>
    <row r="2569" spans="1:4" x14ac:dyDescent="0.2">
      <c r="A2569" s="5">
        <v>2508</v>
      </c>
      <c r="B2569" s="1832">
        <f>'Acct Summary 7-8'!D13</f>
        <v>437870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437870</v>
      </c>
      <c r="C2573" s="2" t="s">
        <v>569</v>
      </c>
      <c r="D2573" s="2" t="str">
        <f t="shared" si="39"/>
        <v>Error?</v>
      </c>
    </row>
    <row r="2574" spans="1:4" x14ac:dyDescent="0.2">
      <c r="A2574" s="5">
        <v>2513</v>
      </c>
      <c r="B2574" s="1832">
        <f>'Acct Summary 7-8'!D20</f>
        <v>123526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89646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142234</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231880</v>
      </c>
      <c r="C2595" s="2" t="s">
        <v>569</v>
      </c>
      <c r="D2595" s="2" t="str">
        <f t="shared" si="39"/>
        <v>Error?</v>
      </c>
    </row>
    <row r="2596" spans="1:4" x14ac:dyDescent="0.2">
      <c r="A2596" s="5">
        <v>2535</v>
      </c>
      <c r="B2596" s="1832">
        <f>'Acct Summary 7-8'!F13</f>
        <v>240577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240577</v>
      </c>
      <c r="C2600" s="2" t="s">
        <v>569</v>
      </c>
      <c r="D2600" s="2" t="str">
        <f t="shared" si="39"/>
        <v>Error?</v>
      </c>
    </row>
    <row r="2601" spans="1:4" x14ac:dyDescent="0.2">
      <c r="A2601" s="5">
        <v>2540</v>
      </c>
      <c r="B2601" s="1832">
        <f>'Acct Summary 7-8'!F20</f>
        <v>-8697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108381</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108381</v>
      </c>
      <c r="C2606" s="2" t="s">
        <v>569</v>
      </c>
      <c r="D2606" s="2" t="str">
        <f t="shared" si="39"/>
        <v>Error?</v>
      </c>
    </row>
    <row r="2607" spans="1:4" x14ac:dyDescent="0.2">
      <c r="A2607" s="5">
        <v>2546</v>
      </c>
      <c r="B2607" s="1832">
        <f>'Acct Summary 7-8'!G12</f>
        <v>38880</v>
      </c>
      <c r="C2607" s="2" t="s">
        <v>569</v>
      </c>
      <c r="D2607" s="2" t="str">
        <f t="shared" si="39"/>
        <v>Error?</v>
      </c>
    </row>
    <row r="2608" spans="1:4" x14ac:dyDescent="0.2">
      <c r="A2608" s="5">
        <v>2547</v>
      </c>
      <c r="B2608" s="1832">
        <f>'Acct Summary 7-8'!G13</f>
        <v>67465</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106345</v>
      </c>
      <c r="C2612" s="2" t="s">
        <v>569</v>
      </c>
      <c r="D2612" s="2" t="str">
        <f t="shared" si="39"/>
        <v>Error?</v>
      </c>
    </row>
    <row r="2613" spans="1:4" x14ac:dyDescent="0.2">
      <c r="A2613" s="5">
        <v>2552</v>
      </c>
      <c r="B2613" s="1832">
        <f>'Acct Summary 7-8'!G20</f>
        <v>2036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544370</v>
      </c>
      <c r="C2630" s="2" t="s">
        <v>569</v>
      </c>
      <c r="D2630" s="2" t="str">
        <f t="shared" si="40"/>
        <v>Error?</v>
      </c>
    </row>
    <row r="2631" spans="1:4" x14ac:dyDescent="0.2">
      <c r="A2631" s="5">
        <v>2570</v>
      </c>
      <c r="B2631" s="1832">
        <f>'Acct Summary 7-8'!E6</f>
        <v>5000</v>
      </c>
      <c r="C2631" s="2" t="s">
        <v>569</v>
      </c>
      <c r="D2631" s="2" t="str">
        <f t="shared" si="40"/>
        <v>Error?</v>
      </c>
    </row>
    <row r="2632" spans="1:4" x14ac:dyDescent="0.2">
      <c r="A2632" s="5">
        <v>2571</v>
      </c>
      <c r="B2632" s="1832">
        <f>'Acct Summary 7-8'!E8</f>
        <v>549370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547463</v>
      </c>
      <c r="C2634" s="2" t="s">
        <v>569</v>
      </c>
      <c r="D2634" s="2" t="str">
        <f t="shared" si="40"/>
        <v>Error?</v>
      </c>
    </row>
    <row r="2635" spans="1:4" x14ac:dyDescent="0.2">
      <c r="A2635" s="5">
        <v>2574</v>
      </c>
      <c r="B2635" s="1832">
        <f>'Acct Summary 7-8'!E17</f>
        <v>547463</v>
      </c>
      <c r="C2635" s="2" t="s">
        <v>569</v>
      </c>
      <c r="D2635" s="2" t="str">
        <f t="shared" si="40"/>
        <v>Error?</v>
      </c>
    </row>
    <row r="2636" spans="1:4" x14ac:dyDescent="0.2">
      <c r="A2636" s="5">
        <v>2575</v>
      </c>
      <c r="B2636" s="1832">
        <f>'Acct Summary 7-8'!E20</f>
        <v>1907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170283</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220283</v>
      </c>
      <c r="C2658" s="2" t="s">
        <v>569</v>
      </c>
      <c r="D2658" s="2" t="str">
        <f t="shared" si="40"/>
        <v>Error?</v>
      </c>
    </row>
    <row r="2659" spans="1:4" x14ac:dyDescent="0.2">
      <c r="A2659" s="5">
        <v>2598</v>
      </c>
      <c r="B2659" s="1832">
        <f>'Acct Summary 7-8'!H13</f>
        <v>1497237</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1497237</v>
      </c>
      <c r="C2661" s="2" t="s">
        <v>569</v>
      </c>
      <c r="D2661" s="2" t="str">
        <f t="shared" si="40"/>
        <v>Error?</v>
      </c>
    </row>
    <row r="2662" spans="1:4" x14ac:dyDescent="0.2">
      <c r="A2662" s="5">
        <v>2601</v>
      </c>
      <c r="B2662" s="1832">
        <f>'Acct Summary 7-8'!H20</f>
        <v>-1276954</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32371</v>
      </c>
      <c r="C2789" s="2" t="s">
        <v>569</v>
      </c>
      <c r="D2789" s="2" t="str">
        <f t="shared" si="42"/>
        <v>Error?</v>
      </c>
    </row>
    <row r="2790" spans="1:4" x14ac:dyDescent="0.2">
      <c r="A2790" s="5">
        <v>2729</v>
      </c>
      <c r="B2790" s="1832">
        <f>'Expenditures 15-22'!E102</f>
        <v>32371</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1303833</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44000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44459</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14841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44459</v>
      </c>
      <c r="D2912" s="2" t="str">
        <f t="shared" si="44"/>
        <v>Error?</v>
      </c>
    </row>
    <row r="2913" spans="1:4" x14ac:dyDescent="0.2">
      <c r="A2913" s="5">
        <v>2852</v>
      </c>
      <c r="B2913" s="1832">
        <f>'Assets-Liab 5-6'!I41</f>
        <v>44459</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14841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32371</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32371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51915</v>
      </c>
      <c r="D3055" s="2" t="str">
        <f t="shared" si="46"/>
        <v>Error?</v>
      </c>
    </row>
    <row r="3056" spans="1:4" x14ac:dyDescent="0.2">
      <c r="A3056" s="5">
        <v>2995</v>
      </c>
      <c r="B3056" s="1832">
        <f>'Expenditures 15-22'!D10</f>
        <v>15878</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3366</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71159</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641</v>
      </c>
      <c r="D3064" s="2" t="str">
        <f t="shared" si="46"/>
        <v>Error?</v>
      </c>
    </row>
    <row r="3065" spans="1:4" x14ac:dyDescent="0.2">
      <c r="A3065" s="5">
        <v>3004</v>
      </c>
      <c r="B3065" s="1832">
        <f>'Expenditures 15-22'!K219</f>
        <v>641</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14841</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973800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793</v>
      </c>
      <c r="C3225" s="2" t="s">
        <v>569</v>
      </c>
      <c r="D3225" s="2" t="str">
        <f t="shared" si="49"/>
        <v>Error?</v>
      </c>
    </row>
    <row r="3226" spans="1:4" x14ac:dyDescent="0.2">
      <c r="A3226" s="5">
        <v>3165</v>
      </c>
      <c r="B3226" s="1832">
        <f>'Acct Summary 7-8'!I8</f>
        <v>793</v>
      </c>
      <c r="C3226" s="2" t="s">
        <v>569</v>
      </c>
      <c r="D3226" s="2" t="str">
        <f t="shared" si="49"/>
        <v>Error?</v>
      </c>
    </row>
    <row r="3227" spans="1:4" x14ac:dyDescent="0.2">
      <c r="A3227" s="5">
        <v>3166</v>
      </c>
      <c r="B3227" s="1832">
        <f>'Acct Summary 7-8'!I20</f>
        <v>793</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191785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123526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-8697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2036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973800</v>
      </c>
      <c r="C3274" s="2" t="s">
        <v>569</v>
      </c>
      <c r="D3274" s="2" t="str">
        <f t="shared" si="50"/>
        <v>Error?</v>
      </c>
    </row>
    <row r="3275" spans="1:4" x14ac:dyDescent="0.2">
      <c r="A3275" s="5">
        <v>3214</v>
      </c>
      <c r="B3275" s="1832">
        <f>'Acct Summary 7-8'!E75</f>
        <v>973800</v>
      </c>
      <c r="D3275" s="2" t="str">
        <f t="shared" si="50"/>
        <v>Error?</v>
      </c>
    </row>
    <row r="3276" spans="1:4" x14ac:dyDescent="0.2">
      <c r="A3276" s="5">
        <v>3215</v>
      </c>
      <c r="B3276" s="1832">
        <f>'Acct Summary 7-8'!E76</f>
        <v>973800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1907</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7872639</v>
      </c>
      <c r="C3296" s="2" t="s">
        <v>569</v>
      </c>
      <c r="D3296" s="2" t="str">
        <f t="shared" si="50"/>
        <v>Error?</v>
      </c>
    </row>
    <row r="3297" spans="1:4" x14ac:dyDescent="0.2">
      <c r="A3297" s="5">
        <v>3236</v>
      </c>
      <c r="B3297" s="1832">
        <f>'Acct Summary 7-8'!H75</f>
        <v>234924</v>
      </c>
      <c r="D3297" s="2" t="str">
        <f t="shared" si="50"/>
        <v>Error?</v>
      </c>
    </row>
    <row r="3298" spans="1:4" x14ac:dyDescent="0.2">
      <c r="A3298" s="5">
        <v>3237</v>
      </c>
      <c r="B3298" s="1832">
        <f>'Acct Summary 7-8'!H76</f>
        <v>234924</v>
      </c>
      <c r="C3298" s="2" t="s">
        <v>569</v>
      </c>
      <c r="D3298" s="2" t="str">
        <f t="shared" si="50"/>
        <v>Error?</v>
      </c>
    </row>
    <row r="3299" spans="1:4" x14ac:dyDescent="0.2">
      <c r="A3299" s="5">
        <v>3238</v>
      </c>
      <c r="B3299" s="1832">
        <f>'Acct Summary 7-8'!H77</f>
        <v>7637715</v>
      </c>
      <c r="C3299" s="2" t="s">
        <v>569</v>
      </c>
      <c r="D3299" s="2" t="str">
        <f t="shared" si="50"/>
        <v>Error?</v>
      </c>
    </row>
    <row r="3300" spans="1:4" x14ac:dyDescent="0.2">
      <c r="A3300" s="5">
        <v>3239</v>
      </c>
      <c r="B3300" s="1832">
        <f>'Acct Summary 7-8'!H78</f>
        <v>6360761</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793</v>
      </c>
      <c r="C3320" s="2" t="s">
        <v>569</v>
      </c>
      <c r="D3320" s="2" t="str">
        <f t="shared" si="50"/>
        <v>Error?</v>
      </c>
    </row>
    <row r="3321" spans="1:4" x14ac:dyDescent="0.2">
      <c r="A3321" s="5">
        <v>3260</v>
      </c>
      <c r="B3321" s="1832">
        <f>'Acct Summary 7-8'!I79</f>
        <v>43666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44459</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348718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76567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1029</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1327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180</v>
      </c>
      <c r="D3376" s="2" t="str">
        <f t="shared" si="51"/>
        <v>Error?</v>
      </c>
    </row>
    <row r="3377" spans="1:4" x14ac:dyDescent="0.2">
      <c r="A3377" s="5">
        <v>3316</v>
      </c>
      <c r="B3377" s="1832">
        <f>'Expenditures 15-22'!H19</f>
        <v>1251</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427821</v>
      </c>
      <c r="C3380" s="2" t="s">
        <v>569</v>
      </c>
      <c r="D3380" s="2" t="str">
        <f t="shared" si="51"/>
        <v>Error?</v>
      </c>
    </row>
    <row r="3381" spans="1:4" x14ac:dyDescent="0.2">
      <c r="A3381" s="5">
        <v>3320</v>
      </c>
      <c r="B3381" s="1832">
        <f>'Expenditures 15-22'!K19</f>
        <v>1251</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14479</v>
      </c>
      <c r="D3387" s="2" t="str">
        <f t="shared" si="51"/>
        <v>Error?</v>
      </c>
    </row>
    <row r="3388" spans="1:4" x14ac:dyDescent="0.2">
      <c r="A3388" s="5">
        <v>3327</v>
      </c>
      <c r="B3388" s="1832">
        <f>'Expenditures 15-22'!D217</f>
        <v>19289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14479</v>
      </c>
      <c r="C3390" s="2" t="s">
        <v>569</v>
      </c>
      <c r="D3390" s="2" t="str">
        <f t="shared" si="51"/>
        <v>Error?</v>
      </c>
    </row>
    <row r="3391" spans="1:4" x14ac:dyDescent="0.2">
      <c r="A3391" s="5">
        <v>3330</v>
      </c>
      <c r="B3391" s="1832">
        <f>'Expenditures 15-22'!K217</f>
        <v>19289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137354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50881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917</v>
      </c>
      <c r="D3417" s="2" t="str">
        <f t="shared" si="52"/>
        <v>Error?</v>
      </c>
    </row>
    <row r="3418" spans="1:4" x14ac:dyDescent="0.2">
      <c r="A3418" s="10">
        <v>3357</v>
      </c>
      <c r="B3418" s="1832"/>
      <c r="D3418" s="2" t="str">
        <f t="shared" si="52"/>
        <v>OK</v>
      </c>
    </row>
    <row r="3419" spans="1:4" x14ac:dyDescent="0.2">
      <c r="A3419" s="5">
        <v>3358</v>
      </c>
      <c r="B3419" s="1832">
        <f>'Assets-Liab 5-6'!F4</f>
        <v>52630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2622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10521</v>
      </c>
      <c r="D3425" s="2" t="str">
        <f t="shared" si="52"/>
        <v>Error?</v>
      </c>
    </row>
    <row r="3426" spans="1:4" x14ac:dyDescent="0.2">
      <c r="A3426" s="10">
        <v>3365</v>
      </c>
      <c r="B3426" s="1832"/>
      <c r="D3426" s="2" t="str">
        <f t="shared" si="52"/>
        <v>OK</v>
      </c>
    </row>
    <row r="3427" spans="1:4" x14ac:dyDescent="0.2">
      <c r="A3427" s="5">
        <v>3366</v>
      </c>
      <c r="B3427" s="1832">
        <f>'Assets-Liab 5-6'!I4</f>
        <v>459</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14841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67480</v>
      </c>
      <c r="C3446" s="2" t="s">
        <v>569</v>
      </c>
      <c r="D3446" s="2" t="str">
        <f t="shared" si="52"/>
        <v>Error?</v>
      </c>
    </row>
    <row r="3447" spans="1:4" x14ac:dyDescent="0.2">
      <c r="A3447" s="5">
        <v>3386</v>
      </c>
      <c r="B3447" s="1832">
        <f>'Tax Sched 23'!D16</f>
        <v>67480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67916</v>
      </c>
      <c r="C3449" s="2" t="s">
        <v>569</v>
      </c>
      <c r="D3449" s="2" t="str">
        <f t="shared" si="52"/>
        <v>Error?</v>
      </c>
    </row>
    <row r="3450" spans="1:4" x14ac:dyDescent="0.2">
      <c r="A3450" s="5">
        <v>3389</v>
      </c>
      <c r="B3450" s="1832">
        <f>'Tax Sched 23'!E16</f>
        <v>67916</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1303833</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1303833</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1303833</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341</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2000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2341</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2341</v>
      </c>
      <c r="D3567" s="2" t="str">
        <f t="shared" si="54"/>
        <v>Error?</v>
      </c>
    </row>
    <row r="3568" spans="1:4" x14ac:dyDescent="0.2">
      <c r="A3568" s="5">
        <v>3507</v>
      </c>
      <c r="B3568" s="1832">
        <f>'Assets-Liab 5-6'!K41</f>
        <v>2341</v>
      </c>
      <c r="C3568" s="2" t="s">
        <v>569</v>
      </c>
      <c r="D3568" s="2" t="str">
        <f t="shared" si="54"/>
        <v>Error?</v>
      </c>
    </row>
    <row r="3569" spans="1:4" x14ac:dyDescent="0.2">
      <c r="A3569" s="5">
        <v>3508</v>
      </c>
      <c r="B3569" s="1832">
        <f>'Acct Summary 7-8'!K4</f>
        <v>795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795</v>
      </c>
      <c r="C3571" s="2" t="s">
        <v>569</v>
      </c>
      <c r="D3571" s="2" t="str">
        <f t="shared" si="54"/>
        <v>Error?</v>
      </c>
    </row>
    <row r="3572" spans="1:4" x14ac:dyDescent="0.2">
      <c r="A3572" s="5">
        <v>3511</v>
      </c>
      <c r="B3572" s="1832">
        <f>'Acct Summary 7-8'!K13</f>
        <v>3404</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3404</v>
      </c>
      <c r="C3575" s="2" t="s">
        <v>569</v>
      </c>
      <c r="D3575" s="2" t="str">
        <f t="shared" si="54"/>
        <v>Error?</v>
      </c>
    </row>
    <row r="3576" spans="1:4" x14ac:dyDescent="0.2">
      <c r="A3576" s="5">
        <v>3515</v>
      </c>
      <c r="B3576" s="1832">
        <f>'Acct Summary 7-8'!K20</f>
        <v>-2609</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-2609</v>
      </c>
      <c r="C3588" s="2" t="s">
        <v>569</v>
      </c>
      <c r="D3588" s="2" t="str">
        <f t="shared" si="55"/>
        <v>Error?</v>
      </c>
    </row>
    <row r="3589" spans="1:4" x14ac:dyDescent="0.2">
      <c r="A3589" s="5">
        <v>3528</v>
      </c>
      <c r="B3589" s="1832">
        <f>'Acct Summary 7-8'!K79</f>
        <v>4950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2341</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3404</v>
      </c>
      <c r="D3632" s="2" t="str">
        <f t="shared" si="55"/>
        <v>Error?</v>
      </c>
    </row>
    <row r="3633" spans="1:4" x14ac:dyDescent="0.2">
      <c r="A3633" s="5">
        <v>3572</v>
      </c>
      <c r="B3633" s="1832">
        <f>'Expenditures 15-22'!E350</f>
        <v>3404</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3404</v>
      </c>
      <c r="C3635" s="2" t="s">
        <v>569</v>
      </c>
      <c r="D3635" s="2" t="str">
        <f t="shared" si="55"/>
        <v>Error?</v>
      </c>
    </row>
    <row r="3636" spans="1:4" x14ac:dyDescent="0.2">
      <c r="A3636" s="5">
        <v>3575</v>
      </c>
      <c r="B3636" s="1832">
        <f>'Expenditures 15-22'!E367</f>
        <v>3404</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3404</v>
      </c>
      <c r="C3669" s="2" t="s">
        <v>569</v>
      </c>
      <c r="D3669" s="2" t="str">
        <f t="shared" si="56"/>
        <v>Error?</v>
      </c>
    </row>
    <row r="3670" spans="1:4" x14ac:dyDescent="0.2">
      <c r="A3670" s="5">
        <v>3609</v>
      </c>
      <c r="B3670" s="1832">
        <f>'Expenditures 15-22'!K350</f>
        <v>3404</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3404</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3404</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-2609</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63424</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1495416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4954127</v>
      </c>
      <c r="C4122" s="2" t="s">
        <v>569</v>
      </c>
      <c r="D4122" s="2" t="str">
        <f t="shared" si="63"/>
        <v>Error?</v>
      </c>
    </row>
    <row r="4123" spans="1:4" x14ac:dyDescent="0.2">
      <c r="A4123" s="5">
        <v>4062</v>
      </c>
      <c r="B4123" s="1832">
        <f>'Acct Summary 7-8'!D10</f>
        <v>561396</v>
      </c>
      <c r="C4123" s="2" t="s">
        <v>569</v>
      </c>
      <c r="D4123" s="2" t="str">
        <f t="shared" si="63"/>
        <v>Error?</v>
      </c>
    </row>
    <row r="4124" spans="1:4" x14ac:dyDescent="0.2">
      <c r="A4124" s="5">
        <v>4063</v>
      </c>
      <c r="B4124" s="1832">
        <f>'Acct Summary 7-8'!E10</f>
        <v>549370</v>
      </c>
      <c r="C4124" s="2" t="s">
        <v>569</v>
      </c>
      <c r="D4124" s="2" t="str">
        <f t="shared" si="63"/>
        <v>Error?</v>
      </c>
    </row>
    <row r="4125" spans="1:4" x14ac:dyDescent="0.2">
      <c r="A4125" s="5">
        <v>4064</v>
      </c>
      <c r="B4125" s="1832">
        <f>'Acct Summary 7-8'!F10</f>
        <v>231880</v>
      </c>
      <c r="C4125" s="2" t="s">
        <v>569</v>
      </c>
      <c r="D4125" s="2" t="str">
        <f t="shared" si="63"/>
        <v>Error?</v>
      </c>
    </row>
    <row r="4126" spans="1:4" x14ac:dyDescent="0.2">
      <c r="A4126" s="5">
        <v>4065</v>
      </c>
      <c r="B4126" s="1832">
        <f>'Acct Summary 7-8'!G10</f>
        <v>108381</v>
      </c>
      <c r="C4126" s="2" t="s">
        <v>569</v>
      </c>
      <c r="D4126" s="2" t="str">
        <f t="shared" si="63"/>
        <v>Error?</v>
      </c>
    </row>
    <row r="4127" spans="1:4" x14ac:dyDescent="0.2">
      <c r="A4127" s="5">
        <v>4066</v>
      </c>
      <c r="B4127" s="1832">
        <f>'Acct Summary 7-8'!H10</f>
        <v>220283</v>
      </c>
      <c r="C4127" s="2" t="s">
        <v>569</v>
      </c>
      <c r="D4127" s="2" t="str">
        <f t="shared" si="63"/>
        <v>Error?</v>
      </c>
    </row>
    <row r="4128" spans="1:4" x14ac:dyDescent="0.2">
      <c r="A4128" s="5">
        <v>4067</v>
      </c>
      <c r="B4128" s="1832">
        <f>'Acct Summary 7-8'!I10</f>
        <v>793</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795</v>
      </c>
      <c r="C4130" s="2" t="s">
        <v>569</v>
      </c>
      <c r="D4130" s="2" t="str">
        <f t="shared" si="63"/>
        <v>Error?</v>
      </c>
    </row>
    <row r="4131" spans="1:4" x14ac:dyDescent="0.2">
      <c r="A4131" s="5">
        <v>4070</v>
      </c>
      <c r="B4131" s="1832">
        <f>'Acct Summary 7-8'!C18</f>
        <v>1495416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4762342</v>
      </c>
      <c r="C4136" s="2" t="s">
        <v>569</v>
      </c>
      <c r="D4136" s="2" t="str">
        <f t="shared" si="63"/>
        <v>Error?</v>
      </c>
    </row>
    <row r="4137" spans="1:4" x14ac:dyDescent="0.2">
      <c r="A4137" s="5">
        <v>4076</v>
      </c>
      <c r="B4137" s="1832">
        <f>'Acct Summary 7-8'!D19</f>
        <v>437870</v>
      </c>
      <c r="C4137" s="2" t="s">
        <v>569</v>
      </c>
      <c r="D4137" s="2" t="str">
        <f t="shared" si="63"/>
        <v>Error?</v>
      </c>
    </row>
    <row r="4138" spans="1:4" x14ac:dyDescent="0.2">
      <c r="A4138" s="5">
        <v>4077</v>
      </c>
      <c r="B4138" s="1832">
        <f>'Acct Summary 7-8'!E19</f>
        <v>547463</v>
      </c>
      <c r="C4138" s="2" t="s">
        <v>569</v>
      </c>
      <c r="D4138" s="2" t="str">
        <f t="shared" si="63"/>
        <v>Error?</v>
      </c>
    </row>
    <row r="4139" spans="1:4" x14ac:dyDescent="0.2">
      <c r="A4139" s="5">
        <v>4078</v>
      </c>
      <c r="B4139" s="1832">
        <f>'Acct Summary 7-8'!F19</f>
        <v>240577</v>
      </c>
      <c r="C4139" s="2" t="s">
        <v>569</v>
      </c>
      <c r="D4139" s="2" t="str">
        <f t="shared" si="63"/>
        <v>Error?</v>
      </c>
    </row>
    <row r="4140" spans="1:4" x14ac:dyDescent="0.2">
      <c r="A4140" s="5">
        <v>4079</v>
      </c>
      <c r="B4140" s="1832">
        <f>'Acct Summary 7-8'!G19</f>
        <v>106345</v>
      </c>
      <c r="C4140" s="2" t="s">
        <v>569</v>
      </c>
      <c r="D4140" s="2" t="str">
        <f t="shared" si="63"/>
        <v>Error?</v>
      </c>
    </row>
    <row r="4141" spans="1:4" x14ac:dyDescent="0.2">
      <c r="A4141" s="5">
        <v>4080</v>
      </c>
      <c r="B4141" s="1832">
        <f>'Acct Summary 7-8'!H19</f>
        <v>1497237</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3404</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8575700</v>
      </c>
      <c r="C4171" s="2" t="s">
        <v>569</v>
      </c>
      <c r="D4171" s="2" t="str">
        <f t="shared" si="64"/>
        <v>Error?</v>
      </c>
    </row>
    <row r="4172" spans="1:4" x14ac:dyDescent="0.2">
      <c r="A4172" s="5">
        <v>4111</v>
      </c>
      <c r="B4172" s="1832">
        <f>'Short-Term Long-Term Debt 24'!J49</f>
        <v>8573783</v>
      </c>
      <c r="C4172" s="2" t="s">
        <v>569</v>
      </c>
      <c r="D4172" s="2" t="str">
        <f t="shared" si="64"/>
        <v>Error?</v>
      </c>
    </row>
    <row r="4173" spans="1:4" x14ac:dyDescent="0.2">
      <c r="A4173" s="5">
        <v>4112</v>
      </c>
      <c r="B4173" s="1832">
        <f>'Short-Term Long-Term Debt 24'!H49</f>
        <v>275100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-915000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2313.1</v>
      </c>
      <c r="C4265" s="2" t="s">
        <v>569</v>
      </c>
      <c r="D4265" s="2" t="str">
        <f t="shared" si="65"/>
        <v>Error?</v>
      </c>
      <c r="E4265" s="125"/>
    </row>
    <row r="4266" spans="1:5" x14ac:dyDescent="0.2">
      <c r="A4266" s="12">
        <v>4205</v>
      </c>
      <c r="B4266" s="1832">
        <f>('FP Info 3'!F10)*100000</f>
        <v>349.2</v>
      </c>
      <c r="C4266" s="2" t="s">
        <v>569</v>
      </c>
      <c r="D4266" s="2" t="str">
        <f t="shared" si="65"/>
        <v>Error?</v>
      </c>
      <c r="E4266" s="125"/>
    </row>
    <row r="4267" spans="1:5" x14ac:dyDescent="0.2">
      <c r="A4267" s="12">
        <v>4206</v>
      </c>
      <c r="B4267" s="1832">
        <f>('FP Info 3'!H10)*100000</f>
        <v>108.3</v>
      </c>
      <c r="C4267" s="2" t="s">
        <v>569</v>
      </c>
      <c r="D4267" s="2" t="str">
        <f t="shared" si="65"/>
        <v>Error?</v>
      </c>
      <c r="E4267" s="125"/>
    </row>
    <row r="4268" spans="1:5" x14ac:dyDescent="0.2">
      <c r="A4268" s="12">
        <v>4207</v>
      </c>
      <c r="B4268" s="1832">
        <f>('FP Info 3'!J10)*100000</f>
        <v>2771</v>
      </c>
      <c r="C4268" s="2" t="s">
        <v>569</v>
      </c>
      <c r="D4268" s="2" t="str">
        <f t="shared" si="65"/>
        <v>Error?</v>
      </c>
    </row>
    <row r="4269" spans="1:5" x14ac:dyDescent="0.2">
      <c r="A4269" s="12">
        <v>4208</v>
      </c>
      <c r="B4269" s="1832">
        <f>'FP Info 3'!J16</f>
        <v>2900469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5508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10127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5097</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1100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10232</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1</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57789</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83026524</v>
      </c>
      <c r="D4995" s="2" t="str">
        <f t="shared" si="77"/>
        <v>Error?</v>
      </c>
    </row>
    <row r="4996" spans="1:4" x14ac:dyDescent="0.2">
      <c r="A4996" s="12">
        <v>4935</v>
      </c>
      <c r="B4996" s="1832">
        <f>'FP Info 3'!H31</f>
        <v>5728830.1560000004</v>
      </c>
      <c r="D4996" s="2" t="str">
        <f t="shared" si="77"/>
        <v>Error?</v>
      </c>
    </row>
    <row r="4997" spans="1:4" x14ac:dyDescent="0.2">
      <c r="A4997" s="12">
        <v>4936</v>
      </c>
      <c r="B4997" s="1832">
        <f>'FP Info 3'!H37</f>
        <v>8575700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1844994</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1844994</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9105</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9105</v>
      </c>
      <c r="C5071" s="2" t="s">
        <v>569</v>
      </c>
      <c r="D5071" s="2" t="str">
        <f t="shared" si="78"/>
        <v>Error?</v>
      </c>
    </row>
    <row r="5072" spans="1:4" x14ac:dyDescent="0.2">
      <c r="A5072" s="5">
        <v>5011</v>
      </c>
      <c r="B5072" s="1832">
        <f>'Revenues 9-14'!C20</f>
        <v>9758</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9758</v>
      </c>
      <c r="C5087" s="2" t="s">
        <v>569</v>
      </c>
      <c r="D5087" s="2" t="str">
        <f t="shared" si="78"/>
        <v>Error?</v>
      </c>
    </row>
    <row r="5088" spans="1:4" x14ac:dyDescent="0.2">
      <c r="A5088" s="5">
        <v>5027</v>
      </c>
      <c r="B5088" s="1832">
        <f>'Revenues 9-14'!C65</f>
        <v>55465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55465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3309</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1440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50187</v>
      </c>
      <c r="C5096" s="2" t="s">
        <v>569</v>
      </c>
      <c r="D5096" s="2" t="str">
        <f t="shared" si="78"/>
        <v>Error?</v>
      </c>
    </row>
    <row r="5097" spans="1:4" x14ac:dyDescent="0.2">
      <c r="A5097" s="5">
        <v>5036</v>
      </c>
      <c r="B5097" s="1832">
        <f>'Revenues 9-14'!C77</f>
        <v>8020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8558</v>
      </c>
      <c r="D5099" s="2" t="str">
        <f t="shared" si="78"/>
        <v>Error?</v>
      </c>
    </row>
    <row r="5100" spans="1:4" x14ac:dyDescent="0.2">
      <c r="A5100" s="5">
        <v>5039</v>
      </c>
      <c r="B5100" s="1832">
        <f>'Revenues 9-14'!C80</f>
        <v>551</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17129</v>
      </c>
      <c r="C5102" s="2" t="s">
        <v>569</v>
      </c>
      <c r="D5102" s="2" t="str">
        <f t="shared" si="78"/>
        <v>Error?</v>
      </c>
    </row>
    <row r="5103" spans="1:4" x14ac:dyDescent="0.2">
      <c r="A5103" s="5">
        <v>5042</v>
      </c>
      <c r="B5103" s="1832">
        <f>'Revenues 9-14'!C84</f>
        <v>33026</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76</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33102</v>
      </c>
      <c r="C5112" s="2" t="s">
        <v>569</v>
      </c>
      <c r="D5112" s="2" t="str">
        <f t="shared" si="78"/>
        <v>Error?</v>
      </c>
    </row>
    <row r="5113" spans="1:4" x14ac:dyDescent="0.2">
      <c r="A5113" s="5">
        <v>5052</v>
      </c>
      <c r="B5113" s="1832">
        <f>'Revenues 9-14'!C95</f>
        <v>9000</v>
      </c>
      <c r="D5113" s="2" t="str">
        <f t="shared" si="78"/>
        <v>Error?</v>
      </c>
    </row>
    <row r="5114" spans="1:4" x14ac:dyDescent="0.2">
      <c r="A5114" s="5">
        <v>5053</v>
      </c>
      <c r="B5114" s="1832">
        <f>'Revenues 9-14'!C96</f>
        <v>20659</v>
      </c>
      <c r="D5114" s="2" t="str">
        <f t="shared" si="78"/>
        <v>Error?</v>
      </c>
    </row>
    <row r="5115" spans="1:4" x14ac:dyDescent="0.2">
      <c r="A5115" s="5">
        <v>5054</v>
      </c>
      <c r="B5115" s="1832">
        <f>'Revenues 9-14'!C98</f>
        <v>1705</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31364</v>
      </c>
      <c r="C5120" s="2" t="s">
        <v>569</v>
      </c>
      <c r="D5120" s="2" t="str">
        <f t="shared" si="79"/>
        <v>Error?</v>
      </c>
    </row>
    <row r="5121" spans="1:4" x14ac:dyDescent="0.2">
      <c r="A5121" s="5">
        <v>5060</v>
      </c>
      <c r="B5121" s="1832">
        <f>'Revenues 9-14'!C109</f>
        <v>2051104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1104502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1104502</v>
      </c>
      <c r="C5132" s="2" t="s">
        <v>569</v>
      </c>
      <c r="D5132" s="2" t="str">
        <f t="shared" si="79"/>
        <v>Error?</v>
      </c>
    </row>
    <row r="5133" spans="1:4" x14ac:dyDescent="0.2">
      <c r="A5133" s="5">
        <v>5072</v>
      </c>
      <c r="B5133" s="1832">
        <f>'Revenues 9-14'!C125</f>
        <v>12474</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19129</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31603</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533</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32136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1136638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57789</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42388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26626</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69014</v>
      </c>
      <c r="C5246" s="2" t="s">
        <v>569</v>
      </c>
      <c r="D5246" s="2" t="str">
        <f t="shared" si="80"/>
        <v>Error?</v>
      </c>
    </row>
    <row r="5247" spans="1:4" x14ac:dyDescent="0.2">
      <c r="A5247" s="5">
        <v>5186</v>
      </c>
      <c r="B5247" s="1832">
        <f>'Revenues 9-14'!C200</f>
        <v>44853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5097</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44853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745</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66504</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67249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213180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270969</v>
      </c>
      <c r="C5326" s="2" t="s">
        <v>569</v>
      </c>
      <c r="D5326" s="2" t="str">
        <f t="shared" si="82"/>
        <v>Error?</v>
      </c>
    </row>
    <row r="5327" spans="1:5" x14ac:dyDescent="0.2">
      <c r="A5327" s="5">
        <v>5266</v>
      </c>
      <c r="B5327" s="1832">
        <f>'Revenues 9-14'!C268</f>
        <v>3458711</v>
      </c>
      <c r="C5327" s="2" t="s">
        <v>569</v>
      </c>
      <c r="D5327" s="2" t="str">
        <f t="shared" si="82"/>
        <v>Error?</v>
      </c>
    </row>
    <row r="5328" spans="1:5" x14ac:dyDescent="0.2">
      <c r="A5328" s="5">
        <v>5267</v>
      </c>
      <c r="B5328" s="1832">
        <f>'Revenues 9-14'!D5</f>
        <v>279527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279527</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450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450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5576</v>
      </c>
      <c r="D5349" s="2" t="str">
        <f t="shared" si="82"/>
        <v>Error?</v>
      </c>
    </row>
    <row r="5350" spans="1:4" x14ac:dyDescent="0.2">
      <c r="A5350" s="5">
        <v>5289</v>
      </c>
      <c r="B5350" s="1832">
        <f>'Revenues 9-14'!D96</f>
        <v>13</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830</v>
      </c>
      <c r="D5354" s="2" t="str">
        <f t="shared" si="82"/>
        <v>Error?</v>
      </c>
    </row>
    <row r="5355" spans="1:4" x14ac:dyDescent="0.2">
      <c r="A5355" s="5">
        <v>5294</v>
      </c>
      <c r="B5355" s="1832">
        <f>'Revenues 9-14'!D108</f>
        <v>6419</v>
      </c>
      <c r="C5355" s="2" t="s">
        <v>569</v>
      </c>
      <c r="D5355" s="2" t="str">
        <f t="shared" si="82"/>
        <v>Error?</v>
      </c>
    </row>
    <row r="5356" spans="1:4" x14ac:dyDescent="0.2">
      <c r="A5356" s="5">
        <v>5295</v>
      </c>
      <c r="B5356" s="1832">
        <f>'Revenues 9-14'!D109</f>
        <v>286396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275000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275000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275000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561396</v>
      </c>
      <c r="C5508" s="2" t="s">
        <v>569</v>
      </c>
      <c r="D5508" s="2" t="str">
        <f t="shared" si="85"/>
        <v>Error?</v>
      </c>
    </row>
    <row r="5509" spans="1:4" x14ac:dyDescent="0.2">
      <c r="A5509" s="5">
        <v>5448</v>
      </c>
      <c r="B5509" s="1832">
        <f>'Revenues 9-14'!E5</f>
        <v>543494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543494</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876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876</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544370</v>
      </c>
      <c r="C5527" s="2" t="s">
        <v>569</v>
      </c>
      <c r="D5527" s="2" t="str">
        <f t="shared" si="85"/>
        <v>Error?</v>
      </c>
    </row>
    <row r="5528" spans="1:4" x14ac:dyDescent="0.2">
      <c r="A5528" s="5">
        <v>5467</v>
      </c>
      <c r="B5528" s="1832">
        <f>'Revenues 9-14'!E117</f>
        <v>5000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5000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5000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549370</v>
      </c>
      <c r="C5552" s="2" t="s">
        <v>569</v>
      </c>
      <c r="D5552" s="2" t="str">
        <f t="shared" si="85"/>
        <v>Error?</v>
      </c>
    </row>
    <row r="5553" spans="1:4" x14ac:dyDescent="0.2">
      <c r="A5553" s="5">
        <v>5492</v>
      </c>
      <c r="B5553" s="1832">
        <f>'Revenues 9-14'!F5</f>
        <v>89392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89392</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144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144</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110</v>
      </c>
      <c r="D5586" s="2" t="str">
        <f t="shared" si="86"/>
        <v>Error?</v>
      </c>
    </row>
    <row r="5587" spans="1:4" x14ac:dyDescent="0.2">
      <c r="A5587" s="5">
        <v>5526</v>
      </c>
      <c r="B5587" s="1832">
        <f>'Revenues 9-14'!F108</f>
        <v>110</v>
      </c>
      <c r="C5587" s="2" t="s">
        <v>569</v>
      </c>
      <c r="D5587" s="2" t="str">
        <f t="shared" si="86"/>
        <v>Error?</v>
      </c>
    </row>
    <row r="5588" spans="1:4" x14ac:dyDescent="0.2">
      <c r="A5588" s="5">
        <v>5527</v>
      </c>
      <c r="B5588" s="1832">
        <f>'Revenues 9-14'!F109</f>
        <v>89646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108537</v>
      </c>
      <c r="D5615" s="2" t="str">
        <f t="shared" si="86"/>
        <v>Error?</v>
      </c>
    </row>
    <row r="5616" spans="1:4" x14ac:dyDescent="0.2">
      <c r="A5616" s="10">
        <v>5555</v>
      </c>
      <c r="B5616" s="1832"/>
      <c r="D5616" s="2" t="str">
        <f t="shared" si="86"/>
        <v>OK</v>
      </c>
    </row>
    <row r="5617" spans="1:5" x14ac:dyDescent="0.2">
      <c r="A5617" s="5">
        <v>5556</v>
      </c>
      <c r="B5617" s="1832">
        <f>'Revenues 9-14'!F153</f>
        <v>33697</v>
      </c>
      <c r="D5617" s="2" t="str">
        <f t="shared" si="86"/>
        <v>Error?</v>
      </c>
    </row>
    <row r="5618" spans="1:5" x14ac:dyDescent="0.2">
      <c r="A5618" s="5">
        <v>5557</v>
      </c>
      <c r="B5618" s="1832">
        <f>'Revenues 9-14'!F155</f>
        <v>142234</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142234</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142234</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231880</v>
      </c>
      <c r="C5720" s="2" t="s">
        <v>569</v>
      </c>
      <c r="D5720" s="2" t="str">
        <f t="shared" si="88"/>
        <v>Error?</v>
      </c>
    </row>
    <row r="5721" spans="1:4" x14ac:dyDescent="0.2">
      <c r="A5721" s="5">
        <v>5660</v>
      </c>
      <c r="B5721" s="1832">
        <f>'Revenues 9-14'!G5</f>
        <v>40726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67480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108206</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175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175</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108381</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92904</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92904</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77379</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220283</v>
      </c>
      <c r="C5915" s="2" t="s">
        <v>569</v>
      </c>
      <c r="D5915" s="2" t="str">
        <f t="shared" si="91"/>
        <v>Error?</v>
      </c>
    </row>
    <row r="5916" spans="1:4" x14ac:dyDescent="0.2">
      <c r="A5916" s="5">
        <v>5855</v>
      </c>
      <c r="B5916" s="1832">
        <f>'Revenues 9-14'!I5</f>
        <v>793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793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793</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794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794</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795</v>
      </c>
      <c r="C6023" s="2" t="s">
        <v>569</v>
      </c>
      <c r="D6023" s="2" t="str">
        <f t="shared" si="93"/>
        <v>Error?</v>
      </c>
    </row>
    <row r="6024" spans="1:5" x14ac:dyDescent="0.2">
      <c r="A6024" s="5">
        <v>5963</v>
      </c>
      <c r="B6024" s="1832">
        <f>'Revenues 9-14'!G109</f>
        <v>108381</v>
      </c>
      <c r="C6024" s="2" t="s">
        <v>569</v>
      </c>
      <c r="D6024" s="2" t="str">
        <f t="shared" si="93"/>
        <v>Error?</v>
      </c>
    </row>
    <row r="6025" spans="1:5" x14ac:dyDescent="0.2">
      <c r="A6025" s="5">
        <v>5964</v>
      </c>
      <c r="B6025" s="1832">
        <f>'Revenues 9-14'!H109</f>
        <v>170283</v>
      </c>
      <c r="C6025" s="2" t="s">
        <v>569</v>
      </c>
      <c r="D6025" s="2" t="str">
        <f t="shared" si="93"/>
        <v>Error?</v>
      </c>
    </row>
    <row r="6026" spans="1:5" x14ac:dyDescent="0.2">
      <c r="A6026" s="5">
        <v>5965</v>
      </c>
      <c r="B6026" s="1832">
        <f>'Revenues 9-14'!I109</f>
        <v>793</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795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45438</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390.9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26453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-47</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26453</v>
      </c>
      <c r="D6215" s="2" t="str">
        <f t="shared" si="96"/>
        <v>Error?</v>
      </c>
      <c r="E6215" s="2" t="s">
        <v>189</v>
      </c>
    </row>
    <row r="6216" spans="1:5" x14ac:dyDescent="0.2">
      <c r="A6216">
        <v>6155</v>
      </c>
      <c r="B6216" s="1832">
        <f>'Assets-Liab 5-6'!J41</f>
        <v>26453</v>
      </c>
      <c r="D6216" s="2" t="str">
        <f t="shared" si="96"/>
        <v>Error?</v>
      </c>
      <c r="E6216" s="2" t="s">
        <v>189</v>
      </c>
    </row>
    <row r="6217" spans="1:5" x14ac:dyDescent="0.2">
      <c r="A6217">
        <v>6156</v>
      </c>
      <c r="B6217" s="1832">
        <f>'Assets-Liab 5-6'!J4</f>
        <v>387</v>
      </c>
      <c r="D6217" s="2" t="str">
        <f t="shared" si="96"/>
        <v>Error?</v>
      </c>
      <c r="E6217" s="2" t="s">
        <v>189</v>
      </c>
    </row>
    <row r="6218" spans="1:5" x14ac:dyDescent="0.2">
      <c r="A6218">
        <v>6157</v>
      </c>
      <c r="B6218" s="1832">
        <f>'Assets-Liab 5-6'!J5</f>
        <v>26066</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4930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4930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4930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3934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3934</v>
      </c>
      <c r="D6229" s="2" t="str">
        <f t="shared" si="96"/>
        <v>Error?</v>
      </c>
      <c r="E6229" s="2" t="s">
        <v>189</v>
      </c>
    </row>
    <row r="6230" spans="1:5" x14ac:dyDescent="0.2">
      <c r="A6230">
        <v>6169</v>
      </c>
      <c r="B6230" s="1832">
        <f>'Acct Summary 7-8'!J20</f>
        <v>996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996</v>
      </c>
      <c r="D6263" s="2" t="str">
        <f t="shared" si="96"/>
        <v>Error?</v>
      </c>
      <c r="E6263" s="2" t="s">
        <v>189</v>
      </c>
    </row>
    <row r="6264" spans="1:5" x14ac:dyDescent="0.2">
      <c r="A6264">
        <v>6203</v>
      </c>
      <c r="B6264" s="1832">
        <f>'Acct Summary 7-8'!J79</f>
        <v>25457</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26453</v>
      </c>
      <c r="D6266" s="2" t="str">
        <f t="shared" si="96"/>
        <v>Error?</v>
      </c>
      <c r="E6266" s="2" t="s">
        <v>189</v>
      </c>
    </row>
    <row r="6267" spans="1:5" x14ac:dyDescent="0.2">
      <c r="A6267">
        <v>6206</v>
      </c>
      <c r="B6267" s="1832">
        <f>'Acct Summary 7-8'!C82</f>
        <v>191785</v>
      </c>
      <c r="D6267" s="2" t="str">
        <f t="shared" si="96"/>
        <v>Error?</v>
      </c>
      <c r="E6267" s="2" t="s">
        <v>189</v>
      </c>
    </row>
    <row r="6268" spans="1:5" x14ac:dyDescent="0.2">
      <c r="A6268">
        <v>6207</v>
      </c>
      <c r="B6268" s="1832">
        <f>'Acct Summary 7-8'!D82</f>
        <v>123526</v>
      </c>
      <c r="D6268" s="2" t="str">
        <f t="shared" si="96"/>
        <v>Error?</v>
      </c>
      <c r="E6268" s="2" t="s">
        <v>189</v>
      </c>
    </row>
    <row r="6269" spans="1:5" x14ac:dyDescent="0.2">
      <c r="A6269">
        <v>6208</v>
      </c>
      <c r="B6269" s="1832">
        <f>'Acct Summary 7-8'!E82</f>
        <v>1907</v>
      </c>
      <c r="D6269" s="2" t="str">
        <f t="shared" si="96"/>
        <v>Error?</v>
      </c>
      <c r="E6269" s="2" t="s">
        <v>189</v>
      </c>
    </row>
    <row r="6270" spans="1:5" x14ac:dyDescent="0.2">
      <c r="A6270">
        <v>6209</v>
      </c>
      <c r="B6270" s="1832">
        <f>'Acct Summary 7-8'!F82</f>
        <v>-8697</v>
      </c>
      <c r="D6270" s="2" t="str">
        <f t="shared" si="96"/>
        <v>Error?</v>
      </c>
      <c r="E6270" s="2" t="s">
        <v>189</v>
      </c>
    </row>
    <row r="6271" spans="1:5" x14ac:dyDescent="0.2">
      <c r="A6271">
        <v>6210</v>
      </c>
      <c r="B6271" s="1832">
        <f>'Acct Summary 7-8'!G82</f>
        <v>2036</v>
      </c>
      <c r="D6271" s="2" t="str">
        <f t="shared" ref="D6271:D6334" si="97">IF(ISBLANK(B6271),"OK",IF(A6271-B6271=0,"OK","Error?"))</f>
        <v>Error?</v>
      </c>
      <c r="E6271" s="2" t="s">
        <v>189</v>
      </c>
    </row>
    <row r="6272" spans="1:5" x14ac:dyDescent="0.2">
      <c r="A6272">
        <v>6211</v>
      </c>
      <c r="B6272" s="1832">
        <f>'Acct Summary 7-8'!H82</f>
        <v>6360761</v>
      </c>
      <c r="D6272" s="2" t="str">
        <f t="shared" si="97"/>
        <v>Error?</v>
      </c>
      <c r="E6272" s="2" t="s">
        <v>189</v>
      </c>
    </row>
    <row r="6273" spans="1:5" x14ac:dyDescent="0.2">
      <c r="A6273">
        <v>6212</v>
      </c>
      <c r="B6273" s="1832">
        <f>'Acct Summary 7-8'!I82</f>
        <v>793</v>
      </c>
      <c r="D6273" s="2" t="str">
        <f t="shared" si="97"/>
        <v>Error?</v>
      </c>
      <c r="E6273" s="2" t="s">
        <v>189</v>
      </c>
    </row>
    <row r="6274" spans="1:5" x14ac:dyDescent="0.2">
      <c r="A6274">
        <v>6213</v>
      </c>
      <c r="B6274" s="1832">
        <f>'Acct Summary 7-8'!J82</f>
        <v>996</v>
      </c>
      <c r="D6274" s="2" t="str">
        <f t="shared" si="97"/>
        <v>Error?</v>
      </c>
      <c r="E6274" s="2" t="s">
        <v>189</v>
      </c>
    </row>
    <row r="6275" spans="1:5" x14ac:dyDescent="0.2">
      <c r="A6275">
        <v>6214</v>
      </c>
      <c r="B6275" s="1832">
        <f>'Acct Summary 7-8'!K82</f>
        <v>-2609</v>
      </c>
      <c r="D6275" s="2" t="str">
        <f t="shared" si="97"/>
        <v>Error?</v>
      </c>
      <c r="E6275" s="2" t="s">
        <v>189</v>
      </c>
    </row>
    <row r="6276" spans="1:5" x14ac:dyDescent="0.2">
      <c r="A6276">
        <v>6215</v>
      </c>
      <c r="B6276" s="1832">
        <f>'Acct Summary 7-8'!C83</f>
        <v>7.8105782560603909E-2</v>
      </c>
      <c r="D6276" s="2" t="str">
        <f t="shared" si="97"/>
        <v>Error?</v>
      </c>
      <c r="E6276" s="2" t="s">
        <v>189</v>
      </c>
    </row>
    <row r="6277" spans="1:5" x14ac:dyDescent="0.2">
      <c r="A6277">
        <v>6216</v>
      </c>
      <c r="B6277" s="1832">
        <f>'Acct Summary 7-8'!D83</f>
        <v>0.45601574122954358</v>
      </c>
      <c r="D6277" s="2" t="str">
        <f t="shared" si="97"/>
        <v>Error?</v>
      </c>
      <c r="E6277" s="2" t="s">
        <v>189</v>
      </c>
    </row>
    <row r="6278" spans="1:5" x14ac:dyDescent="0.2">
      <c r="A6278">
        <v>6217</v>
      </c>
      <c r="B6278" s="1832">
        <f>'Acct Summary 7-8'!E83</f>
        <v>0.99478351591027647</v>
      </c>
      <c r="D6278" s="2" t="str">
        <f t="shared" si="97"/>
        <v>Error?</v>
      </c>
      <c r="E6278" s="2" t="s">
        <v>189</v>
      </c>
    </row>
    <row r="6279" spans="1:5" x14ac:dyDescent="0.2">
      <c r="A6279">
        <v>6218</v>
      </c>
      <c r="B6279" s="1832">
        <f>'Acct Summary 7-8'!F83</f>
        <v>-6.7066634792600069E-2</v>
      </c>
      <c r="D6279" s="2" t="str">
        <f t="shared" si="97"/>
        <v>Error?</v>
      </c>
      <c r="E6279" s="2" t="s">
        <v>189</v>
      </c>
    </row>
    <row r="6280" spans="1:5" x14ac:dyDescent="0.2">
      <c r="A6280">
        <v>6219</v>
      </c>
      <c r="B6280" s="1832">
        <f>'Acct Summary 7-8'!G83</f>
        <v>4.776875791844587E-2</v>
      </c>
      <c r="D6280" s="2" t="str">
        <f t="shared" si="97"/>
        <v>Error?</v>
      </c>
      <c r="E6280" s="2" t="s">
        <v>189</v>
      </c>
    </row>
    <row r="6281" spans="1:5" x14ac:dyDescent="0.2">
      <c r="A6281">
        <v>6220</v>
      </c>
      <c r="B6281" s="1832">
        <f>'Acct Summary 7-8'!H83</f>
        <v>0.96067459682169531</v>
      </c>
      <c r="D6281" s="2" t="str">
        <f t="shared" si="97"/>
        <v>Error?</v>
      </c>
      <c r="E6281" s="2" t="s">
        <v>189</v>
      </c>
    </row>
    <row r="6282" spans="1:5" x14ac:dyDescent="0.2">
      <c r="A6282">
        <v>6221</v>
      </c>
      <c r="B6282" s="1832">
        <f>'Acct Summary 7-8'!I83</f>
        <v>1.7836658494343103E-2</v>
      </c>
      <c r="D6282" s="2" t="str">
        <f t="shared" si="97"/>
        <v>Error?</v>
      </c>
      <c r="E6282" s="2" t="s">
        <v>189</v>
      </c>
    </row>
    <row r="6283" spans="1:5" x14ac:dyDescent="0.2">
      <c r="A6283">
        <v>6222</v>
      </c>
      <c r="B6283" s="1832">
        <f>'Acct Summary 7-8'!J83</f>
        <v>3.7651684119003513E-2</v>
      </c>
      <c r="D6283" s="2" t="str">
        <f t="shared" si="97"/>
        <v>Error?</v>
      </c>
      <c r="E6283" s="2" t="s">
        <v>189</v>
      </c>
    </row>
    <row r="6284" spans="1:5" x14ac:dyDescent="0.2">
      <c r="A6284">
        <v>6223</v>
      </c>
      <c r="B6284" s="1832">
        <f>'Acct Summary 7-8'!K83</f>
        <v>-1.1144809910294746</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4922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4922</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8</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8</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77379</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4930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421</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46192</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24235</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24235</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49929</v>
      </c>
      <c r="D6983" s="2" t="str">
        <f t="shared" si="108"/>
        <v>Error?</v>
      </c>
    </row>
    <row r="6984" spans="1:4" x14ac:dyDescent="0.2">
      <c r="A6984">
        <v>6923</v>
      </c>
      <c r="B6984" s="1832">
        <f>'Expenditures 15-22'!K86</f>
        <v>49929</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49929</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3934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4930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2505</v>
      </c>
      <c r="D7075" s="2" t="str">
        <f t="shared" si="109"/>
        <v>Error?</v>
      </c>
    </row>
    <row r="7076" spans="1:4" x14ac:dyDescent="0.2">
      <c r="A7076">
        <v>7015</v>
      </c>
      <c r="B7076" s="1832">
        <f>'Expenditures 15-22'!K218</f>
        <v>2505</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3934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3934</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3934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3934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3934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3934</v>
      </c>
      <c r="D7224" s="2" t="str">
        <f t="shared" si="111"/>
        <v>Error?</v>
      </c>
    </row>
    <row r="7225" spans="1:4" x14ac:dyDescent="0.2">
      <c r="A7225">
        <v>7164</v>
      </c>
      <c r="B7225" s="1832">
        <f>'Expenditures 15-22'!K343</f>
        <v>996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421</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34792</v>
      </c>
      <c r="D7251" s="2" t="str">
        <f t="shared" si="112"/>
        <v>Error?</v>
      </c>
    </row>
    <row r="7252" spans="1:4" x14ac:dyDescent="0.2">
      <c r="A7252">
        <f t="shared" si="113"/>
        <v>7191</v>
      </c>
      <c r="B7252" s="1832">
        <f>'Expenditures 15-22'!D9</f>
        <v>10686</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714</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313388</v>
      </c>
      <c r="D7606" s="2" t="str">
        <f t="shared" si="122"/>
        <v>Error?</v>
      </c>
      <c r="E7606" s="2" t="s">
        <v>19</v>
      </c>
    </row>
    <row r="7607" spans="1:5" x14ac:dyDescent="0.2">
      <c r="A7607">
        <f t="shared" si="123"/>
        <v>7546</v>
      </c>
      <c r="B7607" s="1832">
        <f>'Cap Outlay Deprec 26'!D9</f>
        <v>259946</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573334</v>
      </c>
      <c r="D7609" s="2" t="str">
        <f t="shared" si="122"/>
        <v>Error?</v>
      </c>
      <c r="E7609" s="2" t="s">
        <v>19</v>
      </c>
    </row>
    <row r="7610" spans="1:5" x14ac:dyDescent="0.2">
      <c r="A7610">
        <f t="shared" si="123"/>
        <v>7549</v>
      </c>
      <c r="B7610" s="1832">
        <f>'Cap Outlay Deprec 26'!H9</f>
        <v>40218</v>
      </c>
      <c r="D7610" s="2" t="str">
        <f t="shared" si="122"/>
        <v>Error?</v>
      </c>
      <c r="E7610" s="2" t="s">
        <v>19</v>
      </c>
    </row>
    <row r="7611" spans="1:5" x14ac:dyDescent="0.2">
      <c r="A7611">
        <f t="shared" si="123"/>
        <v>7550</v>
      </c>
      <c r="B7611" s="1832">
        <f>'Cap Outlay Deprec 26'!I9</f>
        <v>17099</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57317</v>
      </c>
      <c r="D7613" s="2" t="str">
        <f t="shared" si="122"/>
        <v>Error?</v>
      </c>
      <c r="E7613" s="2" t="s">
        <v>19</v>
      </c>
    </row>
    <row r="7614" spans="1:5" x14ac:dyDescent="0.2">
      <c r="A7614">
        <f t="shared" si="123"/>
        <v>7553</v>
      </c>
      <c r="B7614" s="1832">
        <f>'Cap Outlay Deprec 26'!L9</f>
        <v>516017</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236241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11828800</v>
      </c>
      <c r="D7817" s="2" t="str">
        <f t="shared" si="128"/>
        <v>Error?</v>
      </c>
      <c r="E7817" s="4" t="s">
        <v>1966</v>
      </c>
    </row>
    <row r="7818" spans="1:5" x14ac:dyDescent="0.2">
      <c r="A7818">
        <v>7757</v>
      </c>
      <c r="B7818" s="1832">
        <f>'PCTC-OEPP 27-28'!F172</f>
        <v>138393</v>
      </c>
      <c r="D7818" s="2" t="str">
        <f t="shared" si="128"/>
        <v>Error?</v>
      </c>
      <c r="E7818" s="4" t="s">
        <v>1980</v>
      </c>
    </row>
    <row r="7819" spans="1:5" x14ac:dyDescent="0.2">
      <c r="A7819">
        <v>7758</v>
      </c>
      <c r="B7819" s="1832">
        <f>'PCTC-OEPP 27-28'!F173</f>
        <v>6098</v>
      </c>
      <c r="D7819" s="2" t="str">
        <f t="shared" si="128"/>
        <v>Error?</v>
      </c>
      <c r="E7819" s="4" t="s">
        <v>1980</v>
      </c>
    </row>
    <row r="7820" spans="1:5" x14ac:dyDescent="0.2">
      <c r="A7820">
        <v>7759</v>
      </c>
      <c r="B7820" s="1832">
        <f>'ICR Computation 30'!E40</f>
        <v>-96490</v>
      </c>
      <c r="D7820" s="2" t="str">
        <f t="shared" si="128"/>
        <v>Error?</v>
      </c>
    </row>
    <row r="7821" spans="1:5" x14ac:dyDescent="0.2">
      <c r="A7821">
        <v>7760</v>
      </c>
      <c r="B7821" s="1832">
        <f>'ICR Computation 30'!G40</f>
        <v>-96490</v>
      </c>
      <c r="D7821" s="2" t="str">
        <f t="shared" si="128"/>
        <v>Error?</v>
      </c>
    </row>
    <row r="7822" spans="1:5" x14ac:dyDescent="0.2">
      <c r="A7822" s="1">
        <v>7761</v>
      </c>
      <c r="B7822" s="1832">
        <f>'PCTC-OEPP 27-28'!F14</f>
        <v>4603115</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421</v>
      </c>
      <c r="D7826" s="2" t="str">
        <f t="shared" si="129"/>
        <v>Error?</v>
      </c>
      <c r="E7826" s="4" t="s">
        <v>1998</v>
      </c>
    </row>
    <row r="7827" spans="1:5" x14ac:dyDescent="0.2">
      <c r="A7827">
        <v>7766</v>
      </c>
      <c r="B7827" s="1832">
        <f>'PCTC-OEPP 27-28'!F35</f>
        <v>46192</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520653</v>
      </c>
      <c r="D7834" s="2" t="str">
        <f t="shared" si="129"/>
        <v>Error?</v>
      </c>
      <c r="E7834" s="4" t="s">
        <v>1998</v>
      </c>
    </row>
    <row r="7835" spans="1:5" x14ac:dyDescent="0.2">
      <c r="A7835">
        <v>7774</v>
      </c>
      <c r="B7835" s="1832">
        <f>'PCTC-OEPP 27-28'!F78</f>
        <v>4082462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10443.750319774879</v>
      </c>
      <c r="D7837" s="2" t="str">
        <f t="shared" si="129"/>
        <v>Error?</v>
      </c>
      <c r="E7837" s="4" t="s">
        <v>1998</v>
      </c>
    </row>
    <row r="7838" spans="1:5" x14ac:dyDescent="0.2">
      <c r="A7838">
        <v>7777</v>
      </c>
      <c r="B7838" s="1832">
        <f>'PCTC-OEPP 27-28'!F96</f>
        <v>17129</v>
      </c>
      <c r="D7838" s="2" t="str">
        <f t="shared" si="129"/>
        <v>Error?</v>
      </c>
      <c r="E7838" s="4" t="s">
        <v>1998</v>
      </c>
    </row>
    <row r="7839" spans="1:5" x14ac:dyDescent="0.2">
      <c r="A7839">
        <v>7778</v>
      </c>
      <c r="B7839" s="1832">
        <f>'PCTC-OEPP 27-28'!F102</f>
        <v>14576</v>
      </c>
      <c r="D7839" s="2" t="str">
        <f t="shared" si="129"/>
        <v>Error?</v>
      </c>
      <c r="E7839" s="4" t="s">
        <v>1998</v>
      </c>
    </row>
    <row r="7840" spans="1:5" x14ac:dyDescent="0.2">
      <c r="A7840">
        <v>7779</v>
      </c>
      <c r="B7840" s="1832">
        <f>'PCTC-OEPP 27-28'!F103</f>
        <v>1705</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31603</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142234</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57789</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69014</v>
      </c>
      <c r="D7858" s="2" t="str">
        <f t="shared" si="129"/>
        <v>Error?</v>
      </c>
      <c r="E7858" s="4" t="s">
        <v>1998</v>
      </c>
    </row>
    <row r="7859" spans="1:5" x14ac:dyDescent="0.2">
      <c r="A7859">
        <v>7798</v>
      </c>
      <c r="B7859" s="1832">
        <f>'PCTC-OEPP 27-28'!F127</f>
        <v>44853</v>
      </c>
      <c r="D7859" s="2" t="str">
        <f t="shared" si="129"/>
        <v>Error?</v>
      </c>
      <c r="E7859" s="4" t="s">
        <v>1998</v>
      </c>
    </row>
    <row r="7860" spans="1:5" x14ac:dyDescent="0.2">
      <c r="A7860">
        <v>7799</v>
      </c>
      <c r="B7860" s="1832">
        <f>'PCTC-OEPP 27-28'!F128</f>
        <v>5097</v>
      </c>
      <c r="D7860" s="2" t="str">
        <f t="shared" si="129"/>
        <v>Error?</v>
      </c>
      <c r="E7860" s="4" t="s">
        <v>1998</v>
      </c>
    </row>
    <row r="7861" spans="1:5" x14ac:dyDescent="0.2">
      <c r="A7861">
        <v>7800</v>
      </c>
      <c r="B7861" s="1832">
        <f>'PCTC-OEPP 27-28'!F129</f>
        <v>66504</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1100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10232</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5508</v>
      </c>
      <c r="D7874" s="2" t="str">
        <f t="shared" si="129"/>
        <v>Error?</v>
      </c>
      <c r="E7874" s="4" t="s">
        <v>1998</v>
      </c>
    </row>
    <row r="7875" spans="1:5" x14ac:dyDescent="0.2">
      <c r="A7875">
        <v>7814</v>
      </c>
      <c r="B7875" s="1832">
        <f>'PCTC-OEPP 27-28'!F170</f>
        <v>10127</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705784</v>
      </c>
      <c r="D7877" s="2" t="str">
        <f t="shared" si="129"/>
        <v>Error?</v>
      </c>
      <c r="E7877" s="4" t="s">
        <v>1998</v>
      </c>
    </row>
    <row r="7878" spans="1:5" x14ac:dyDescent="0.2">
      <c r="A7878">
        <v>7817</v>
      </c>
      <c r="B7878" s="1832">
        <f>'PCTC-OEPP 27-28'!F176</f>
        <v>3376678</v>
      </c>
      <c r="D7878" s="2" t="str">
        <f t="shared" si="129"/>
        <v>Error?</v>
      </c>
      <c r="E7878" s="4" t="s">
        <v>1998</v>
      </c>
    </row>
    <row r="7879" spans="1:5" x14ac:dyDescent="0.2">
      <c r="A7879">
        <v>7818</v>
      </c>
      <c r="B7879" s="1832">
        <f>'PCTC-OEPP 27-28'!F178</f>
        <v>3612919</v>
      </c>
      <c r="D7879" s="2" t="str">
        <f t="shared" si="129"/>
        <v>Error?</v>
      </c>
      <c r="E7879" s="4" t="s">
        <v>1998</v>
      </c>
    </row>
    <row r="7880" spans="1:5" x14ac:dyDescent="0.2">
      <c r="A7880">
        <v>7819</v>
      </c>
      <c r="B7880" s="1832">
        <f>'PCTC-OEPP 27-28'!F180</f>
        <v>9242.5658736249679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8"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St. George CCSD 258</v>
      </c>
      <c r="B7" s="2517"/>
      <c r="C7" s="2517"/>
      <c r="D7" s="2555"/>
      <c r="E7" s="2556" t="str">
        <f>COVER!A13</f>
        <v>32-046-2580-04</v>
      </c>
      <c r="F7" s="2557"/>
      <c r="G7" s="2523" t="str">
        <f>COVER!T23</f>
        <v>066-005281</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SKDO, P.C.</v>
      </c>
      <c r="H9" s="2530"/>
      <c r="I9" s="2530"/>
      <c r="J9" s="2530"/>
      <c r="K9" s="2530"/>
      <c r="L9" s="2531"/>
    </row>
    <row r="10" spans="1:29" ht="13.5" customHeight="1" x14ac:dyDescent="0.2">
      <c r="A10" s="2513" t="str">
        <f>COVER!A38</f>
        <v>Helen Boehrnsen</v>
      </c>
      <c r="B10" s="2514"/>
      <c r="C10" s="2514"/>
      <c r="D10" s="2514"/>
      <c r="E10" s="2514"/>
      <c r="F10" s="2515"/>
      <c r="G10" s="2529" t="str">
        <f>COVER!T17</f>
        <v>1605 N Convent</v>
      </c>
      <c r="H10" s="2542"/>
      <c r="I10" s="2542"/>
      <c r="J10" s="2542"/>
      <c r="K10" s="2542"/>
      <c r="L10" s="2543"/>
    </row>
    <row r="11" spans="1:29" ht="13.5" customHeight="1" x14ac:dyDescent="0.2">
      <c r="A11" s="963" t="s">
        <v>1502</v>
      </c>
      <c r="B11" s="964"/>
      <c r="C11" s="965"/>
      <c r="D11" s="970"/>
      <c r="E11" s="965"/>
      <c r="F11" s="969"/>
      <c r="G11" s="2529" t="str">
        <f>COVER!T19</f>
        <v>Bourbonnais</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carmenh@skdocpa.com</v>
      </c>
      <c r="J13" s="2551"/>
      <c r="K13" s="2551"/>
      <c r="L13" s="2552"/>
    </row>
    <row r="14" spans="1:29" ht="13.5" customHeight="1" x14ac:dyDescent="0.2">
      <c r="A14" s="2529" t="str">
        <f>COVER!A19</f>
        <v>5200 E Center</v>
      </c>
      <c r="B14" s="2542"/>
      <c r="C14" s="2542"/>
      <c r="D14" s="2542"/>
      <c r="E14" s="2542"/>
      <c r="F14" s="2543"/>
      <c r="G14" s="974" t="s">
        <v>1175</v>
      </c>
      <c r="H14" s="972"/>
      <c r="I14" s="972"/>
      <c r="J14" s="972"/>
      <c r="K14" s="972"/>
      <c r="L14" s="973"/>
    </row>
    <row r="15" spans="1:29" ht="13.5" customHeight="1" x14ac:dyDescent="0.2">
      <c r="A15" s="2529" t="str">
        <f>COVER!A21</f>
        <v>Bourbonnais</v>
      </c>
      <c r="B15" s="2542"/>
      <c r="C15" s="2542"/>
      <c r="D15" s="2542"/>
      <c r="E15" s="2542"/>
      <c r="F15" s="2543"/>
      <c r="G15" s="2539" t="str">
        <f>COVER!T15</f>
        <v>Carmen Huizenga</v>
      </c>
      <c r="H15" s="2540"/>
      <c r="I15" s="2540"/>
      <c r="J15" s="2540"/>
      <c r="K15" s="2540"/>
      <c r="L15" s="2541"/>
    </row>
    <row r="16" spans="1:29" ht="12.2" customHeight="1" x14ac:dyDescent="0.2">
      <c r="A16" s="2519">
        <f>COVER!A25</f>
        <v>60914</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815-937-1997</v>
      </c>
      <c r="H18" s="2517"/>
      <c r="I18" s="2517"/>
      <c r="J18" s="2517"/>
      <c r="K18" s="2516" t="str">
        <f>COVER!X21</f>
        <v>815-935-0360</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St. George CCSD 258</v>
      </c>
      <c r="B1" s="2559"/>
      <c r="C1" s="2559"/>
      <c r="D1" s="2559"/>
    </row>
    <row r="2" spans="1:11" s="991" customFormat="1" ht="12.75" x14ac:dyDescent="0.2">
      <c r="A2" s="2560" t="str">
        <f>'Single Audit Cover'!E7</f>
        <v>32-046-2580-04</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St. George CCSD 258</v>
      </c>
      <c r="B1" s="2563"/>
      <c r="C1" s="2563"/>
      <c r="D1" s="2563"/>
      <c r="E1" s="2563"/>
    </row>
    <row r="2" spans="1:5" x14ac:dyDescent="0.2">
      <c r="A2" s="2564" t="str">
        <f>'Single Audit Cover'!E7</f>
        <v>32-046-2580-04</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270969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-10127</v>
      </c>
    </row>
    <row r="19" spans="1:4" ht="13.5" thickBot="1" x14ac:dyDescent="0.25">
      <c r="A19" s="1041" t="s">
        <v>1224</v>
      </c>
      <c r="D19" s="1042">
        <f>SUM(D10:D17)</f>
        <v>260842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260842</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260842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St. George CCSD 258</v>
      </c>
      <c r="C1" s="2567"/>
      <c r="D1" s="2567"/>
      <c r="E1" s="2567"/>
      <c r="F1" s="2567"/>
      <c r="G1" s="2567"/>
      <c r="H1" s="2567"/>
      <c r="I1" s="2567"/>
      <c r="J1" s="2567"/>
      <c r="K1" s="2567"/>
      <c r="L1" s="2567"/>
      <c r="M1" s="2567"/>
    </row>
    <row r="2" spans="2:14" ht="15" x14ac:dyDescent="0.2">
      <c r="B2" s="2568" t="str">
        <f>'Single Audit Cover'!E7</f>
        <v>32-046-2580-04</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St. George CCSD 258</v>
      </c>
      <c r="B1" s="2572"/>
      <c r="C1" s="2572"/>
      <c r="D1" s="2572"/>
      <c r="E1" s="2572"/>
      <c r="F1" s="2572"/>
    </row>
    <row r="2" spans="1:7" ht="13.5" customHeight="1" x14ac:dyDescent="0.2">
      <c r="A2" s="2568" t="str">
        <f>'Single Audit Cover'!E7</f>
        <v>32-046-2580-04</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1706</v>
      </c>
      <c r="B7" s="2571"/>
      <c r="C7" s="2571"/>
      <c r="D7" s="2571"/>
      <c r="E7" s="2571"/>
      <c r="F7" s="257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1708</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1709</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110" colorId="8" zoomScaleNormal="100" workbookViewId="0">
      <selection activeCell="A38" sqref="A38:H3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2073</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2056</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St. George CCSD 258</v>
      </c>
      <c r="C1" s="2588"/>
      <c r="D1" s="2588"/>
      <c r="E1" s="2588"/>
      <c r="F1" s="2588"/>
      <c r="G1" s="2588"/>
      <c r="H1" s="2588"/>
      <c r="I1" s="2588"/>
      <c r="J1" s="1178"/>
    </row>
    <row r="2" spans="2:10" s="295" customFormat="1" ht="12.75" customHeight="1" x14ac:dyDescent="0.2">
      <c r="B2" s="2589" t="str">
        <f>'Single Audit Cover'!E7</f>
        <v>32-046-2580-04</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5" t="s">
        <v>1728</v>
      </c>
      <c r="D37" s="2596"/>
      <c r="E37" s="2596"/>
      <c r="F37" s="2597"/>
      <c r="G37" s="2595" t="s">
        <v>1575</v>
      </c>
      <c r="H37" s="2596"/>
      <c r="I37" s="2597"/>
    </row>
    <row r="38" spans="2:9" ht="16.5" customHeight="1" x14ac:dyDescent="0.2">
      <c r="B38" s="1200"/>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7" t="str">
        <f>"Total Federal Expenditures for 7/1/"&amp;MID('AFR20'!E2,3,2)-1&amp;"-6/30/"&amp;MID('AFR20'!E2,3,2)</f>
        <v>Total Federal Expenditures for 7/1/19-6/30/20</v>
      </c>
      <c r="C45" s="1918"/>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7"/>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St. George CCSD 258</v>
      </c>
      <c r="C1" s="2587"/>
      <c r="D1" s="2587"/>
      <c r="E1" s="2587"/>
      <c r="F1" s="2587"/>
      <c r="G1" s="2587"/>
      <c r="H1" s="2587"/>
      <c r="I1" s="2587"/>
      <c r="J1" s="2587"/>
      <c r="K1" s="2587"/>
      <c r="L1" s="1144"/>
      <c r="M1" s="1144"/>
    </row>
    <row r="2" spans="1:13" ht="12" customHeight="1" x14ac:dyDescent="0.2">
      <c r="B2" s="2589" t="str">
        <f>'Single Audit Cover'!E7</f>
        <v>32-046-2580-04</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St. George CCSD 258</v>
      </c>
      <c r="C1" s="2614"/>
      <c r="D1" s="2614"/>
      <c r="E1" s="2614"/>
      <c r="F1" s="2614"/>
      <c r="G1" s="2614"/>
      <c r="H1" s="2614"/>
      <c r="I1" s="2614"/>
      <c r="J1" s="2614"/>
      <c r="K1" s="2614"/>
      <c r="L1" s="1221"/>
    </row>
    <row r="2" spans="1:12" ht="12.75" customHeight="1" x14ac:dyDescent="0.2">
      <c r="B2" s="2615" t="str">
        <f>'Single Audit Cover'!E7</f>
        <v>32-046-2580-04</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St. George CCSD 258</v>
      </c>
      <c r="C1" s="2587"/>
      <c r="D1" s="2587"/>
      <c r="E1" s="1240"/>
    </row>
    <row r="2" spans="2:5" s="1058" customFormat="1" ht="12.75" customHeight="1" x14ac:dyDescent="0.2">
      <c r="B2" s="2589" t="str">
        <f>'Single Audit Cover'!E7</f>
        <v>32-046-2580-04</v>
      </c>
      <c r="C2" s="2589"/>
      <c r="D2" s="2589"/>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25" colorId="8" zoomScale="110" zoomScaleNormal="110" workbookViewId="0">
      <selection activeCell="A38" sqref="A38:H3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83026524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2.3130999999999999E-2</v>
      </c>
      <c r="E10" s="333" t="s">
        <v>998</v>
      </c>
      <c r="F10" s="332">
        <v>3.4919999999999999E-3</v>
      </c>
      <c r="G10" s="333" t="s">
        <v>998</v>
      </c>
      <c r="H10" s="332">
        <v>1.083E-3</v>
      </c>
      <c r="I10" s="333" t="s">
        <v>999</v>
      </c>
      <c r="J10" s="1424">
        <f>ROUND(D10+F10+H10,5)</f>
        <v>2.7709999999999999E-2</v>
      </c>
      <c r="K10" s="217"/>
      <c r="L10" s="332">
        <v>1.0000000000000001E-5</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4252780</v>
      </c>
      <c r="E16" s="1547"/>
      <c r="F16" s="1546">
        <f>SUM('Acct Summary 7-8'!C17,'Acct Summary 7-8'!D17,'Acct Summary 7-8'!F17)</f>
        <v>3945373</v>
      </c>
      <c r="G16" s="1547"/>
      <c r="H16" s="1546">
        <f>SUM(D16-F16)</f>
        <v>307407</v>
      </c>
      <c r="I16" s="1548"/>
      <c r="J16" s="1546">
        <f>SUM('Acct Summary 7-8'!C81,'Acct Summary 7-8'!D81,'Acct Summary 7-8'!F81,'Acct Summary 7-8'!I81)</f>
        <v>2900469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2073</v>
      </c>
      <c r="C31" s="344" t="s">
        <v>582</v>
      </c>
      <c r="D31" s="232" t="s">
        <v>1063</v>
      </c>
      <c r="E31" s="217"/>
      <c r="F31" s="217"/>
      <c r="G31" s="340"/>
      <c r="H31" s="1425">
        <f>IF(B31="X",(J7*0.069),IF(B32="X",(J7*0.138),"Enter x in a.or b."))</f>
        <v>5728830.1560000004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8575700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A38" sqref="A38:H3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St. George CCSD 258</v>
      </c>
      <c r="E7" s="368"/>
      <c r="G7" s="247"/>
      <c r="H7" s="364"/>
      <c r="I7" s="364"/>
      <c r="J7" s="364"/>
      <c r="K7" s="364"/>
      <c r="L7" s="307"/>
      <c r="M7" s="307"/>
      <c r="N7" s="307"/>
      <c r="O7" s="307"/>
      <c r="P7" s="307"/>
    </row>
    <row r="8" spans="1:18" ht="12.75" x14ac:dyDescent="0.2">
      <c r="A8" s="307"/>
      <c r="B8" s="307"/>
      <c r="C8" s="366" t="s">
        <v>1115</v>
      </c>
      <c r="D8" s="369" t="str">
        <f>COVER!A13</f>
        <v>32-046-2580-04</v>
      </c>
      <c r="E8" s="370"/>
      <c r="G8" s="307"/>
      <c r="H8" s="307"/>
      <c r="I8" s="307"/>
      <c r="J8" s="307"/>
      <c r="K8" s="307"/>
      <c r="L8" s="307"/>
      <c r="M8" s="307"/>
      <c r="N8" s="307"/>
      <c r="O8" s="307"/>
      <c r="P8" s="307"/>
    </row>
    <row r="9" spans="1:18" ht="12.75" x14ac:dyDescent="0.2">
      <c r="A9" s="307"/>
      <c r="B9" s="307"/>
      <c r="C9" s="366" t="s">
        <v>708</v>
      </c>
      <c r="D9" s="371" t="str">
        <f>COVER!A15</f>
        <v>Kankakee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2900469</v>
      </c>
      <c r="I12" s="380"/>
      <c r="J12" s="380"/>
      <c r="K12" s="1559">
        <f>TRUNC((H12/H13*100000),5)/100000</f>
        <v>0.6820171746</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4252780</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3945373</v>
      </c>
      <c r="I17" s="380"/>
      <c r="J17" s="389"/>
      <c r="K17" s="1559">
        <f>TRUNC((H17/H18*100000),5)/100000</f>
        <v>0.92771622319999991</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4252780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2900702</v>
      </c>
      <c r="I24" s="394"/>
      <c r="J24" s="394"/>
      <c r="K24" s="1555">
        <f>TRUNC(((H24/H25*100000)/100000),2)</f>
        <v>264.67</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10959.36944</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1955565.23303</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8575700</v>
      </c>
      <c r="I32" s="392"/>
      <c r="J32" s="392"/>
      <c r="K32" s="1555">
        <f>TRUNC(100-((((H32/H33*100))*100)/100),2)</f>
        <v>-49.69</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5728830.1560000004</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80" zoomScaleNormal="80" workbookViewId="0">
      <pane ySplit="2" topLeftCell="A24" activePane="bottomLeft" state="frozen"/>
      <selection activeCell="A38" sqref="A38:H38"/>
      <selection pane="bottomLeft" activeCell="A38" sqref="A38:H3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137354</v>
      </c>
      <c r="D4" s="1573">
        <v>50881</v>
      </c>
      <c r="E4" s="1573">
        <v>917</v>
      </c>
      <c r="F4" s="1573">
        <v>52630</v>
      </c>
      <c r="G4" s="1573">
        <v>2622</v>
      </c>
      <c r="H4" s="1573">
        <v>10521</v>
      </c>
      <c r="I4" s="1573">
        <v>459</v>
      </c>
      <c r="J4" s="1574">
        <v>387</v>
      </c>
      <c r="K4" s="1573">
        <v>341</v>
      </c>
      <c r="L4" s="1573">
        <v>14841</v>
      </c>
      <c r="M4" s="1575"/>
      <c r="N4" s="1576"/>
    </row>
    <row r="5" spans="1:14" x14ac:dyDescent="0.2">
      <c r="A5" s="427" t="s">
        <v>985</v>
      </c>
      <c r="B5" s="429">
        <v>120</v>
      </c>
      <c r="C5" s="1572">
        <v>2318378</v>
      </c>
      <c r="D5" s="1573">
        <v>220000</v>
      </c>
      <c r="E5" s="1573">
        <v>1000</v>
      </c>
      <c r="F5" s="1573">
        <v>77000</v>
      </c>
      <c r="G5" s="1573">
        <v>40000</v>
      </c>
      <c r="H5" s="1573">
        <v>6610619</v>
      </c>
      <c r="I5" s="1573">
        <v>44000</v>
      </c>
      <c r="J5" s="1574">
        <v>26066</v>
      </c>
      <c r="K5" s="1577">
        <v>2000</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2455732</v>
      </c>
      <c r="D13" s="1587">
        <f t="shared" ref="D13:L13" si="0">SUM(D4:D12)</f>
        <v>270881</v>
      </c>
      <c r="E13" s="1587">
        <f t="shared" si="0"/>
        <v>1917</v>
      </c>
      <c r="F13" s="1587">
        <f t="shared" si="0"/>
        <v>129630</v>
      </c>
      <c r="G13" s="1587">
        <f t="shared" si="0"/>
        <v>42622</v>
      </c>
      <c r="H13" s="1587">
        <f t="shared" si="0"/>
        <v>6621140</v>
      </c>
      <c r="I13" s="1587">
        <f t="shared" si="0"/>
        <v>44459</v>
      </c>
      <c r="J13" s="1587">
        <f t="shared" si="0"/>
        <v>26453</v>
      </c>
      <c r="K13" s="1587">
        <f t="shared" si="0"/>
        <v>2341</v>
      </c>
      <c r="L13" s="1587">
        <f t="shared" si="0"/>
        <v>14841</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671408</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8466031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70850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1428375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1303833</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f>E4+E5</f>
        <v>1917</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8573783</v>
      </c>
    </row>
    <row r="23" spans="1:14" ht="13.5" customHeight="1" thickBot="1" x14ac:dyDescent="0.25">
      <c r="A23" s="1426" t="s">
        <v>638</v>
      </c>
      <c r="B23" s="1429"/>
      <c r="C23" s="1575"/>
      <c r="D23" s="1575"/>
      <c r="E23" s="1575"/>
      <c r="F23" s="1575"/>
      <c r="G23" s="1575"/>
      <c r="H23" s="1575"/>
      <c r="I23" s="1575"/>
      <c r="J23" s="1575"/>
      <c r="K23" s="1575"/>
      <c r="L23" s="1575"/>
      <c r="M23" s="1594">
        <f>SUM(M15:M22)</f>
        <v>11940497</v>
      </c>
      <c r="N23" s="1594">
        <f>SUM(N21:N22)</f>
        <v>8575700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v>-47</v>
      </c>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280</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280</v>
      </c>
      <c r="D34" s="1600">
        <f t="shared" ref="D34:K34" si="1">SUM(D25:D33)</f>
        <v>0</v>
      </c>
      <c r="E34" s="1600">
        <f t="shared" si="1"/>
        <v>0</v>
      </c>
      <c r="F34" s="1600">
        <f t="shared" si="1"/>
        <v>-47</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8575700</v>
      </c>
    </row>
    <row r="37" spans="1:14" ht="13.5" thickBot="1" x14ac:dyDescent="0.25">
      <c r="A37" s="1426" t="s">
        <v>648</v>
      </c>
      <c r="B37" s="1429"/>
      <c r="C37" s="1582"/>
      <c r="D37" s="1582"/>
      <c r="E37" s="1582"/>
      <c r="F37" s="1582"/>
      <c r="G37" s="1582"/>
      <c r="H37" s="1582"/>
      <c r="I37" s="1582"/>
      <c r="J37" s="1582"/>
      <c r="K37" s="1582"/>
      <c r="L37" s="1585"/>
      <c r="M37" s="1575"/>
      <c r="N37" s="1594">
        <f>SUM(N36:N36)</f>
        <v>8575700</v>
      </c>
    </row>
    <row r="38" spans="1:14" s="307" customFormat="1" ht="13.5" customHeight="1" thickTop="1" x14ac:dyDescent="0.2">
      <c r="A38" s="438" t="s">
        <v>417</v>
      </c>
      <c r="B38" s="432">
        <v>714</v>
      </c>
      <c r="C38" s="1573">
        <v>16000</v>
      </c>
      <c r="D38" s="1573"/>
      <c r="E38" s="1573"/>
      <c r="F38" s="1573"/>
      <c r="G38" s="1573"/>
      <c r="H38" s="1573">
        <v>6221489</v>
      </c>
      <c r="I38" s="1573"/>
      <c r="J38" s="1574"/>
      <c r="K38" s="1573"/>
      <c r="L38" s="1586"/>
      <c r="M38" s="1604"/>
      <c r="N38" s="1604"/>
    </row>
    <row r="39" spans="1:14" s="307" customFormat="1" ht="13.5" customHeight="1" x14ac:dyDescent="0.2">
      <c r="A39" s="438" t="s">
        <v>339</v>
      </c>
      <c r="B39" s="432">
        <v>730</v>
      </c>
      <c r="C39" s="1573">
        <f>'Acct Summary 7-8'!C81-C38</f>
        <v>2439452</v>
      </c>
      <c r="D39" s="1573">
        <f>'Acct Summary 7-8'!D81</f>
        <v>270881</v>
      </c>
      <c r="E39" s="1573">
        <f>'Acct Summary 7-8'!E81</f>
        <v>1917</v>
      </c>
      <c r="F39" s="1573">
        <f>'Acct Summary 7-8'!F81</f>
        <v>129677</v>
      </c>
      <c r="G39" s="1573">
        <f>'Acct Summary 7-8'!G81</f>
        <v>42622</v>
      </c>
      <c r="H39" s="1573">
        <f>'Acct Summary 7-8'!H81-H38</f>
        <v>399651</v>
      </c>
      <c r="I39" s="1573">
        <f>'Acct Summary 7-8'!I81</f>
        <v>44459</v>
      </c>
      <c r="J39" s="1574">
        <f>'Acct Summary 7-8'!J81</f>
        <v>26453</v>
      </c>
      <c r="K39" s="1573">
        <f>'Acct Summary 7-8'!K81</f>
        <v>2341</v>
      </c>
      <c r="L39" s="1573">
        <v>14841</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11940497</v>
      </c>
      <c r="N40" s="1604"/>
    </row>
    <row r="41" spans="1:14" ht="13.5" customHeight="1" thickBot="1" x14ac:dyDescent="0.25">
      <c r="A41" s="1426" t="s">
        <v>650</v>
      </c>
      <c r="B41" s="1405"/>
      <c r="C41" s="1594">
        <f>(SUM(C34,C37,C38,C39))</f>
        <v>2455732</v>
      </c>
      <c r="D41" s="1594">
        <f t="shared" ref="D41:L41" si="2">SUM(D34,D37,D38:D39)</f>
        <v>270881</v>
      </c>
      <c r="E41" s="1594">
        <f t="shared" si="2"/>
        <v>1917</v>
      </c>
      <c r="F41" s="1594">
        <f t="shared" si="2"/>
        <v>129630</v>
      </c>
      <c r="G41" s="1594">
        <f t="shared" si="2"/>
        <v>42622</v>
      </c>
      <c r="H41" s="1594">
        <f t="shared" si="2"/>
        <v>6621140</v>
      </c>
      <c r="I41" s="1594">
        <f t="shared" si="2"/>
        <v>44459</v>
      </c>
      <c r="J41" s="1594">
        <f t="shared" si="2"/>
        <v>26453</v>
      </c>
      <c r="K41" s="1594">
        <f t="shared" si="2"/>
        <v>2341</v>
      </c>
      <c r="L41" s="1594">
        <f t="shared" si="2"/>
        <v>14841</v>
      </c>
      <c r="M41" s="1594">
        <f>SUM(M40)</f>
        <v>11940497</v>
      </c>
      <c r="N41" s="1594">
        <f>SUM(N37)</f>
        <v>8575700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Normal="100" zoomScaleSheetLayoutView="100" workbookViewId="0">
      <pane ySplit="2" topLeftCell="A66" activePane="bottomLeft" state="frozen"/>
      <selection activeCell="A38" sqref="A38:H38"/>
      <selection pane="bottomLeft" activeCell="A38" sqref="A38:H3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2051104</v>
      </c>
      <c r="D4" s="1606">
        <f>'Revenues 9-14'!D109</f>
        <v>286396</v>
      </c>
      <c r="E4" s="1606">
        <f>'Revenues 9-14'!E109</f>
        <v>544370</v>
      </c>
      <c r="F4" s="1606">
        <f>'Revenues 9-14'!F109</f>
        <v>89646</v>
      </c>
      <c r="G4" s="1606">
        <f>'Revenues 9-14'!G109</f>
        <v>108381</v>
      </c>
      <c r="H4" s="1606">
        <f>'Revenues 9-14'!H109</f>
        <v>170283</v>
      </c>
      <c r="I4" s="1606">
        <f>'Revenues 9-14'!I109</f>
        <v>793</v>
      </c>
      <c r="J4" s="1606">
        <f>'Revenues 9-14'!J109</f>
        <v>4930</v>
      </c>
      <c r="K4" s="1606">
        <f>'Revenues 9-14'!K109</f>
        <v>795</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1136638</v>
      </c>
      <c r="D6" s="1607">
        <f>'Revenues 9-14'!D170</f>
        <v>275000</v>
      </c>
      <c r="E6" s="1607">
        <f>'Revenues 9-14'!E170</f>
        <v>5000</v>
      </c>
      <c r="F6" s="1607">
        <f>'Revenues 9-14'!F170</f>
        <v>142234</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270969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3458711</v>
      </c>
      <c r="D8" s="1594">
        <f t="shared" ref="D8:K8" si="0">SUM(D4:D7)</f>
        <v>561396</v>
      </c>
      <c r="E8" s="1594">
        <f t="shared" si="0"/>
        <v>549370</v>
      </c>
      <c r="F8" s="1594">
        <f t="shared" si="0"/>
        <v>231880</v>
      </c>
      <c r="G8" s="1594">
        <f t="shared" si="0"/>
        <v>108381</v>
      </c>
      <c r="H8" s="1594">
        <f t="shared" si="0"/>
        <v>220283</v>
      </c>
      <c r="I8" s="1594">
        <f t="shared" si="0"/>
        <v>793</v>
      </c>
      <c r="J8" s="1594">
        <f t="shared" si="0"/>
        <v>4930</v>
      </c>
      <c r="K8" s="1594">
        <f t="shared" si="0"/>
        <v>795</v>
      </c>
      <c r="L8" s="325"/>
    </row>
    <row r="9" spans="1:13" ht="15.75" thickTop="1" x14ac:dyDescent="0.2">
      <c r="A9" s="449" t="s">
        <v>1634</v>
      </c>
      <c r="B9" s="450">
        <v>3998</v>
      </c>
      <c r="C9" s="1586">
        <v>1495416</v>
      </c>
      <c r="D9" s="1613"/>
      <c r="E9" s="1586"/>
      <c r="F9" s="1586"/>
      <c r="G9" s="1614"/>
      <c r="H9" s="1586"/>
      <c r="I9" s="1609" t="s">
        <v>1159</v>
      </c>
      <c r="J9" s="1583"/>
      <c r="K9" s="1586"/>
      <c r="L9" s="325"/>
    </row>
    <row r="10" spans="1:13" s="452" customFormat="1" ht="13.5" thickBot="1" x14ac:dyDescent="0.25">
      <c r="A10" s="1426" t="s">
        <v>1163</v>
      </c>
      <c r="B10" s="1407"/>
      <c r="C10" s="1594">
        <f>SUM(C8:C9)</f>
        <v>4954127</v>
      </c>
      <c r="D10" s="1594">
        <f t="shared" ref="D10:K10" si="1">SUM(D8:D9)</f>
        <v>561396</v>
      </c>
      <c r="E10" s="1594">
        <f t="shared" si="1"/>
        <v>549370</v>
      </c>
      <c r="F10" s="1594">
        <f t="shared" si="1"/>
        <v>231880</v>
      </c>
      <c r="G10" s="1594">
        <f t="shared" si="1"/>
        <v>108381</v>
      </c>
      <c r="H10" s="1594">
        <f t="shared" si="1"/>
        <v>220283</v>
      </c>
      <c r="I10" s="1594">
        <f t="shared" si="1"/>
        <v>793</v>
      </c>
      <c r="J10" s="1594">
        <f t="shared" si="1"/>
        <v>4930</v>
      </c>
      <c r="K10" s="1594">
        <f t="shared" si="1"/>
        <v>795</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1937818</v>
      </c>
      <c r="D12" s="1616" t="s">
        <v>1159</v>
      </c>
      <c r="E12" s="1575" t="s">
        <v>1159</v>
      </c>
      <c r="F12" s="1575" t="s">
        <v>1159</v>
      </c>
      <c r="G12" s="1606">
        <f>'Expenditures 15-22'!K229</f>
        <v>38880</v>
      </c>
      <c r="H12" s="1617"/>
      <c r="I12" s="1575" t="s">
        <v>1159</v>
      </c>
      <c r="J12" s="1575" t="s">
        <v>1159</v>
      </c>
      <c r="K12" s="1617" t="s">
        <v>1159</v>
      </c>
      <c r="L12" s="325"/>
    </row>
    <row r="13" spans="1:13" ht="15.75" customHeight="1" x14ac:dyDescent="0.2">
      <c r="A13" s="1314" t="s">
        <v>454</v>
      </c>
      <c r="B13" s="1316">
        <v>2000</v>
      </c>
      <c r="C13" s="1607">
        <f>'Expenditures 15-22'!K74</f>
        <v>1246808</v>
      </c>
      <c r="D13" s="1607">
        <f>'Expenditures 15-22'!K129</f>
        <v>437870</v>
      </c>
      <c r="E13" s="1576" t="s">
        <v>1159</v>
      </c>
      <c r="F13" s="1607">
        <f>'Expenditures 15-22'!K184</f>
        <v>240577</v>
      </c>
      <c r="G13" s="1607">
        <f>'Expenditures 15-22'!K279</f>
        <v>67465</v>
      </c>
      <c r="H13" s="1607">
        <f>'Expenditures 15-22'!K303</f>
        <v>1497237</v>
      </c>
      <c r="I13" s="1575" t="s">
        <v>1159</v>
      </c>
      <c r="J13" s="1607">
        <f>'Expenditures 15-22'!K330</f>
        <v>3934</v>
      </c>
      <c r="K13" s="1618">
        <f>'Expenditures 15-22'!K352</f>
        <v>3404</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82300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547463</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3266926</v>
      </c>
      <c r="D17" s="1594">
        <f t="shared" si="2"/>
        <v>437870</v>
      </c>
      <c r="E17" s="1594">
        <f t="shared" si="2"/>
        <v>547463</v>
      </c>
      <c r="F17" s="1594">
        <f t="shared" si="2"/>
        <v>240577</v>
      </c>
      <c r="G17" s="1594">
        <f t="shared" si="2"/>
        <v>106345</v>
      </c>
      <c r="H17" s="1594">
        <f t="shared" si="2"/>
        <v>1497237</v>
      </c>
      <c r="I17" s="1575"/>
      <c r="J17" s="1594">
        <f>SUM(J12:J16)</f>
        <v>3934</v>
      </c>
      <c r="K17" s="1594">
        <f>SUM(K12:K16)</f>
        <v>3404</v>
      </c>
      <c r="L17" s="325"/>
    </row>
    <row r="18" spans="1:12" ht="15" customHeight="1" thickTop="1" x14ac:dyDescent="0.2">
      <c r="A18" s="1430" t="s">
        <v>1635</v>
      </c>
      <c r="B18" s="1431">
        <v>4180</v>
      </c>
      <c r="C18" s="1606">
        <f t="shared" ref="C18:H18" si="3">C9</f>
        <v>1495416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4762342</v>
      </c>
      <c r="D19" s="1594">
        <f t="shared" si="4"/>
        <v>437870</v>
      </c>
      <c r="E19" s="1594">
        <f t="shared" si="4"/>
        <v>547463</v>
      </c>
      <c r="F19" s="1594">
        <f t="shared" si="4"/>
        <v>240577</v>
      </c>
      <c r="G19" s="1594">
        <f t="shared" si="4"/>
        <v>106345</v>
      </c>
      <c r="H19" s="1594">
        <f t="shared" si="4"/>
        <v>1497237</v>
      </c>
      <c r="I19" s="1575"/>
      <c r="J19" s="1594">
        <f>SUM(J17:J18)</f>
        <v>3934</v>
      </c>
      <c r="K19" s="1594">
        <f>SUM(K17:K18)</f>
        <v>3404</v>
      </c>
      <c r="L19" s="325"/>
    </row>
    <row r="20" spans="1:12" ht="16.5" thickTop="1" thickBot="1" x14ac:dyDescent="0.25">
      <c r="A20" s="2232" t="s">
        <v>1636</v>
      </c>
      <c r="B20" s="2233"/>
      <c r="C20" s="1622">
        <f>C8-C17</f>
        <v>191785</v>
      </c>
      <c r="D20" s="1622">
        <f t="shared" ref="D20:K20" si="5">D8-D17</f>
        <v>123526</v>
      </c>
      <c r="E20" s="1622">
        <f t="shared" si="5"/>
        <v>1907</v>
      </c>
      <c r="F20" s="1622">
        <f t="shared" si="5"/>
        <v>-8697</v>
      </c>
      <c r="G20" s="1622">
        <f t="shared" si="5"/>
        <v>2036</v>
      </c>
      <c r="H20" s="1622">
        <f t="shared" si="5"/>
        <v>-1276954</v>
      </c>
      <c r="I20" s="1622">
        <f t="shared" si="5"/>
        <v>793</v>
      </c>
      <c r="J20" s="1622">
        <f t="shared" si="5"/>
        <v>996</v>
      </c>
      <c r="K20" s="1622">
        <f t="shared" si="5"/>
        <v>-2609</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v>973800</v>
      </c>
      <c r="F33" s="1574"/>
      <c r="G33" s="1582"/>
      <c r="H33" s="1574">
        <v>6930000</v>
      </c>
      <c r="I33" s="1574"/>
      <c r="J33" s="1574"/>
      <c r="K33" s="1574"/>
      <c r="L33" s="453"/>
    </row>
    <row r="34" spans="1:12" s="433" customFormat="1" x14ac:dyDescent="0.2">
      <c r="A34" s="1260" t="s">
        <v>994</v>
      </c>
      <c r="B34" s="454">
        <v>7220</v>
      </c>
      <c r="C34" s="1574"/>
      <c r="D34" s="1574"/>
      <c r="E34" s="1574"/>
      <c r="F34" s="1574"/>
      <c r="G34" s="1582"/>
      <c r="H34" s="1583">
        <v>942639</v>
      </c>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973800</v>
      </c>
      <c r="F44" s="1624">
        <f t="shared" si="6"/>
        <v>0</v>
      </c>
      <c r="G44" s="1624">
        <f t="shared" si="6"/>
        <v>0</v>
      </c>
      <c r="H44" s="1624">
        <f t="shared" si="6"/>
        <v>7872639</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v>973800</v>
      </c>
      <c r="F75" s="1628"/>
      <c r="G75" s="1628"/>
      <c r="H75" s="1628">
        <v>234924</v>
      </c>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973800</v>
      </c>
      <c r="F76" s="1624">
        <f t="shared" si="7"/>
        <v>0</v>
      </c>
      <c r="G76" s="1624">
        <f t="shared" si="7"/>
        <v>0</v>
      </c>
      <c r="H76" s="1624">
        <f t="shared" si="7"/>
        <v>234924</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7637715</v>
      </c>
      <c r="I77" s="1624">
        <f t="shared" si="8"/>
        <v>0</v>
      </c>
      <c r="J77" s="1624">
        <f t="shared" si="8"/>
        <v>0</v>
      </c>
      <c r="K77" s="1624">
        <f t="shared" si="8"/>
        <v>0</v>
      </c>
      <c r="L77" s="325"/>
    </row>
    <row r="78" spans="1:12" ht="21.75" customHeight="1" thickTop="1" thickBot="1" x14ac:dyDescent="0.25">
      <c r="A78" s="2228" t="s">
        <v>593</v>
      </c>
      <c r="B78" s="2229"/>
      <c r="C78" s="1629">
        <f t="shared" ref="C78:K78" si="9">C20+C77</f>
        <v>191785</v>
      </c>
      <c r="D78" s="1629">
        <f t="shared" si="9"/>
        <v>123526</v>
      </c>
      <c r="E78" s="1629">
        <f t="shared" si="9"/>
        <v>1907</v>
      </c>
      <c r="F78" s="1629">
        <f t="shared" si="9"/>
        <v>-8697</v>
      </c>
      <c r="G78" s="1629">
        <f t="shared" si="9"/>
        <v>2036</v>
      </c>
      <c r="H78" s="1629">
        <f t="shared" si="9"/>
        <v>6360761</v>
      </c>
      <c r="I78" s="1629">
        <f t="shared" si="9"/>
        <v>793</v>
      </c>
      <c r="J78" s="1629">
        <f t="shared" si="9"/>
        <v>996</v>
      </c>
      <c r="K78" s="1629">
        <f t="shared" si="9"/>
        <v>-2609</v>
      </c>
      <c r="L78" s="457"/>
    </row>
    <row r="79" spans="1:12" ht="13.5" thickTop="1" x14ac:dyDescent="0.2">
      <c r="A79" s="1844" t="str">
        <f>"Fund Balances - July 1, "&amp;'AFR20'!E2-1</f>
        <v>Fund Balances - July 1, 2019</v>
      </c>
      <c r="B79" s="458"/>
      <c r="C79" s="1583">
        <v>2263667</v>
      </c>
      <c r="D79" s="1630">
        <v>147355</v>
      </c>
      <c r="E79" s="1630">
        <v>10</v>
      </c>
      <c r="F79" s="1630">
        <v>138374</v>
      </c>
      <c r="G79" s="1630">
        <v>40586</v>
      </c>
      <c r="H79" s="1630">
        <v>260379</v>
      </c>
      <c r="I79" s="1630">
        <v>43666</v>
      </c>
      <c r="J79" s="1630">
        <v>25457</v>
      </c>
      <c r="K79" s="1630">
        <v>4950</v>
      </c>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2455452</v>
      </c>
      <c r="D81" s="1594">
        <f>SUM(D78:D80)</f>
        <v>270881</v>
      </c>
      <c r="E81" s="1594">
        <f t="shared" ref="E81:K81" si="10">SUM(E78:E80)</f>
        <v>1917</v>
      </c>
      <c r="F81" s="1594">
        <f t="shared" si="10"/>
        <v>129677</v>
      </c>
      <c r="G81" s="1594">
        <f t="shared" si="10"/>
        <v>42622</v>
      </c>
      <c r="H81" s="1594">
        <f t="shared" si="10"/>
        <v>6621140</v>
      </c>
      <c r="I81" s="1594">
        <f t="shared" si="10"/>
        <v>44459</v>
      </c>
      <c r="J81" s="1594">
        <f t="shared" si="10"/>
        <v>26453</v>
      </c>
      <c r="K81" s="1594">
        <f t="shared" si="10"/>
        <v>2341</v>
      </c>
      <c r="L81" s="325"/>
    </row>
    <row r="82" spans="1:12" ht="0.75" customHeight="1" thickTop="1" thickBot="1" x14ac:dyDescent="0.25">
      <c r="A82" s="459" t="s">
        <v>340</v>
      </c>
      <c r="B82" s="460"/>
      <c r="C82" s="461">
        <f>(C81-C79)</f>
        <v>191785</v>
      </c>
      <c r="D82" s="461">
        <f t="shared" ref="D82:K82" si="11">(D81-D79)</f>
        <v>123526</v>
      </c>
      <c r="E82" s="461">
        <f t="shared" si="11"/>
        <v>1907</v>
      </c>
      <c r="F82" s="461">
        <f t="shared" si="11"/>
        <v>-8697</v>
      </c>
      <c r="G82" s="461">
        <f t="shared" si="11"/>
        <v>2036</v>
      </c>
      <c r="H82" s="461">
        <f t="shared" si="11"/>
        <v>6360761</v>
      </c>
      <c r="I82" s="461">
        <f t="shared" si="11"/>
        <v>793</v>
      </c>
      <c r="J82" s="461">
        <f t="shared" si="11"/>
        <v>996</v>
      </c>
      <c r="K82" s="461">
        <f t="shared" si="11"/>
        <v>-2609</v>
      </c>
    </row>
    <row r="83" spans="1:12" ht="14.25" hidden="1" thickTop="1" thickBot="1" x14ac:dyDescent="0.25">
      <c r="A83" s="462" t="s">
        <v>341</v>
      </c>
      <c r="B83" s="428"/>
      <c r="C83" s="463">
        <f>C82/C81</f>
        <v>7.8105782560603909E-2</v>
      </c>
      <c r="D83" s="463">
        <f t="shared" ref="D83:K83" si="12">D82/D81</f>
        <v>0.45601574122954358</v>
      </c>
      <c r="E83" s="463">
        <f t="shared" si="12"/>
        <v>0.99478351591027647</v>
      </c>
      <c r="F83" s="463">
        <f t="shared" si="12"/>
        <v>-6.7066634792600069E-2</v>
      </c>
      <c r="G83" s="463">
        <f t="shared" si="12"/>
        <v>4.776875791844587E-2</v>
      </c>
      <c r="H83" s="463">
        <f t="shared" si="12"/>
        <v>0.96067459682169531</v>
      </c>
      <c r="I83" s="463">
        <f t="shared" si="12"/>
        <v>1.7836658494343103E-2</v>
      </c>
      <c r="J83" s="463">
        <f t="shared" si="12"/>
        <v>3.7651684119003513E-2</v>
      </c>
      <c r="K83" s="463">
        <f t="shared" si="12"/>
        <v>-1.1144809910294746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Normal="100" zoomScaleSheetLayoutView="75" workbookViewId="0">
      <pane ySplit="2" topLeftCell="A220" activePane="bottomLeft" state="frozen"/>
      <selection activeCell="H39" sqref="H38:H39"/>
      <selection pane="bottomLeft" activeCell="C256" sqref="C25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1844994</v>
      </c>
      <c r="D5" s="1586">
        <v>279527</v>
      </c>
      <c r="E5" s="1573">
        <v>543494</v>
      </c>
      <c r="F5" s="1631">
        <v>89392</v>
      </c>
      <c r="G5" s="1573">
        <v>40726</v>
      </c>
      <c r="H5" s="1573"/>
      <c r="I5" s="1573">
        <v>793</v>
      </c>
      <c r="J5" s="1574">
        <v>4922</v>
      </c>
      <c r="K5" s="1573">
        <v>794</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v>67480</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1844994</v>
      </c>
      <c r="D12" s="1633">
        <f t="shared" si="0"/>
        <v>279527</v>
      </c>
      <c r="E12" s="1633">
        <f t="shared" si="0"/>
        <v>543494</v>
      </c>
      <c r="F12" s="1633">
        <f t="shared" si="0"/>
        <v>89392</v>
      </c>
      <c r="G12" s="1633">
        <f t="shared" si="0"/>
        <v>108206</v>
      </c>
      <c r="H12" s="1633">
        <f t="shared" si="0"/>
        <v>0</v>
      </c>
      <c r="I12" s="1633">
        <f t="shared" si="0"/>
        <v>793</v>
      </c>
      <c r="J12" s="1633">
        <f t="shared" si="0"/>
        <v>4922</v>
      </c>
      <c r="K12" s="1594">
        <f t="shared" si="0"/>
        <v>794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9105</v>
      </c>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9105</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9758</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9758</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55465</v>
      </c>
      <c r="D65" s="1573">
        <v>450</v>
      </c>
      <c r="E65" s="1573">
        <v>876</v>
      </c>
      <c r="F65" s="1574">
        <v>144</v>
      </c>
      <c r="G65" s="1573">
        <v>175</v>
      </c>
      <c r="H65" s="1573">
        <v>92904</v>
      </c>
      <c r="I65" s="1573"/>
      <c r="J65" s="1574">
        <v>8</v>
      </c>
      <c r="K65" s="1573">
        <v>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55465</v>
      </c>
      <c r="D67" s="1594">
        <f t="shared" ref="D67:K67" si="2">SUM(D65:D66)</f>
        <v>450</v>
      </c>
      <c r="E67" s="1594">
        <f t="shared" si="2"/>
        <v>876</v>
      </c>
      <c r="F67" s="1594">
        <f t="shared" si="2"/>
        <v>144</v>
      </c>
      <c r="G67" s="1594">
        <f t="shared" si="2"/>
        <v>175</v>
      </c>
      <c r="H67" s="1594">
        <f t="shared" si="2"/>
        <v>92904</v>
      </c>
      <c r="I67" s="1594">
        <f t="shared" si="2"/>
        <v>0</v>
      </c>
      <c r="J67" s="1594">
        <f t="shared" si="2"/>
        <v>8</v>
      </c>
      <c r="K67" s="1594">
        <f t="shared" si="2"/>
        <v>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45438</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3309</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1440</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50187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8020</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8558</v>
      </c>
      <c r="D79" s="1573"/>
      <c r="E79" s="1575"/>
      <c r="F79" s="1575"/>
      <c r="G79" s="1575"/>
      <c r="H79" s="1575"/>
      <c r="I79" s="1575"/>
      <c r="J79" s="1575"/>
      <c r="K79" s="1575"/>
    </row>
    <row r="80" spans="1:11" ht="12.75" customHeight="1" x14ac:dyDescent="0.2">
      <c r="A80" s="427" t="s">
        <v>547</v>
      </c>
      <c r="B80" s="429">
        <v>1730</v>
      </c>
      <c r="C80" s="1632">
        <v>551</v>
      </c>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17129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33026</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v>76</v>
      </c>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33102</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9000</v>
      </c>
      <c r="D95" s="1632">
        <v>5576</v>
      </c>
      <c r="E95" s="1617"/>
      <c r="F95" s="1617"/>
      <c r="G95" s="1617"/>
      <c r="H95" s="1617"/>
      <c r="I95" s="1617"/>
      <c r="J95" s="1617"/>
      <c r="K95" s="1617"/>
    </row>
    <row r="96" spans="1:11" ht="12.75" customHeight="1" x14ac:dyDescent="0.2">
      <c r="A96" s="427" t="s">
        <v>388</v>
      </c>
      <c r="B96" s="429">
        <v>1920</v>
      </c>
      <c r="C96" s="1632">
        <v>20659</v>
      </c>
      <c r="D96" s="1632">
        <v>13</v>
      </c>
      <c r="E96" s="1584"/>
      <c r="F96" s="1583"/>
      <c r="G96" s="1583"/>
      <c r="H96" s="1583"/>
      <c r="I96" s="1583"/>
      <c r="J96" s="1583"/>
      <c r="K96" s="1583"/>
    </row>
    <row r="97" spans="1:12" ht="12.75" customHeight="1" x14ac:dyDescent="0.2">
      <c r="A97" s="1265" t="s">
        <v>242</v>
      </c>
      <c r="B97" s="477">
        <v>1930</v>
      </c>
      <c r="C97" s="1598"/>
      <c r="D97" s="1574"/>
      <c r="E97" s="1579"/>
      <c r="F97" s="1574"/>
      <c r="G97" s="1574"/>
      <c r="H97" s="1574">
        <v>77379</v>
      </c>
      <c r="I97" s="1574"/>
      <c r="J97" s="1574"/>
      <c r="K97" s="1574"/>
    </row>
    <row r="98" spans="1:12" ht="12.75" customHeight="1" x14ac:dyDescent="0.2">
      <c r="A98" s="427" t="s">
        <v>188</v>
      </c>
      <c r="B98" s="429">
        <v>1940</v>
      </c>
      <c r="C98" s="1598">
        <v>1705</v>
      </c>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v>830</v>
      </c>
      <c r="E107" s="1573"/>
      <c r="F107" s="1573">
        <v>110</v>
      </c>
      <c r="G107" s="1573"/>
      <c r="H107" s="1573"/>
      <c r="I107" s="1573"/>
      <c r="J107" s="1574"/>
      <c r="K107" s="1573"/>
    </row>
    <row r="108" spans="1:12" ht="12.75" customHeight="1" thickBot="1" x14ac:dyDescent="0.25">
      <c r="A108" s="1406" t="s">
        <v>484</v>
      </c>
      <c r="B108" s="1408"/>
      <c r="C108" s="1633">
        <f>SUM(C95:C107)</f>
        <v>31364</v>
      </c>
      <c r="D108" s="1633">
        <f t="shared" ref="D108:K108" si="3">SUM(D95:D107)</f>
        <v>6419</v>
      </c>
      <c r="E108" s="1633">
        <f t="shared" si="3"/>
        <v>0</v>
      </c>
      <c r="F108" s="1633">
        <f t="shared" si="3"/>
        <v>110</v>
      </c>
      <c r="G108" s="1633">
        <f t="shared" si="3"/>
        <v>0</v>
      </c>
      <c r="H108" s="1633">
        <f t="shared" si="3"/>
        <v>77379</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2051104</v>
      </c>
      <c r="D109" s="1641">
        <f t="shared" si="4"/>
        <v>286396</v>
      </c>
      <c r="E109" s="1641">
        <f t="shared" si="4"/>
        <v>544370</v>
      </c>
      <c r="F109" s="1641">
        <f t="shared" si="4"/>
        <v>89646</v>
      </c>
      <c r="G109" s="1641">
        <f t="shared" si="4"/>
        <v>108381</v>
      </c>
      <c r="H109" s="1641">
        <f t="shared" si="4"/>
        <v>170283</v>
      </c>
      <c r="I109" s="1641">
        <f t="shared" si="4"/>
        <v>793</v>
      </c>
      <c r="J109" s="1641">
        <f t="shared" si="4"/>
        <v>4930</v>
      </c>
      <c r="K109" s="1629">
        <f t="shared" si="4"/>
        <v>795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1104502</v>
      </c>
      <c r="D117" s="1586">
        <v>275000</v>
      </c>
      <c r="E117" s="1573">
        <v>5000</v>
      </c>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1104502</v>
      </c>
      <c r="D122" s="1633">
        <f t="shared" si="5"/>
        <v>275000</v>
      </c>
      <c r="E122" s="1633">
        <f t="shared" si="5"/>
        <v>5000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12474</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19129</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31603</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533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108537</v>
      </c>
      <c r="G152" s="1574"/>
      <c r="H152" s="1575"/>
      <c r="I152" s="1575"/>
      <c r="J152" s="1575"/>
      <c r="K152" s="1575"/>
    </row>
    <row r="153" spans="1:11" ht="12.75" customHeight="1" x14ac:dyDescent="0.2">
      <c r="A153" s="427" t="s">
        <v>1048</v>
      </c>
      <c r="B153" s="478">
        <v>3510</v>
      </c>
      <c r="C153" s="1632"/>
      <c r="D153" s="1573"/>
      <c r="E153" s="1640"/>
      <c r="F153" s="1573">
        <v>33697</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142234</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32136</v>
      </c>
      <c r="D169" s="1658">
        <f t="shared" si="6"/>
        <v>0</v>
      </c>
      <c r="E169" s="1658">
        <f t="shared" si="6"/>
        <v>0</v>
      </c>
      <c r="F169" s="1658">
        <f t="shared" si="6"/>
        <v>142234</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1136638</v>
      </c>
      <c r="D170" s="1641">
        <f t="shared" si="7"/>
        <v>275000</v>
      </c>
      <c r="E170" s="1641">
        <f t="shared" si="7"/>
        <v>5000</v>
      </c>
      <c r="F170" s="1641">
        <f t="shared" si="7"/>
        <v>142234</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v>57789</v>
      </c>
      <c r="D180" s="1573"/>
      <c r="E180" s="1575"/>
      <c r="F180" s="1573"/>
      <c r="G180" s="1573"/>
      <c r="H180" s="1573"/>
      <c r="I180" s="1575"/>
      <c r="J180" s="1575"/>
      <c r="K180" s="1573"/>
    </row>
    <row r="181" spans="1:11" ht="13.5" thickBot="1" x14ac:dyDescent="0.25">
      <c r="A181" s="2258" t="s">
        <v>780</v>
      </c>
      <c r="B181" s="2259"/>
      <c r="C181" s="1633">
        <f>SUM(C177:C180)</f>
        <v>57789</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42388</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v>26626</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69014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44853</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44853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5097</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5097</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745</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66504</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67249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v>1100</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10232</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5508</v>
      </c>
      <c r="D263" s="1651"/>
      <c r="E263" s="1575"/>
      <c r="F263" s="1651"/>
      <c r="G263" s="1651"/>
      <c r="H263" s="1575"/>
      <c r="I263" s="1575"/>
      <c r="J263" s="1575"/>
      <c r="K263" s="1575"/>
    </row>
    <row r="264" spans="1:11" ht="12.75" customHeight="1" thickTop="1" thickBot="1" x14ac:dyDescent="0.25">
      <c r="A264" s="427" t="s">
        <v>374</v>
      </c>
      <c r="B264" s="429">
        <v>4992</v>
      </c>
      <c r="C264" s="1650">
        <v>10127</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213180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270969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3458711</v>
      </c>
      <c r="D268" s="1641">
        <f t="shared" si="12"/>
        <v>561396</v>
      </c>
      <c r="E268" s="1641">
        <f t="shared" si="12"/>
        <v>549370</v>
      </c>
      <c r="F268" s="1641">
        <f t="shared" si="12"/>
        <v>231880</v>
      </c>
      <c r="G268" s="1641">
        <f t="shared" si="12"/>
        <v>108381</v>
      </c>
      <c r="H268" s="1641">
        <f t="shared" si="12"/>
        <v>220283</v>
      </c>
      <c r="I268" s="1641">
        <f t="shared" si="12"/>
        <v>793</v>
      </c>
      <c r="J268" s="1641">
        <f t="shared" si="12"/>
        <v>4930</v>
      </c>
      <c r="K268" s="1629">
        <f t="shared" si="12"/>
        <v>795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Normal="100" workbookViewId="0">
      <pane ySplit="2" topLeftCell="A285" activePane="bottomLeft" state="frozen"/>
      <selection activeCell="H39" sqref="H38:H39"/>
      <selection pane="bottomLeft" activeCell="A292" sqref="A29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944328</v>
      </c>
      <c r="D5" s="1573">
        <v>250154</v>
      </c>
      <c r="E5" s="1573">
        <v>2067</v>
      </c>
      <c r="F5" s="1573">
        <v>72185</v>
      </c>
      <c r="G5" s="1573">
        <v>2784</v>
      </c>
      <c r="H5" s="1573">
        <v>25</v>
      </c>
      <c r="I5" s="1574"/>
      <c r="J5" s="1574"/>
      <c r="K5" s="1672">
        <f>SUM(C5:J5)</f>
        <v>1271543</v>
      </c>
      <c r="L5" s="1573">
        <v>1281766</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v>421</v>
      </c>
      <c r="G7" s="1574"/>
      <c r="H7" s="1574"/>
      <c r="I7" s="1574"/>
      <c r="J7" s="1574"/>
      <c r="K7" s="1672">
        <f t="shared" ref="K7:K32" si="0">SUM(C7:J7)</f>
        <v>421</v>
      </c>
      <c r="L7" s="1573">
        <v>0</v>
      </c>
    </row>
    <row r="8" spans="1:14" x14ac:dyDescent="0.2">
      <c r="A8" s="1274" t="s">
        <v>163</v>
      </c>
      <c r="B8" s="503">
        <v>1200</v>
      </c>
      <c r="C8" s="1573">
        <v>348718</v>
      </c>
      <c r="D8" s="1573">
        <v>76567</v>
      </c>
      <c r="E8" s="1573">
        <v>1029</v>
      </c>
      <c r="F8" s="1573">
        <v>1327</v>
      </c>
      <c r="G8" s="1573"/>
      <c r="H8" s="1573">
        <v>180</v>
      </c>
      <c r="I8" s="1574"/>
      <c r="J8" s="1574"/>
      <c r="K8" s="1672">
        <f t="shared" si="0"/>
        <v>427821</v>
      </c>
      <c r="L8" s="1573">
        <v>456159</v>
      </c>
    </row>
    <row r="9" spans="1:14" x14ac:dyDescent="0.2">
      <c r="A9" s="1274" t="s">
        <v>716</v>
      </c>
      <c r="B9" s="503" t="s">
        <v>962</v>
      </c>
      <c r="C9" s="1574">
        <v>34792</v>
      </c>
      <c r="D9" s="1574">
        <v>10686</v>
      </c>
      <c r="E9" s="1574"/>
      <c r="F9" s="1574">
        <v>714</v>
      </c>
      <c r="G9" s="1574"/>
      <c r="H9" s="1574"/>
      <c r="I9" s="1574"/>
      <c r="J9" s="1574"/>
      <c r="K9" s="1672">
        <f t="shared" si="0"/>
        <v>46192</v>
      </c>
      <c r="L9" s="1573">
        <v>76266</v>
      </c>
    </row>
    <row r="10" spans="1:14" x14ac:dyDescent="0.2">
      <c r="A10" s="1274" t="s">
        <v>717</v>
      </c>
      <c r="B10" s="503">
        <v>1250</v>
      </c>
      <c r="C10" s="1573">
        <v>51915</v>
      </c>
      <c r="D10" s="1573">
        <v>15878</v>
      </c>
      <c r="E10" s="1573"/>
      <c r="F10" s="1573">
        <v>3366</v>
      </c>
      <c r="G10" s="1573"/>
      <c r="H10" s="1573"/>
      <c r="I10" s="1574"/>
      <c r="J10" s="1574"/>
      <c r="K10" s="1672">
        <f t="shared" si="0"/>
        <v>71159</v>
      </c>
      <c r="L10" s="1573">
        <v>74730</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c r="D13" s="1573"/>
      <c r="E13" s="1573"/>
      <c r="F13" s="1573"/>
      <c r="G13" s="1573"/>
      <c r="H13" s="1573"/>
      <c r="I13" s="1574"/>
      <c r="J13" s="1574"/>
      <c r="K13" s="1672">
        <f t="shared" si="0"/>
        <v>0</v>
      </c>
      <c r="L13" s="1573">
        <v>0</v>
      </c>
    </row>
    <row r="14" spans="1:14" x14ac:dyDescent="0.2">
      <c r="A14" s="1274" t="s">
        <v>957</v>
      </c>
      <c r="B14" s="503">
        <v>1500</v>
      </c>
      <c r="C14" s="1573">
        <v>33360</v>
      </c>
      <c r="D14" s="1573">
        <v>2302</v>
      </c>
      <c r="E14" s="1573">
        <v>6241</v>
      </c>
      <c r="F14" s="1573">
        <v>11349</v>
      </c>
      <c r="G14" s="1573">
        <v>3999</v>
      </c>
      <c r="H14" s="1573">
        <v>3058</v>
      </c>
      <c r="I14" s="1574"/>
      <c r="J14" s="1574"/>
      <c r="K14" s="1672">
        <f t="shared" si="0"/>
        <v>60309</v>
      </c>
      <c r="L14" s="1573">
        <v>67015</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c r="D17" s="1574"/>
      <c r="E17" s="1574"/>
      <c r="F17" s="1574"/>
      <c r="G17" s="1574"/>
      <c r="H17" s="1574"/>
      <c r="I17" s="1574"/>
      <c r="J17" s="1574"/>
      <c r="K17" s="1672">
        <f t="shared" si="0"/>
        <v>0</v>
      </c>
      <c r="L17" s="1573">
        <v>0</v>
      </c>
    </row>
    <row r="18" spans="1:12" x14ac:dyDescent="0.2">
      <c r="A18" s="1274" t="s">
        <v>1078</v>
      </c>
      <c r="B18" s="503">
        <v>1800</v>
      </c>
      <c r="C18" s="1573">
        <v>45858</v>
      </c>
      <c r="D18" s="1573">
        <v>12263</v>
      </c>
      <c r="E18" s="1573"/>
      <c r="F18" s="1573">
        <v>1001</v>
      </c>
      <c r="G18" s="1573"/>
      <c r="H18" s="1573"/>
      <c r="I18" s="1574"/>
      <c r="J18" s="1574"/>
      <c r="K18" s="1672">
        <f t="shared" si="0"/>
        <v>59122</v>
      </c>
      <c r="L18" s="1573">
        <v>60214</v>
      </c>
    </row>
    <row r="19" spans="1:12" x14ac:dyDescent="0.2">
      <c r="A19" s="1274" t="s">
        <v>133</v>
      </c>
      <c r="B19" s="503">
        <v>1900</v>
      </c>
      <c r="C19" s="1573"/>
      <c r="D19" s="1573"/>
      <c r="E19" s="1573"/>
      <c r="F19" s="1573"/>
      <c r="G19" s="1573"/>
      <c r="H19" s="1573">
        <v>1251</v>
      </c>
      <c r="I19" s="1574"/>
      <c r="J19" s="1574"/>
      <c r="K19" s="1672">
        <f t="shared" si="0"/>
        <v>1251</v>
      </c>
      <c r="L19" s="1573">
        <v>3000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1458971</v>
      </c>
      <c r="D33" s="1674">
        <f t="shared" ref="D33:L33" si="1">SUM(D5:D32)</f>
        <v>367850</v>
      </c>
      <c r="E33" s="1674">
        <f t="shared" si="1"/>
        <v>9337</v>
      </c>
      <c r="F33" s="1674">
        <f t="shared" si="1"/>
        <v>90363</v>
      </c>
      <c r="G33" s="1674">
        <f t="shared" si="1"/>
        <v>6783</v>
      </c>
      <c r="H33" s="1674">
        <f t="shared" si="1"/>
        <v>4514</v>
      </c>
      <c r="I33" s="1674">
        <f t="shared" si="1"/>
        <v>0</v>
      </c>
      <c r="J33" s="1674">
        <f t="shared" si="1"/>
        <v>0</v>
      </c>
      <c r="K33" s="1674">
        <f t="shared" si="1"/>
        <v>1937818</v>
      </c>
      <c r="L33" s="1674">
        <f t="shared" si="1"/>
        <v>2019150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v>109</v>
      </c>
      <c r="G36" s="1586"/>
      <c r="H36" s="1586">
        <v>75</v>
      </c>
      <c r="I36" s="1574"/>
      <c r="J36" s="1574"/>
      <c r="K36" s="1672">
        <f t="shared" ref="K36:K41" si="2">SUM(C36:J36)</f>
        <v>184</v>
      </c>
      <c r="L36" s="1573">
        <v>500</v>
      </c>
    </row>
    <row r="37" spans="1:14" x14ac:dyDescent="0.2">
      <c r="A37" s="1274" t="s">
        <v>1081</v>
      </c>
      <c r="B37" s="503">
        <v>2120</v>
      </c>
      <c r="C37" s="1573">
        <v>40591</v>
      </c>
      <c r="D37" s="1573">
        <v>12004</v>
      </c>
      <c r="E37" s="1573"/>
      <c r="F37" s="1573"/>
      <c r="G37" s="1573"/>
      <c r="H37" s="1573"/>
      <c r="I37" s="1574"/>
      <c r="J37" s="1574"/>
      <c r="K37" s="1672">
        <f t="shared" si="2"/>
        <v>52595</v>
      </c>
      <c r="L37" s="1573">
        <v>53177</v>
      </c>
    </row>
    <row r="38" spans="1:14" x14ac:dyDescent="0.2">
      <c r="A38" s="1274" t="s">
        <v>196</v>
      </c>
      <c r="B38" s="503">
        <v>2130</v>
      </c>
      <c r="C38" s="1573">
        <v>32</v>
      </c>
      <c r="D38" s="1573"/>
      <c r="E38" s="1573">
        <v>-47</v>
      </c>
      <c r="F38" s="1573">
        <v>463</v>
      </c>
      <c r="G38" s="1573"/>
      <c r="H38" s="1573"/>
      <c r="I38" s="1574"/>
      <c r="J38" s="1574"/>
      <c r="K38" s="1672">
        <f t="shared" si="2"/>
        <v>448</v>
      </c>
      <c r="L38" s="1573">
        <v>4250</v>
      </c>
    </row>
    <row r="39" spans="1:14" x14ac:dyDescent="0.2">
      <c r="A39" s="1274" t="s">
        <v>197</v>
      </c>
      <c r="B39" s="503">
        <v>2140</v>
      </c>
      <c r="C39" s="1573">
        <v>17655</v>
      </c>
      <c r="D39" s="1573"/>
      <c r="E39" s="1573"/>
      <c r="F39" s="1573">
        <v>90</v>
      </c>
      <c r="G39" s="1573"/>
      <c r="H39" s="1573"/>
      <c r="I39" s="1574"/>
      <c r="J39" s="1574"/>
      <c r="K39" s="1672">
        <f t="shared" si="2"/>
        <v>17745</v>
      </c>
      <c r="L39" s="1573">
        <v>30950</v>
      </c>
    </row>
    <row r="40" spans="1:14" x14ac:dyDescent="0.2">
      <c r="A40" s="1274" t="s">
        <v>198</v>
      </c>
      <c r="B40" s="503">
        <v>2150</v>
      </c>
      <c r="C40" s="1573">
        <v>65909</v>
      </c>
      <c r="D40" s="1573">
        <v>14089</v>
      </c>
      <c r="E40" s="1573">
        <v>511</v>
      </c>
      <c r="F40" s="1573">
        <v>828</v>
      </c>
      <c r="G40" s="1573"/>
      <c r="H40" s="1573"/>
      <c r="I40" s="1574"/>
      <c r="J40" s="1574"/>
      <c r="K40" s="1672">
        <f t="shared" si="2"/>
        <v>81337</v>
      </c>
      <c r="L40" s="1573">
        <v>81797</v>
      </c>
    </row>
    <row r="41" spans="1:14" x14ac:dyDescent="0.2">
      <c r="A41" s="1274" t="s">
        <v>1650</v>
      </c>
      <c r="B41" s="503">
        <v>2190</v>
      </c>
      <c r="C41" s="1573"/>
      <c r="D41" s="1573"/>
      <c r="E41" s="1573">
        <v>8778</v>
      </c>
      <c r="F41" s="1573"/>
      <c r="G41" s="1573"/>
      <c r="H41" s="1573"/>
      <c r="I41" s="1574"/>
      <c r="J41" s="1574"/>
      <c r="K41" s="1672">
        <f t="shared" si="2"/>
        <v>8778</v>
      </c>
      <c r="L41" s="1573">
        <v>37000</v>
      </c>
    </row>
    <row r="42" spans="1:14" ht="12.75" customHeight="1" thickBot="1" x14ac:dyDescent="0.25">
      <c r="A42" s="1380" t="s">
        <v>556</v>
      </c>
      <c r="B42" s="1381" t="s">
        <v>711</v>
      </c>
      <c r="C42" s="1674">
        <f>SUM(C36:C41)</f>
        <v>124187</v>
      </c>
      <c r="D42" s="1674">
        <f t="shared" ref="D42:L42" si="3">SUM(D36:D41)</f>
        <v>26093</v>
      </c>
      <c r="E42" s="1674">
        <f t="shared" si="3"/>
        <v>9242</v>
      </c>
      <c r="F42" s="1674">
        <f t="shared" si="3"/>
        <v>1490</v>
      </c>
      <c r="G42" s="1674">
        <f t="shared" si="3"/>
        <v>0</v>
      </c>
      <c r="H42" s="1674">
        <f t="shared" si="3"/>
        <v>75</v>
      </c>
      <c r="I42" s="1674">
        <f t="shared" si="3"/>
        <v>0</v>
      </c>
      <c r="J42" s="1674">
        <f t="shared" si="3"/>
        <v>0</v>
      </c>
      <c r="K42" s="1674">
        <f t="shared" si="3"/>
        <v>161087</v>
      </c>
      <c r="L42" s="1674">
        <f t="shared" si="3"/>
        <v>207674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22032</v>
      </c>
      <c r="F44" s="1586">
        <v>943</v>
      </c>
      <c r="G44" s="1586"/>
      <c r="H44" s="1586">
        <v>931</v>
      </c>
      <c r="I44" s="1574"/>
      <c r="J44" s="1574"/>
      <c r="K44" s="1678">
        <f>SUM(C44:J44)</f>
        <v>23906</v>
      </c>
      <c r="L44" s="1586">
        <v>21900</v>
      </c>
    </row>
    <row r="45" spans="1:14" x14ac:dyDescent="0.2">
      <c r="A45" s="1274" t="s">
        <v>810</v>
      </c>
      <c r="B45" s="503">
        <v>2220</v>
      </c>
      <c r="C45" s="1573">
        <v>398</v>
      </c>
      <c r="D45" s="1573"/>
      <c r="E45" s="1573"/>
      <c r="F45" s="1573">
        <v>1043</v>
      </c>
      <c r="G45" s="1573"/>
      <c r="H45" s="1573"/>
      <c r="I45" s="1574"/>
      <c r="J45" s="1574"/>
      <c r="K45" s="1678">
        <f>SUM(C45:J45)</f>
        <v>1441</v>
      </c>
      <c r="L45" s="1573">
        <v>4928</v>
      </c>
    </row>
    <row r="46" spans="1:14" x14ac:dyDescent="0.2">
      <c r="A46" s="1274" t="s">
        <v>811</v>
      </c>
      <c r="B46" s="503">
        <v>2230</v>
      </c>
      <c r="C46" s="1573"/>
      <c r="D46" s="1573"/>
      <c r="E46" s="1573"/>
      <c r="F46" s="1573">
        <v>8080</v>
      </c>
      <c r="G46" s="1573"/>
      <c r="H46" s="1573"/>
      <c r="I46" s="1574"/>
      <c r="J46" s="1574"/>
      <c r="K46" s="1678">
        <f>SUM(C46:J46)</f>
        <v>8080</v>
      </c>
      <c r="L46" s="1573">
        <v>8750</v>
      </c>
    </row>
    <row r="47" spans="1:14" ht="12.75" customHeight="1" thickBot="1" x14ac:dyDescent="0.25">
      <c r="A47" s="1380" t="s">
        <v>557</v>
      </c>
      <c r="B47" s="1381" t="s">
        <v>32</v>
      </c>
      <c r="C47" s="1674">
        <f>SUM(C44:C46)</f>
        <v>398</v>
      </c>
      <c r="D47" s="1674">
        <f t="shared" ref="D47:K47" si="4">SUM(D44:D46)</f>
        <v>0</v>
      </c>
      <c r="E47" s="1674">
        <f t="shared" si="4"/>
        <v>22032</v>
      </c>
      <c r="F47" s="1674">
        <f t="shared" si="4"/>
        <v>10066</v>
      </c>
      <c r="G47" s="1674">
        <f t="shared" si="4"/>
        <v>0</v>
      </c>
      <c r="H47" s="1674">
        <f t="shared" si="4"/>
        <v>931</v>
      </c>
      <c r="I47" s="1674">
        <f t="shared" si="4"/>
        <v>0</v>
      </c>
      <c r="J47" s="1674">
        <f t="shared" si="4"/>
        <v>0</v>
      </c>
      <c r="K47" s="1674">
        <f t="shared" si="4"/>
        <v>33427</v>
      </c>
      <c r="L47" s="1674">
        <f>SUM(L44:L46)</f>
        <v>35578</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114690</v>
      </c>
      <c r="F49" s="1586">
        <v>318</v>
      </c>
      <c r="G49" s="1586"/>
      <c r="H49" s="1586">
        <v>8257</v>
      </c>
      <c r="I49" s="1574"/>
      <c r="J49" s="1574"/>
      <c r="K49" s="1678">
        <f>SUM(C49:J49)</f>
        <v>123265</v>
      </c>
      <c r="L49" s="1586">
        <v>168900</v>
      </c>
    </row>
    <row r="50" spans="1:14" x14ac:dyDescent="0.2">
      <c r="A50" s="1274" t="s">
        <v>813</v>
      </c>
      <c r="B50" s="503">
        <v>2320</v>
      </c>
      <c r="C50" s="1573">
        <v>203297</v>
      </c>
      <c r="D50" s="1573">
        <v>33418</v>
      </c>
      <c r="E50" s="1573">
        <v>2185</v>
      </c>
      <c r="F50" s="1573">
        <v>1073</v>
      </c>
      <c r="G50" s="1573">
        <v>689</v>
      </c>
      <c r="H50" s="1573">
        <v>3012</v>
      </c>
      <c r="I50" s="1574"/>
      <c r="J50" s="1574"/>
      <c r="K50" s="1678">
        <f>SUM(C50:J50)</f>
        <v>243674</v>
      </c>
      <c r="L50" s="1573">
        <v>247859</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295</v>
      </c>
      <c r="B52" s="511" t="s">
        <v>363</v>
      </c>
      <c r="C52" s="1579"/>
      <c r="D52" s="1579"/>
      <c r="E52" s="1579">
        <v>24235</v>
      </c>
      <c r="F52" s="1579"/>
      <c r="G52" s="1579"/>
      <c r="H52" s="1579"/>
      <c r="I52" s="1579"/>
      <c r="J52" s="1579"/>
      <c r="K52" s="1678">
        <f>SUM(C52:J52)</f>
        <v>24235</v>
      </c>
      <c r="L52" s="1579">
        <v>25000</v>
      </c>
    </row>
    <row r="53" spans="1:14" ht="12.75" customHeight="1" thickBot="1" x14ac:dyDescent="0.25">
      <c r="A53" s="1380" t="s">
        <v>712</v>
      </c>
      <c r="B53" s="1381" t="s">
        <v>33</v>
      </c>
      <c r="C53" s="1674">
        <f>SUM(C49:C52)</f>
        <v>203297</v>
      </c>
      <c r="D53" s="1674">
        <f t="shared" ref="D53:L53" si="5">SUM(D49:D52)</f>
        <v>33418</v>
      </c>
      <c r="E53" s="1674">
        <f t="shared" si="5"/>
        <v>141110</v>
      </c>
      <c r="F53" s="1674">
        <f t="shared" si="5"/>
        <v>1391</v>
      </c>
      <c r="G53" s="1674">
        <f t="shared" si="5"/>
        <v>689</v>
      </c>
      <c r="H53" s="1674">
        <f t="shared" si="5"/>
        <v>11269</v>
      </c>
      <c r="I53" s="1674">
        <f t="shared" si="5"/>
        <v>0</v>
      </c>
      <c r="J53" s="1674">
        <f t="shared" si="5"/>
        <v>0</v>
      </c>
      <c r="K53" s="1674">
        <f t="shared" si="5"/>
        <v>391174</v>
      </c>
      <c r="L53" s="1674">
        <f t="shared" si="5"/>
        <v>441759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219879</v>
      </c>
      <c r="D55" s="1586">
        <v>43306</v>
      </c>
      <c r="E55" s="1586">
        <v>2474</v>
      </c>
      <c r="F55" s="1586">
        <v>2625</v>
      </c>
      <c r="G55" s="1586">
        <v>3449</v>
      </c>
      <c r="H55" s="1586">
        <v>1487</v>
      </c>
      <c r="I55" s="1574"/>
      <c r="J55" s="1574"/>
      <c r="K55" s="1678">
        <f>SUM(C55:J55)</f>
        <v>273220</v>
      </c>
      <c r="L55" s="1586">
        <v>271791</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219879</v>
      </c>
      <c r="D57" s="1679">
        <f t="shared" ref="D57:K57" si="6">SUM(D55:D56)</f>
        <v>43306</v>
      </c>
      <c r="E57" s="1679">
        <f t="shared" si="6"/>
        <v>2474</v>
      </c>
      <c r="F57" s="1679">
        <f t="shared" si="6"/>
        <v>2625</v>
      </c>
      <c r="G57" s="1679">
        <f t="shared" si="6"/>
        <v>3449</v>
      </c>
      <c r="H57" s="1679">
        <f t="shared" si="6"/>
        <v>1487</v>
      </c>
      <c r="I57" s="1679">
        <f t="shared" si="6"/>
        <v>0</v>
      </c>
      <c r="J57" s="1679">
        <f t="shared" si="6"/>
        <v>0</v>
      </c>
      <c r="K57" s="1679">
        <f t="shared" si="6"/>
        <v>273220</v>
      </c>
      <c r="L57" s="1674">
        <f>SUM(L55:L56)</f>
        <v>271791</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72792</v>
      </c>
      <c r="D60" s="1573">
        <v>6580</v>
      </c>
      <c r="E60" s="1573">
        <v>13448</v>
      </c>
      <c r="F60" s="1573">
        <v>6567</v>
      </c>
      <c r="G60" s="1573">
        <v>689</v>
      </c>
      <c r="H60" s="1573">
        <v>678</v>
      </c>
      <c r="I60" s="1574"/>
      <c r="J60" s="1574"/>
      <c r="K60" s="1678">
        <f t="shared" si="7"/>
        <v>100754</v>
      </c>
      <c r="L60" s="1573">
        <v>101725</v>
      </c>
      <c r="M60" s="501"/>
      <c r="N60" s="501"/>
    </row>
    <row r="61" spans="1:14" s="321" customFormat="1" x14ac:dyDescent="0.2">
      <c r="A61" s="1274" t="s">
        <v>195</v>
      </c>
      <c r="B61" s="503">
        <v>2540</v>
      </c>
      <c r="C61" s="1573"/>
      <c r="D61" s="1573"/>
      <c r="E61" s="1573">
        <v>36423</v>
      </c>
      <c r="F61" s="1573"/>
      <c r="G61" s="1573"/>
      <c r="H61" s="1573"/>
      <c r="I61" s="1574"/>
      <c r="J61" s="1574"/>
      <c r="K61" s="1678">
        <f t="shared" si="7"/>
        <v>36423</v>
      </c>
      <c r="L61" s="1573">
        <v>35000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56468</v>
      </c>
      <c r="D63" s="1573">
        <v>8591</v>
      </c>
      <c r="E63" s="1573">
        <v>3050</v>
      </c>
      <c r="F63" s="1573">
        <v>60374</v>
      </c>
      <c r="G63" s="1573"/>
      <c r="H63" s="1573">
        <v>772</v>
      </c>
      <c r="I63" s="1574"/>
      <c r="J63" s="1574"/>
      <c r="K63" s="1678">
        <f t="shared" si="7"/>
        <v>129255</v>
      </c>
      <c r="L63" s="1573">
        <v>131687</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129260</v>
      </c>
      <c r="D65" s="1674">
        <f t="shared" ref="D65:L65" si="8">SUM(D59:D64)</f>
        <v>15171</v>
      </c>
      <c r="E65" s="1674">
        <f t="shared" si="8"/>
        <v>52921</v>
      </c>
      <c r="F65" s="1674">
        <f t="shared" si="8"/>
        <v>66941</v>
      </c>
      <c r="G65" s="1674">
        <f t="shared" si="8"/>
        <v>689</v>
      </c>
      <c r="H65" s="1674">
        <f t="shared" si="8"/>
        <v>1450</v>
      </c>
      <c r="I65" s="1674">
        <f t="shared" si="8"/>
        <v>0</v>
      </c>
      <c r="J65" s="1674">
        <f t="shared" si="8"/>
        <v>0</v>
      </c>
      <c r="K65" s="1674">
        <f t="shared" si="8"/>
        <v>266432</v>
      </c>
      <c r="L65" s="1674">
        <f t="shared" si="8"/>
        <v>268412</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v>7607</v>
      </c>
      <c r="F69" s="1573">
        <v>1782</v>
      </c>
      <c r="G69" s="1573">
        <v>9069</v>
      </c>
      <c r="H69" s="1573"/>
      <c r="I69" s="1574"/>
      <c r="J69" s="1574"/>
      <c r="K69" s="1678">
        <f>SUM(C69:J69)</f>
        <v>18458</v>
      </c>
      <c r="L69" s="1573">
        <v>3700</v>
      </c>
      <c r="M69" s="501"/>
      <c r="N69" s="501"/>
    </row>
    <row r="70" spans="1:14" s="321" customFormat="1" x14ac:dyDescent="0.2">
      <c r="A70" s="1274" t="s">
        <v>400</v>
      </c>
      <c r="B70" s="503">
        <v>2640</v>
      </c>
      <c r="C70" s="1573">
        <v>4806</v>
      </c>
      <c r="D70" s="1573"/>
      <c r="E70" s="1573">
        <v>9129</v>
      </c>
      <c r="F70" s="1573">
        <v>2874</v>
      </c>
      <c r="G70" s="1573"/>
      <c r="H70" s="1573"/>
      <c r="I70" s="1574"/>
      <c r="J70" s="1574"/>
      <c r="K70" s="1678">
        <f>SUM(C70:J70)</f>
        <v>16809</v>
      </c>
      <c r="L70" s="1573">
        <v>16580</v>
      </c>
      <c r="M70" s="501"/>
      <c r="N70" s="501"/>
    </row>
    <row r="71" spans="1:14" s="321" customFormat="1" x14ac:dyDescent="0.2">
      <c r="A71" s="1274" t="s">
        <v>401</v>
      </c>
      <c r="B71" s="503">
        <v>2660</v>
      </c>
      <c r="C71" s="1573"/>
      <c r="D71" s="1573"/>
      <c r="E71" s="1573">
        <v>69262</v>
      </c>
      <c r="F71" s="1573">
        <v>16939</v>
      </c>
      <c r="G71" s="1573"/>
      <c r="H71" s="1573"/>
      <c r="I71" s="1574"/>
      <c r="J71" s="1574"/>
      <c r="K71" s="1678">
        <f>SUM(C71:J71)</f>
        <v>86201</v>
      </c>
      <c r="L71" s="1573">
        <v>85000</v>
      </c>
      <c r="M71" s="501"/>
      <c r="N71" s="501"/>
    </row>
    <row r="72" spans="1:14" s="321" customFormat="1" ht="12.75" customHeight="1" thickBot="1" x14ac:dyDescent="0.25">
      <c r="A72" s="1380" t="s">
        <v>37</v>
      </c>
      <c r="B72" s="1383" t="s">
        <v>36</v>
      </c>
      <c r="C72" s="1674">
        <f>SUM(C67:C71)</f>
        <v>4806</v>
      </c>
      <c r="D72" s="1674">
        <f t="shared" ref="D72:K72" si="9">SUM(D67:D71)</f>
        <v>0</v>
      </c>
      <c r="E72" s="1674">
        <f t="shared" si="9"/>
        <v>85998</v>
      </c>
      <c r="F72" s="1674">
        <f t="shared" si="9"/>
        <v>21595</v>
      </c>
      <c r="G72" s="1674">
        <f t="shared" si="9"/>
        <v>9069</v>
      </c>
      <c r="H72" s="1674">
        <f t="shared" si="9"/>
        <v>0</v>
      </c>
      <c r="I72" s="1674">
        <f t="shared" si="9"/>
        <v>0</v>
      </c>
      <c r="J72" s="1674">
        <f t="shared" si="9"/>
        <v>0</v>
      </c>
      <c r="K72" s="1674">
        <f t="shared" si="9"/>
        <v>121468</v>
      </c>
      <c r="L72" s="1674">
        <f>SUM(L67:L71)</f>
        <v>105280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681827</v>
      </c>
      <c r="D74" s="1681">
        <f t="shared" ref="D74:K74" si="10">SUM(D42,D47,D53,D57,D65,D72,D73)</f>
        <v>117988</v>
      </c>
      <c r="E74" s="1681">
        <f t="shared" si="10"/>
        <v>313777</v>
      </c>
      <c r="F74" s="1681">
        <f t="shared" si="10"/>
        <v>104108</v>
      </c>
      <c r="G74" s="1681">
        <f t="shared" si="10"/>
        <v>13896</v>
      </c>
      <c r="H74" s="1681">
        <f t="shared" si="10"/>
        <v>15212</v>
      </c>
      <c r="I74" s="1681">
        <f t="shared" si="10"/>
        <v>0</v>
      </c>
      <c r="J74" s="1681">
        <f t="shared" si="10"/>
        <v>0</v>
      </c>
      <c r="K74" s="1681">
        <f t="shared" si="10"/>
        <v>1246808</v>
      </c>
      <c r="L74" s="1681">
        <f>SUM(L42,L47,L53,L57,L65,L72,L73)</f>
        <v>1330494</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v>32371</v>
      </c>
      <c r="F79" s="1673"/>
      <c r="G79" s="1673"/>
      <c r="H79" s="1573"/>
      <c r="I79" s="1582"/>
      <c r="J79" s="1582"/>
      <c r="K79" s="1672">
        <f t="shared" si="11"/>
        <v>32371</v>
      </c>
      <c r="L79" s="1573">
        <v>55000</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1468</v>
      </c>
      <c r="B84" s="1385">
        <v>4100</v>
      </c>
      <c r="C84" s="1673"/>
      <c r="D84" s="1673"/>
      <c r="E84" s="1674">
        <f>SUM(E78:E83)</f>
        <v>32371</v>
      </c>
      <c r="F84" s="1673"/>
      <c r="G84" s="1673"/>
      <c r="H84" s="1674">
        <f>SUM(H78:H83)</f>
        <v>0</v>
      </c>
      <c r="I84" s="1582"/>
      <c r="J84" s="1582"/>
      <c r="K84" s="1674">
        <f>SUM(K78:K83)</f>
        <v>32371</v>
      </c>
      <c r="L84" s="1674">
        <f>SUM(L78:L83)</f>
        <v>55000</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v>49929</v>
      </c>
      <c r="I86" s="1582"/>
      <c r="J86" s="1582"/>
      <c r="K86" s="1681">
        <f t="shared" ref="K86:K98" si="12">H86</f>
        <v>49929</v>
      </c>
      <c r="L86" s="1626">
        <v>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49929</v>
      </c>
      <c r="I92" s="1582"/>
      <c r="J92" s="1582"/>
      <c r="K92" s="1681">
        <f t="shared" si="12"/>
        <v>49929</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32371</v>
      </c>
      <c r="F102" s="1673"/>
      <c r="G102" s="1673"/>
      <c r="H102" s="1681">
        <f>SUM(H84,H92,H100,H101)</f>
        <v>49929</v>
      </c>
      <c r="I102" s="1582"/>
      <c r="J102" s="1582"/>
      <c r="K102" s="1681">
        <f>SUM(K84,K92,K100,K101)</f>
        <v>82300</v>
      </c>
      <c r="L102" s="1681">
        <f>SUM(L84,L92,L100,L101)</f>
        <v>55000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50000</v>
      </c>
      <c r="M113" s="502"/>
      <c r="N113" s="502"/>
    </row>
    <row r="114" spans="1:14" ht="12.75" customHeight="1" thickTop="1" thickBot="1" x14ac:dyDescent="0.25">
      <c r="A114" s="1380" t="s">
        <v>48</v>
      </c>
      <c r="B114" s="1388"/>
      <c r="C114" s="1674">
        <f>SUM(C33,C74,C75,C102,C112,C113)</f>
        <v>2140798</v>
      </c>
      <c r="D114" s="1674">
        <f t="shared" ref="D114:K114" si="13">SUM(D33,D74,D75,D102,D112,D113)</f>
        <v>485838</v>
      </c>
      <c r="E114" s="1674">
        <f t="shared" si="13"/>
        <v>355485</v>
      </c>
      <c r="F114" s="1674">
        <f t="shared" si="13"/>
        <v>194471</v>
      </c>
      <c r="G114" s="1674">
        <f t="shared" si="13"/>
        <v>20679</v>
      </c>
      <c r="H114" s="1674">
        <f>SUM(H33,H74,H75,H102,H112,H113)</f>
        <v>69655</v>
      </c>
      <c r="I114" s="1674">
        <f t="shared" si="13"/>
        <v>0</v>
      </c>
      <c r="J114" s="1674">
        <f t="shared" si="13"/>
        <v>0</v>
      </c>
      <c r="K114" s="1674">
        <f t="shared" si="13"/>
        <v>3266926</v>
      </c>
      <c r="L114" s="1674">
        <f>SUM(L33,L74,L75,L102,L112,L113)</f>
        <v>3454644</v>
      </c>
    </row>
    <row r="115" spans="1:14" ht="13.5" thickTop="1" x14ac:dyDescent="0.2">
      <c r="A115" s="2262" t="s">
        <v>989</v>
      </c>
      <c r="B115" s="2263"/>
      <c r="C115" s="1675"/>
      <c r="D115" s="1675"/>
      <c r="E115" s="1675"/>
      <c r="F115" s="1675"/>
      <c r="G115" s="1675"/>
      <c r="H115" s="1675"/>
      <c r="I115" s="1675"/>
      <c r="J115" s="1675"/>
      <c r="K115" s="1689">
        <f>'Revenues 9-14'!C268-'Expenditures 15-22'!K114</f>
        <v>191785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v>127842</v>
      </c>
      <c r="D124" s="1573">
        <v>20608</v>
      </c>
      <c r="E124" s="1573">
        <v>93677</v>
      </c>
      <c r="F124" s="1573">
        <v>101034</v>
      </c>
      <c r="G124" s="1573">
        <v>93456</v>
      </c>
      <c r="H124" s="1573">
        <v>1253</v>
      </c>
      <c r="I124" s="1574"/>
      <c r="J124" s="1574"/>
      <c r="K124" s="1674">
        <f>SUM(C124:J124)</f>
        <v>437870</v>
      </c>
      <c r="L124" s="1573">
        <v>517666</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127842</v>
      </c>
      <c r="D127" s="1674">
        <f t="shared" ref="D127:L127" si="14">SUM(D122:D126)</f>
        <v>20608</v>
      </c>
      <c r="E127" s="1674">
        <f t="shared" si="14"/>
        <v>93677</v>
      </c>
      <c r="F127" s="1674">
        <f t="shared" si="14"/>
        <v>101034</v>
      </c>
      <c r="G127" s="1674">
        <f t="shared" si="14"/>
        <v>93456</v>
      </c>
      <c r="H127" s="1674">
        <f t="shared" si="14"/>
        <v>1253</v>
      </c>
      <c r="I127" s="1674">
        <f t="shared" si="14"/>
        <v>0</v>
      </c>
      <c r="J127" s="1674">
        <f t="shared" si="14"/>
        <v>0</v>
      </c>
      <c r="K127" s="1674">
        <f t="shared" si="14"/>
        <v>437870</v>
      </c>
      <c r="L127" s="1674">
        <f t="shared" si="14"/>
        <v>517666</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127842</v>
      </c>
      <c r="D129" s="1681">
        <f t="shared" ref="D129:L129" si="15">SUM(D120,D127,D128)</f>
        <v>20608</v>
      </c>
      <c r="E129" s="1681">
        <f t="shared" si="15"/>
        <v>93677</v>
      </c>
      <c r="F129" s="1681">
        <f t="shared" si="15"/>
        <v>101034</v>
      </c>
      <c r="G129" s="1681">
        <f t="shared" si="15"/>
        <v>93456</v>
      </c>
      <c r="H129" s="1681">
        <f t="shared" si="15"/>
        <v>1253</v>
      </c>
      <c r="I129" s="1681">
        <f t="shared" si="15"/>
        <v>0</v>
      </c>
      <c r="J129" s="1681">
        <f t="shared" si="15"/>
        <v>0</v>
      </c>
      <c r="K129" s="1681">
        <f t="shared" si="15"/>
        <v>437870</v>
      </c>
      <c r="L129" s="1681">
        <f t="shared" si="15"/>
        <v>517666</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9" t="s">
        <v>616</v>
      </c>
      <c r="B151" s="2259"/>
      <c r="C151" s="1674">
        <f>SUM(C129,C130,C139,C149,C150)</f>
        <v>127842</v>
      </c>
      <c r="D151" s="1674">
        <f t="shared" ref="D151:K151" si="16">SUM(D129,D130,D139,D149,D150)</f>
        <v>20608</v>
      </c>
      <c r="E151" s="1674">
        <f t="shared" si="16"/>
        <v>93677</v>
      </c>
      <c r="F151" s="1674">
        <f t="shared" si="16"/>
        <v>101034</v>
      </c>
      <c r="G151" s="1674">
        <f t="shared" si="16"/>
        <v>93456</v>
      </c>
      <c r="H151" s="1674">
        <f t="shared" si="16"/>
        <v>1253</v>
      </c>
      <c r="I151" s="1674">
        <f t="shared" si="16"/>
        <v>0</v>
      </c>
      <c r="J151" s="1674">
        <f t="shared" si="16"/>
        <v>0</v>
      </c>
      <c r="K151" s="1674">
        <f t="shared" si="16"/>
        <v>437870</v>
      </c>
      <c r="L151" s="1674">
        <f>SUM(L129,L130,L139,L149,L150)</f>
        <v>517666</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123526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271363</v>
      </c>
      <c r="I169" s="1673"/>
      <c r="J169" s="1673"/>
      <c r="K169" s="1672">
        <f>SUM(C169:H169)</f>
        <v>271363</v>
      </c>
      <c r="L169" s="1695">
        <v>1190100</v>
      </c>
    </row>
    <row r="170" spans="1:14" ht="33.75" customHeight="1" x14ac:dyDescent="0.2">
      <c r="A170" s="543" t="s">
        <v>1651</v>
      </c>
      <c r="B170" s="545" t="s">
        <v>31</v>
      </c>
      <c r="C170" s="1673"/>
      <c r="D170" s="1673"/>
      <c r="E170" s="1673"/>
      <c r="F170" s="1673"/>
      <c r="G170" s="1673"/>
      <c r="H170" s="1646">
        <v>275100</v>
      </c>
      <c r="I170" s="1673"/>
      <c r="J170" s="1673"/>
      <c r="K170" s="1672">
        <f>SUM(C170:J170)</f>
        <v>275100</v>
      </c>
      <c r="L170" s="1646">
        <v>315386</v>
      </c>
    </row>
    <row r="171" spans="1:14" ht="15.75" customHeight="1" x14ac:dyDescent="0.2">
      <c r="A171" s="507" t="s">
        <v>761</v>
      </c>
      <c r="B171" s="546" t="s">
        <v>84</v>
      </c>
      <c r="C171" s="1673"/>
      <c r="D171" s="1673"/>
      <c r="E171" s="1573"/>
      <c r="F171" s="1673"/>
      <c r="G171" s="1673"/>
      <c r="H171" s="1646">
        <v>1000</v>
      </c>
      <c r="I171" s="1582"/>
      <c r="J171" s="1673"/>
      <c r="K171" s="1672">
        <f>SUM(C171:J171)</f>
        <v>1000</v>
      </c>
      <c r="L171" s="1646">
        <v>249568</v>
      </c>
    </row>
    <row r="172" spans="1:14" ht="12.75" customHeight="1" thickBot="1" x14ac:dyDescent="0.25">
      <c r="A172" s="1380" t="s">
        <v>633</v>
      </c>
      <c r="B172" s="1381" t="s">
        <v>489</v>
      </c>
      <c r="C172" s="1673"/>
      <c r="D172" s="1673"/>
      <c r="E172" s="1681">
        <f>SUM(E168,E169,E170,E171)</f>
        <v>0</v>
      </c>
      <c r="F172" s="1673"/>
      <c r="G172" s="1673"/>
      <c r="H172" s="1681">
        <f>SUM(H168,H169,H170,H171)</f>
        <v>547463</v>
      </c>
      <c r="I172" s="1684"/>
      <c r="J172" s="1673"/>
      <c r="K172" s="1681">
        <f>SUM(K168,K169,K170,K171)</f>
        <v>547463</v>
      </c>
      <c r="L172" s="1681">
        <f>SUM(L168,L169,L170,L171)</f>
        <v>1755054</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547463</v>
      </c>
      <c r="I174" s="1684"/>
      <c r="J174" s="1673"/>
      <c r="K174" s="1681">
        <f>SUM(K160,K172,K173)</f>
        <v>547463</v>
      </c>
      <c r="L174" s="1681">
        <f>SUM(L160,L172,L173)</f>
        <v>1755054</v>
      </c>
    </row>
    <row r="175" spans="1:14" ht="13.5" thickTop="1" x14ac:dyDescent="0.2">
      <c r="A175" s="2262" t="s">
        <v>989</v>
      </c>
      <c r="B175" s="2263"/>
      <c r="C175" s="1673"/>
      <c r="D175" s="1673"/>
      <c r="E175" s="1673"/>
      <c r="F175" s="1673"/>
      <c r="G175" s="1673"/>
      <c r="H175" s="1675"/>
      <c r="I175" s="1673"/>
      <c r="J175" s="1673"/>
      <c r="K175" s="1689">
        <f>'Revenues 9-14'!E268-'Expenditures 15-22'!K174</f>
        <v>1907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109343</v>
      </c>
      <c r="D182" s="1573">
        <v>3375</v>
      </c>
      <c r="E182" s="1573">
        <v>108751</v>
      </c>
      <c r="F182" s="1573">
        <v>19048</v>
      </c>
      <c r="G182" s="1573"/>
      <c r="H182" s="1573">
        <v>60</v>
      </c>
      <c r="I182" s="1574"/>
      <c r="J182" s="1574"/>
      <c r="K182" s="1672">
        <f>SUM(C182:J182)</f>
        <v>240577</v>
      </c>
      <c r="L182" s="1573">
        <v>271399</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109343</v>
      </c>
      <c r="D184" s="1681">
        <f t="shared" ref="D184:J184" si="17">SUM(D180,D182,D183)</f>
        <v>3375</v>
      </c>
      <c r="E184" s="1681">
        <f t="shared" si="17"/>
        <v>108751</v>
      </c>
      <c r="F184" s="1681">
        <f t="shared" si="17"/>
        <v>19048</v>
      </c>
      <c r="G184" s="1681">
        <f t="shared" si="17"/>
        <v>0</v>
      </c>
      <c r="H184" s="1681">
        <f t="shared" si="17"/>
        <v>60</v>
      </c>
      <c r="I184" s="1681">
        <f t="shared" si="17"/>
        <v>0</v>
      </c>
      <c r="J184" s="1681">
        <f t="shared" si="17"/>
        <v>0</v>
      </c>
      <c r="K184" s="1681">
        <f>SUM(K180,K182,K183)</f>
        <v>240577</v>
      </c>
      <c r="L184" s="1681">
        <f>SUM(L180, L182:L183)</f>
        <v>271399</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109343</v>
      </c>
      <c r="D210" s="1674">
        <f>SUM(D184,D185)</f>
        <v>3375</v>
      </c>
      <c r="E210" s="1674">
        <f>SUM(E184,E185,E196)</f>
        <v>108751</v>
      </c>
      <c r="F210" s="1674">
        <f>SUM(F184,F185)</f>
        <v>19048</v>
      </c>
      <c r="G210" s="1674">
        <f>SUM(G184,G185)</f>
        <v>0</v>
      </c>
      <c r="H210" s="1674">
        <f>SUM(H184,H185,H196,H208,H209)</f>
        <v>60</v>
      </c>
      <c r="I210" s="1674">
        <f>SUM(I184,I185)</f>
        <v>0</v>
      </c>
      <c r="J210" s="1674">
        <f>SUM(J184,J185)</f>
        <v>0</v>
      </c>
      <c r="K210" s="1672">
        <f>SUM(K184,K185,K196,K208,K209)</f>
        <v>240577</v>
      </c>
      <c r="L210" s="1674">
        <f>SUM(L184,L185,L196,L208,L209)</f>
        <v>271399</v>
      </c>
    </row>
    <row r="211" spans="1:14" ht="13.5" thickTop="1" x14ac:dyDescent="0.2">
      <c r="A211" s="2262" t="s">
        <v>989</v>
      </c>
      <c r="B211" s="2263"/>
      <c r="C211" s="1675"/>
      <c r="D211" s="1675"/>
      <c r="E211" s="1675"/>
      <c r="F211" s="1675"/>
      <c r="G211" s="1675"/>
      <c r="H211" s="1675"/>
      <c r="I211" s="1673"/>
      <c r="J211" s="1673"/>
      <c r="K211" s="1689">
        <f>'Revenues 9-14'!F268-'Expenditures 15-22'!K210</f>
        <v>-8697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14479</v>
      </c>
      <c r="E215" s="1673"/>
      <c r="F215" s="1673"/>
      <c r="G215" s="1673"/>
      <c r="H215" s="1673"/>
      <c r="I215" s="1673"/>
      <c r="J215" s="1673"/>
      <c r="K215" s="1672">
        <f>D215</f>
        <v>14479</v>
      </c>
      <c r="L215" s="1573">
        <v>13713</v>
      </c>
    </row>
    <row r="216" spans="1:14" x14ac:dyDescent="0.2">
      <c r="A216" s="1274" t="s">
        <v>162</v>
      </c>
      <c r="B216" s="503" t="s">
        <v>961</v>
      </c>
      <c r="C216" s="1673"/>
      <c r="D216" s="1574"/>
      <c r="E216" s="1673"/>
      <c r="F216" s="1673"/>
      <c r="G216" s="1673"/>
      <c r="H216" s="1673"/>
      <c r="I216" s="1673"/>
      <c r="J216" s="1673"/>
      <c r="K216" s="1672">
        <f t="shared" ref="K216:K228" si="19">D216</f>
        <v>0</v>
      </c>
      <c r="L216" s="1573">
        <v>0</v>
      </c>
    </row>
    <row r="217" spans="1:14" x14ac:dyDescent="0.2">
      <c r="A217" s="1274" t="s">
        <v>163</v>
      </c>
      <c r="B217" s="503">
        <v>1200</v>
      </c>
      <c r="C217" s="1673"/>
      <c r="D217" s="1573">
        <v>19289</v>
      </c>
      <c r="E217" s="1673"/>
      <c r="F217" s="1673"/>
      <c r="G217" s="1673"/>
      <c r="H217" s="1673"/>
      <c r="I217" s="1673"/>
      <c r="J217" s="1673"/>
      <c r="K217" s="1672">
        <f t="shared" si="19"/>
        <v>19289</v>
      </c>
      <c r="L217" s="1573">
        <v>20224</v>
      </c>
    </row>
    <row r="218" spans="1:14" x14ac:dyDescent="0.2">
      <c r="A218" s="1274" t="s">
        <v>276</v>
      </c>
      <c r="B218" s="503" t="s">
        <v>962</v>
      </c>
      <c r="C218" s="1673"/>
      <c r="D218" s="1574">
        <v>2505</v>
      </c>
      <c r="E218" s="1673"/>
      <c r="F218" s="1673"/>
      <c r="G218" s="1673"/>
      <c r="H218" s="1673"/>
      <c r="I218" s="1673"/>
      <c r="J218" s="1673"/>
      <c r="K218" s="1672">
        <f t="shared" si="19"/>
        <v>2505</v>
      </c>
      <c r="L218" s="1573">
        <v>3003</v>
      </c>
    </row>
    <row r="219" spans="1:14" x14ac:dyDescent="0.2">
      <c r="A219" s="1274" t="s">
        <v>277</v>
      </c>
      <c r="B219" s="503">
        <v>1250</v>
      </c>
      <c r="C219" s="1673"/>
      <c r="D219" s="1573">
        <v>641</v>
      </c>
      <c r="E219" s="1673"/>
      <c r="F219" s="1673"/>
      <c r="G219" s="1673"/>
      <c r="H219" s="1673"/>
      <c r="I219" s="1673"/>
      <c r="J219" s="1673"/>
      <c r="K219" s="1672">
        <f t="shared" si="19"/>
        <v>641</v>
      </c>
      <c r="L219" s="1573">
        <v>756</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c r="E222" s="1673"/>
      <c r="F222" s="1673"/>
      <c r="G222" s="1673"/>
      <c r="H222" s="1673"/>
      <c r="I222" s="1673"/>
      <c r="J222" s="1673"/>
      <c r="K222" s="1672">
        <f t="shared" si="19"/>
        <v>0</v>
      </c>
      <c r="L222" s="1573">
        <v>0</v>
      </c>
    </row>
    <row r="223" spans="1:14" x14ac:dyDescent="0.2">
      <c r="A223" s="1274" t="s">
        <v>957</v>
      </c>
      <c r="B223" s="503">
        <v>1500</v>
      </c>
      <c r="C223" s="1673"/>
      <c r="D223" s="1573">
        <v>1301</v>
      </c>
      <c r="E223" s="1673"/>
      <c r="F223" s="1673"/>
      <c r="G223" s="1673"/>
      <c r="H223" s="1673"/>
      <c r="I223" s="1673"/>
      <c r="J223" s="1673"/>
      <c r="K223" s="1672">
        <f t="shared" si="19"/>
        <v>1301</v>
      </c>
      <c r="L223" s="1573">
        <v>523</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c r="E226" s="1673"/>
      <c r="F226" s="1673"/>
      <c r="G226" s="1673"/>
      <c r="H226" s="1673"/>
      <c r="I226" s="1673"/>
      <c r="J226" s="1673"/>
      <c r="K226" s="1672">
        <f t="shared" si="19"/>
        <v>0</v>
      </c>
      <c r="L226" s="1573">
        <v>0</v>
      </c>
    </row>
    <row r="227" spans="1:12" x14ac:dyDescent="0.2">
      <c r="A227" s="1274" t="s">
        <v>1078</v>
      </c>
      <c r="B227" s="503">
        <v>1800</v>
      </c>
      <c r="C227" s="1673"/>
      <c r="D227" s="1573">
        <v>665</v>
      </c>
      <c r="E227" s="1673"/>
      <c r="F227" s="1673"/>
      <c r="G227" s="1673"/>
      <c r="H227" s="1673"/>
      <c r="I227" s="1673"/>
      <c r="J227" s="1673"/>
      <c r="K227" s="1672">
        <f t="shared" si="19"/>
        <v>665</v>
      </c>
      <c r="L227" s="1573">
        <v>669</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38880</v>
      </c>
      <c r="E229" s="1673"/>
      <c r="F229" s="1673"/>
      <c r="G229" s="1673"/>
      <c r="H229" s="1673"/>
      <c r="I229" s="1673"/>
      <c r="J229" s="1673"/>
      <c r="K229" s="1674">
        <f>SUM(K215:K228)</f>
        <v>38880</v>
      </c>
      <c r="L229" s="1674">
        <f>SUM(L215:L228)</f>
        <v>38888</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v>0</v>
      </c>
    </row>
    <row r="233" spans="1:12" x14ac:dyDescent="0.2">
      <c r="A233" s="1274" t="s">
        <v>1081</v>
      </c>
      <c r="B233" s="503">
        <v>2120</v>
      </c>
      <c r="C233" s="1673"/>
      <c r="D233" s="1573">
        <v>589</v>
      </c>
      <c r="E233" s="1673"/>
      <c r="F233" s="1673"/>
      <c r="G233" s="1673"/>
      <c r="H233" s="1673"/>
      <c r="I233" s="1673"/>
      <c r="J233" s="1673"/>
      <c r="K233" s="1672">
        <f t="shared" si="20"/>
        <v>589</v>
      </c>
      <c r="L233" s="1573">
        <v>592</v>
      </c>
    </row>
    <row r="234" spans="1:12" x14ac:dyDescent="0.2">
      <c r="A234" s="1274" t="s">
        <v>196</v>
      </c>
      <c r="B234" s="503">
        <v>2130</v>
      </c>
      <c r="C234" s="1673"/>
      <c r="D234" s="1573">
        <v>2</v>
      </c>
      <c r="E234" s="1673"/>
      <c r="F234" s="1673"/>
      <c r="G234" s="1673"/>
      <c r="H234" s="1673"/>
      <c r="I234" s="1673"/>
      <c r="J234" s="1673"/>
      <c r="K234" s="1672">
        <f t="shared" si="20"/>
        <v>2</v>
      </c>
      <c r="L234" s="1573">
        <v>0</v>
      </c>
    </row>
    <row r="235" spans="1:12" x14ac:dyDescent="0.2">
      <c r="A235" s="1274" t="s">
        <v>197</v>
      </c>
      <c r="B235" s="503">
        <v>2140</v>
      </c>
      <c r="C235" s="1673"/>
      <c r="D235" s="1573">
        <v>256</v>
      </c>
      <c r="E235" s="1673"/>
      <c r="F235" s="1673"/>
      <c r="G235" s="1673"/>
      <c r="H235" s="1673"/>
      <c r="I235" s="1673"/>
      <c r="J235" s="1673"/>
      <c r="K235" s="1672">
        <f t="shared" si="20"/>
        <v>256</v>
      </c>
      <c r="L235" s="1573">
        <v>0</v>
      </c>
    </row>
    <row r="236" spans="1:12" x14ac:dyDescent="0.2">
      <c r="A236" s="1274" t="s">
        <v>198</v>
      </c>
      <c r="B236" s="503">
        <v>2150</v>
      </c>
      <c r="C236" s="1673"/>
      <c r="D236" s="1573">
        <v>919</v>
      </c>
      <c r="E236" s="1673"/>
      <c r="F236" s="1673"/>
      <c r="G236" s="1673"/>
      <c r="H236" s="1673"/>
      <c r="I236" s="1673"/>
      <c r="J236" s="1673"/>
      <c r="K236" s="1672">
        <f t="shared" si="20"/>
        <v>919</v>
      </c>
      <c r="L236" s="1573">
        <v>960</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1766</v>
      </c>
      <c r="E238" s="1673"/>
      <c r="F238" s="1673"/>
      <c r="G238" s="1673"/>
      <c r="H238" s="1673"/>
      <c r="I238" s="1673"/>
      <c r="J238" s="1673"/>
      <c r="K238" s="1674">
        <f>SUM(K232:K237)</f>
        <v>1766</v>
      </c>
      <c r="L238" s="1674">
        <f>SUM(L232:L237)</f>
        <v>1552</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0</v>
      </c>
    </row>
    <row r="241" spans="1:12" x14ac:dyDescent="0.2">
      <c r="A241" s="1274" t="s">
        <v>810</v>
      </c>
      <c r="B241" s="503">
        <v>2220</v>
      </c>
      <c r="C241" s="1673"/>
      <c r="D241" s="1573">
        <v>29</v>
      </c>
      <c r="E241" s="1673"/>
      <c r="F241" s="1673"/>
      <c r="G241" s="1673"/>
      <c r="H241" s="1673"/>
      <c r="I241" s="1673"/>
      <c r="J241" s="1673"/>
      <c r="K241" s="1678">
        <f>D241</f>
        <v>29</v>
      </c>
      <c r="L241" s="1573">
        <v>245</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29</v>
      </c>
      <c r="E243" s="1673"/>
      <c r="F243" s="1673"/>
      <c r="G243" s="1673"/>
      <c r="H243" s="1673"/>
      <c r="I243" s="1673"/>
      <c r="J243" s="1673"/>
      <c r="K243" s="1674">
        <f>SUM(K240:K242)</f>
        <v>29</v>
      </c>
      <c r="L243" s="1674">
        <f>SUM(L240:L242)</f>
        <v>245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v>0</v>
      </c>
    </row>
    <row r="246" spans="1:12" x14ac:dyDescent="0.2">
      <c r="A246" s="1274" t="s">
        <v>813</v>
      </c>
      <c r="B246" s="503">
        <v>2320</v>
      </c>
      <c r="C246" s="1673"/>
      <c r="D246" s="1573">
        <v>9522</v>
      </c>
      <c r="E246" s="1673"/>
      <c r="F246" s="1673"/>
      <c r="G246" s="1673"/>
      <c r="H246" s="1673"/>
      <c r="I246" s="1673"/>
      <c r="J246" s="1673"/>
      <c r="K246" s="1678">
        <f t="shared" ref="K246:K256" si="21">D246</f>
        <v>9522</v>
      </c>
      <c r="L246" s="1573">
        <v>9342</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1782</v>
      </c>
      <c r="B249" s="557" t="s">
        <v>280</v>
      </c>
      <c r="C249" s="1673"/>
      <c r="D249" s="1579"/>
      <c r="E249" s="1673"/>
      <c r="F249" s="1673"/>
      <c r="G249" s="1673"/>
      <c r="H249" s="1673"/>
      <c r="I249" s="1673"/>
      <c r="J249" s="1673"/>
      <c r="K249" s="1678">
        <f t="shared" si="21"/>
        <v>0</v>
      </c>
      <c r="L249" s="1573">
        <v>0</v>
      </c>
    </row>
    <row r="250" spans="1:12" x14ac:dyDescent="0.2">
      <c r="A250" s="1275" t="s">
        <v>1783</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9522</v>
      </c>
      <c r="E257" s="1673"/>
      <c r="F257" s="1673"/>
      <c r="G257" s="1673"/>
      <c r="H257" s="1673"/>
      <c r="I257" s="1673"/>
      <c r="J257" s="1673"/>
      <c r="K257" s="1674">
        <f>SUM(K245:K256)</f>
        <v>9522</v>
      </c>
      <c r="L257" s="1674">
        <f>SUM(L245:L256)</f>
        <v>9342</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10370</v>
      </c>
      <c r="E259" s="1673"/>
      <c r="F259" s="1673"/>
      <c r="G259" s="1673"/>
      <c r="H259" s="1673"/>
      <c r="I259" s="1673"/>
      <c r="J259" s="1673"/>
      <c r="K259" s="1678">
        <f>D259</f>
        <v>10370</v>
      </c>
      <c r="L259" s="1586">
        <v>10750</v>
      </c>
    </row>
    <row r="260" spans="1:14" s="493" customFormat="1" x14ac:dyDescent="0.2">
      <c r="A260" s="1292" t="s">
        <v>1781</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10370</v>
      </c>
      <c r="E261" s="1673"/>
      <c r="F261" s="1673"/>
      <c r="G261" s="1673"/>
      <c r="H261" s="1673"/>
      <c r="I261" s="1673"/>
      <c r="J261" s="1673"/>
      <c r="K261" s="1674">
        <f>SUM(K259:K260)</f>
        <v>10370</v>
      </c>
      <c r="L261" s="1674">
        <f>SUM(L259:L260)</f>
        <v>10750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10002</v>
      </c>
      <c r="E264" s="1673"/>
      <c r="F264" s="1673"/>
      <c r="G264" s="1673"/>
      <c r="H264" s="1673"/>
      <c r="I264" s="1673"/>
      <c r="J264" s="1673"/>
      <c r="K264" s="1678">
        <f t="shared" ref="K264:K269" si="22">D264</f>
        <v>10002</v>
      </c>
      <c r="L264" s="1573">
        <v>10654</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17115</v>
      </c>
      <c r="E266" s="1673"/>
      <c r="F266" s="1673"/>
      <c r="G266" s="1673"/>
      <c r="H266" s="1673"/>
      <c r="I266" s="1673"/>
      <c r="J266" s="1673"/>
      <c r="K266" s="1678">
        <f t="shared" si="22"/>
        <v>17115</v>
      </c>
      <c r="L266" s="1573">
        <v>19117</v>
      </c>
    </row>
    <row r="267" spans="1:14" x14ac:dyDescent="0.2">
      <c r="A267" s="1274" t="s">
        <v>947</v>
      </c>
      <c r="B267" s="503">
        <v>2550</v>
      </c>
      <c r="C267" s="1673"/>
      <c r="D267" s="1573">
        <v>11115</v>
      </c>
      <c r="E267" s="1673"/>
      <c r="F267" s="1673"/>
      <c r="G267" s="1673"/>
      <c r="H267" s="1673"/>
      <c r="I267" s="1673"/>
      <c r="J267" s="1673"/>
      <c r="K267" s="1678">
        <f t="shared" si="22"/>
        <v>11115</v>
      </c>
      <c r="L267" s="1573">
        <v>12704</v>
      </c>
    </row>
    <row r="268" spans="1:14" x14ac:dyDescent="0.2">
      <c r="A268" s="1274" t="s">
        <v>100</v>
      </c>
      <c r="B268" s="503">
        <v>2560</v>
      </c>
      <c r="C268" s="1673"/>
      <c r="D268" s="1573">
        <v>6897</v>
      </c>
      <c r="E268" s="1673"/>
      <c r="F268" s="1673"/>
      <c r="G268" s="1673"/>
      <c r="H268" s="1673"/>
      <c r="I268" s="1673"/>
      <c r="J268" s="1673"/>
      <c r="K268" s="1678">
        <f t="shared" si="22"/>
        <v>6897</v>
      </c>
      <c r="L268" s="1573">
        <v>8003</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45129</v>
      </c>
      <c r="E270" s="1673"/>
      <c r="F270" s="1673"/>
      <c r="G270" s="1673"/>
      <c r="H270" s="1673"/>
      <c r="I270" s="1673"/>
      <c r="J270" s="1673"/>
      <c r="K270" s="1674">
        <f>SUM(K263:K269)</f>
        <v>45129</v>
      </c>
      <c r="L270" s="1674">
        <f>SUM(L263:L269)</f>
        <v>50478</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v>649</v>
      </c>
      <c r="E275" s="1673"/>
      <c r="F275" s="1673"/>
      <c r="G275" s="1673"/>
      <c r="H275" s="1673"/>
      <c r="I275" s="1673"/>
      <c r="J275" s="1673"/>
      <c r="K275" s="1678">
        <f>D275</f>
        <v>649</v>
      </c>
      <c r="L275" s="1573">
        <v>633</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649</v>
      </c>
      <c r="E277" s="1673"/>
      <c r="F277" s="1673"/>
      <c r="G277" s="1673"/>
      <c r="H277" s="1673"/>
      <c r="I277" s="1673"/>
      <c r="J277" s="1673"/>
      <c r="K277" s="1674">
        <f>SUM(K272:K276)</f>
        <v>649</v>
      </c>
      <c r="L277" s="1674">
        <f>SUM(L272:L276)</f>
        <v>633</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67465</v>
      </c>
      <c r="E279" s="1673"/>
      <c r="F279" s="1673"/>
      <c r="G279" s="1673"/>
      <c r="H279" s="1673"/>
      <c r="I279" s="1673"/>
      <c r="J279" s="1673"/>
      <c r="K279" s="1681">
        <f>SUM(K238,K243,K257,K261,K270,K277,K278)</f>
        <v>67465</v>
      </c>
      <c r="L279" s="1681">
        <f>SUM(L238,L243,L257,L261,L270,L277,L278)</f>
        <v>73000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0" t="s">
        <v>502</v>
      </c>
      <c r="B295" s="2281"/>
      <c r="C295" s="1673"/>
      <c r="D295" s="1674">
        <f>SUM(D229,D279,D280,D285)</f>
        <v>106345</v>
      </c>
      <c r="E295" s="1673"/>
      <c r="F295" s="1673"/>
      <c r="G295" s="1673"/>
      <c r="H295" s="1674">
        <f>H293</f>
        <v>0</v>
      </c>
      <c r="I295" s="1673"/>
      <c r="J295" s="1673"/>
      <c r="K295" s="1674">
        <f>SUM(K229,K279,K280,K285,K293,K294)</f>
        <v>106345</v>
      </c>
      <c r="L295" s="1674">
        <f>SUM(L229,L279,L280,L285,L293,L294)</f>
        <v>111888</v>
      </c>
    </row>
    <row r="296" spans="1:14" ht="13.5" thickTop="1" x14ac:dyDescent="0.2">
      <c r="A296" s="2262" t="s">
        <v>989</v>
      </c>
      <c r="B296" s="2263"/>
      <c r="C296" s="1673"/>
      <c r="D296" s="1675"/>
      <c r="E296" s="1673"/>
      <c r="F296" s="1673"/>
      <c r="G296" s="1673"/>
      <c r="H296" s="1707"/>
      <c r="I296" s="1673"/>
      <c r="J296" s="1673"/>
      <c r="K296" s="1689">
        <f>'Revenues 9-14'!G268-'Expenditures 15-22'!K295</f>
        <v>2036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10356</v>
      </c>
      <c r="F301" s="1573">
        <v>2688</v>
      </c>
      <c r="G301" s="1573">
        <v>1484193</v>
      </c>
      <c r="H301" s="1573"/>
      <c r="I301" s="1574"/>
      <c r="J301" s="1574"/>
      <c r="K301" s="1672">
        <f>SUM(C301:J301)</f>
        <v>1497237</v>
      </c>
      <c r="L301" s="1574">
        <v>655000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10356</v>
      </c>
      <c r="F303" s="1681">
        <f t="shared" si="23"/>
        <v>2688</v>
      </c>
      <c r="G303" s="1681">
        <f t="shared" si="23"/>
        <v>1484193</v>
      </c>
      <c r="H303" s="1681">
        <f t="shared" si="23"/>
        <v>0</v>
      </c>
      <c r="I303" s="1681">
        <f t="shared" si="23"/>
        <v>0</v>
      </c>
      <c r="J303" s="1681">
        <f t="shared" si="23"/>
        <v>0</v>
      </c>
      <c r="K303" s="1681">
        <f t="shared" si="23"/>
        <v>1497237</v>
      </c>
      <c r="L303" s="1681">
        <f t="shared" si="23"/>
        <v>655000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7" t="s">
        <v>275</v>
      </c>
      <c r="B312" s="2278"/>
      <c r="C312" s="1674">
        <f>SUM(C303)</f>
        <v>0</v>
      </c>
      <c r="D312" s="1674">
        <f>SUM(D303)</f>
        <v>0</v>
      </c>
      <c r="E312" s="1674">
        <f>SUM(E303,E310)</f>
        <v>10356</v>
      </c>
      <c r="F312" s="1674">
        <f>SUM(F303)</f>
        <v>2688</v>
      </c>
      <c r="G312" s="1674">
        <f>SUM(G303)</f>
        <v>1484193</v>
      </c>
      <c r="H312" s="1674">
        <f>SUM(H303,H310)</f>
        <v>0</v>
      </c>
      <c r="I312" s="1674">
        <f>SUM(I303)</f>
        <v>0</v>
      </c>
      <c r="J312" s="1674">
        <f>SUM(J303)</f>
        <v>0</v>
      </c>
      <c r="K312" s="1674">
        <f>SUM(K303,K310,K311)</f>
        <v>1497237</v>
      </c>
      <c r="L312" s="1674">
        <f>SUM(L303,L310,L311)</f>
        <v>655000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-1276954</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v>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0</v>
      </c>
      <c r="M321" s="539"/>
      <c r="N321" s="539"/>
    </row>
    <row r="322" spans="1:14" s="548" customFormat="1" x14ac:dyDescent="0.2">
      <c r="A322" s="1289" t="s">
        <v>236</v>
      </c>
      <c r="B322" s="567" t="s">
        <v>282</v>
      </c>
      <c r="C322" s="1574"/>
      <c r="D322" s="1574"/>
      <c r="E322" s="1574">
        <v>3934</v>
      </c>
      <c r="F322" s="1574"/>
      <c r="G322" s="1574"/>
      <c r="H322" s="1574"/>
      <c r="I322" s="1574"/>
      <c r="J322" s="1574"/>
      <c r="K322" s="1672">
        <f t="shared" si="24"/>
        <v>3934</v>
      </c>
      <c r="L322" s="1574">
        <v>7000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v>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v>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3934</v>
      </c>
      <c r="F330" s="1674">
        <f t="shared" si="25"/>
        <v>0</v>
      </c>
      <c r="G330" s="1674">
        <f t="shared" si="25"/>
        <v>0</v>
      </c>
      <c r="H330" s="1674">
        <f t="shared" si="25"/>
        <v>0</v>
      </c>
      <c r="I330" s="1674">
        <f t="shared" si="25"/>
        <v>0</v>
      </c>
      <c r="J330" s="1674">
        <f t="shared" si="25"/>
        <v>0</v>
      </c>
      <c r="K330" s="1674">
        <f>SUM(K319:K329)</f>
        <v>3934</v>
      </c>
      <c r="L330" s="1674">
        <f>SUM(L319:L329)</f>
        <v>7000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3934</v>
      </c>
      <c r="F342" s="1674">
        <f>SUM(F330)</f>
        <v>0</v>
      </c>
      <c r="G342" s="1674">
        <f>SUM(G330)</f>
        <v>0</v>
      </c>
      <c r="H342" s="1674">
        <f>SUM(H330,H334,H340)</f>
        <v>0</v>
      </c>
      <c r="I342" s="1674">
        <f>SUM(I330)</f>
        <v>0</v>
      </c>
      <c r="J342" s="1674">
        <f>SUM(J330)</f>
        <v>0</v>
      </c>
      <c r="K342" s="1674">
        <f>SUM(K330,K334,K340)</f>
        <v>3934</v>
      </c>
      <c r="L342" s="1681">
        <f>SUM(L330,L334,L340,L341)</f>
        <v>7000</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996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v>3404</v>
      </c>
      <c r="F349" s="1573"/>
      <c r="G349" s="1573"/>
      <c r="H349" s="1573"/>
      <c r="I349" s="1574"/>
      <c r="J349" s="1574"/>
      <c r="K349" s="1672">
        <f>SUM(C349:J349)</f>
        <v>3404</v>
      </c>
      <c r="L349" s="1573">
        <v>5600</v>
      </c>
    </row>
    <row r="350" spans="1:14" ht="12.75" customHeight="1" thickBot="1" x14ac:dyDescent="0.25">
      <c r="A350" s="1380" t="s">
        <v>714</v>
      </c>
      <c r="B350" s="1381" t="s">
        <v>35</v>
      </c>
      <c r="C350" s="1674">
        <f>SUM(C348:C349)</f>
        <v>0</v>
      </c>
      <c r="D350" s="1674">
        <f t="shared" ref="D350:L350" si="26">SUM(D348:D349)</f>
        <v>0</v>
      </c>
      <c r="E350" s="1674">
        <f t="shared" si="26"/>
        <v>3404</v>
      </c>
      <c r="F350" s="1674">
        <f t="shared" si="26"/>
        <v>0</v>
      </c>
      <c r="G350" s="1674">
        <f t="shared" si="26"/>
        <v>0</v>
      </c>
      <c r="H350" s="1674">
        <f t="shared" si="26"/>
        <v>0</v>
      </c>
      <c r="I350" s="1674">
        <f t="shared" si="26"/>
        <v>0</v>
      </c>
      <c r="J350" s="1674">
        <f t="shared" si="26"/>
        <v>0</v>
      </c>
      <c r="K350" s="1674">
        <f t="shared" si="26"/>
        <v>3404</v>
      </c>
      <c r="L350" s="1674">
        <f t="shared" si="26"/>
        <v>5600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3404</v>
      </c>
      <c r="F352" s="1674">
        <f t="shared" si="27"/>
        <v>0</v>
      </c>
      <c r="G352" s="1674">
        <f t="shared" si="27"/>
        <v>0</v>
      </c>
      <c r="H352" s="1674">
        <f t="shared" si="27"/>
        <v>0</v>
      </c>
      <c r="I352" s="1674">
        <f t="shared" si="27"/>
        <v>0</v>
      </c>
      <c r="J352" s="1674">
        <f t="shared" si="27"/>
        <v>0</v>
      </c>
      <c r="K352" s="1674">
        <f t="shared" si="27"/>
        <v>3404</v>
      </c>
      <c r="L352" s="1674">
        <f t="shared" si="27"/>
        <v>5600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v>0</v>
      </c>
    </row>
    <row r="355" spans="1:14" ht="12.75" customHeight="1" x14ac:dyDescent="0.2">
      <c r="A355" s="1283" t="s">
        <v>1825</v>
      </c>
      <c r="B355" s="562" t="s">
        <v>1818</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3404</v>
      </c>
      <c r="F367" s="1674">
        <f t="shared" si="28"/>
        <v>0</v>
      </c>
      <c r="G367" s="1674">
        <f t="shared" si="28"/>
        <v>0</v>
      </c>
      <c r="H367" s="1674">
        <f t="shared" si="28"/>
        <v>0</v>
      </c>
      <c r="I367" s="1674">
        <f t="shared" si="28"/>
        <v>0</v>
      </c>
      <c r="J367" s="1674">
        <f t="shared" si="28"/>
        <v>0</v>
      </c>
      <c r="K367" s="1674">
        <f t="shared" si="28"/>
        <v>3404</v>
      </c>
      <c r="L367" s="1674">
        <f t="shared" si="28"/>
        <v>5600</v>
      </c>
    </row>
    <row r="368" spans="1:14" ht="13.5" thickTop="1" x14ac:dyDescent="0.2">
      <c r="A368" s="2262" t="s">
        <v>989</v>
      </c>
      <c r="B368" s="2263"/>
      <c r="C368" s="1694"/>
      <c r="D368" s="1694"/>
      <c r="E368" s="1677"/>
      <c r="F368" s="1677"/>
      <c r="G368" s="1677"/>
      <c r="H368" s="1677"/>
      <c r="I368" s="1677"/>
      <c r="J368" s="1676"/>
      <c r="K368" s="1672">
        <f>'Revenues 9-14'!K268-'Expenditures 15-22'!K367</f>
        <v>-2609</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d21dc803-237d-4c68-8692-8d731fd29118"/>
    <ds:schemaRef ds:uri="http://schemas.microsoft.com/office/2006/documentManagement/types"/>
    <ds:schemaRef ds:uri="http://purl.org/dc/dcmitype/"/>
    <ds:schemaRef ds:uri="http://schemas.microsoft.com/office/infopath/2007/PartnerControls"/>
    <ds:schemaRef ds:uri="http://purl.org/dc/elements/1.1/"/>
    <ds:schemaRef ds:uri="6ce3111e-7420-4802-b50a-75d4e9a0b980"/>
    <ds:schemaRef ds:uri="http://schemas.microsoft.com/sharepoint/v3"/>
    <ds:schemaRef ds:uri="http://schemas.openxmlformats.org/package/2006/metadata/core-properties"/>
    <ds:schemaRef ds:uri="4d435f69-8686-490b-bd6d-b153bf22ab50"/>
    <ds:schemaRef ds:uri="http://www.w3.org/XML/1998/namespace"/>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2020-11-13T13:46:07Z</cp:lastPrinted>
  <dcterms:created xsi:type="dcterms:W3CDTF">2003-10-29T19:06:34Z</dcterms:created>
  <dcterms:modified xsi:type="dcterms:W3CDTF">2020-11-16T20:42:15Z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