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3CEEB6B-6D4B-4AC4-92AA-2832EBD2AE3B}"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40" i="183" l="1"/>
  <c r="F39" i="183"/>
  <c r="F38" i="183"/>
  <c r="F37" i="183"/>
  <c r="F36" i="183"/>
  <c r="F35" i="183"/>
  <c r="F34" i="183"/>
  <c r="F33" i="183"/>
  <c r="F32" i="183"/>
  <c r="F31" i="183"/>
  <c r="F30" i="183"/>
  <c r="F19" i="183"/>
  <c r="E40" i="183"/>
  <c r="E39" i="183"/>
  <c r="E38" i="183"/>
  <c r="E37" i="183"/>
  <c r="E36" i="183"/>
  <c r="E35" i="183"/>
  <c r="E34" i="183"/>
  <c r="E33" i="183"/>
  <c r="E32" i="183"/>
  <c r="E31" i="183"/>
  <c r="E3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41" i="183" l="1"/>
  <c r="A15" i="183"/>
  <c r="D82" i="36" l="1"/>
  <c r="F41" i="183"/>
  <c r="E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26" i="106"/>
  <c r="D7126" i="106" s="1"/>
  <c r="E57" i="184"/>
  <c r="N57" i="184" s="1"/>
  <c r="G33" i="108"/>
  <c r="E17" i="184"/>
  <c r="H17" i="184" s="1"/>
  <c r="F52" i="34"/>
  <c r="B7831" i="106" s="1"/>
  <c r="D7831" i="106" s="1"/>
  <c r="F50" i="34"/>
  <c r="D36" i="108"/>
  <c r="F36" i="108"/>
  <c r="H342" i="29"/>
  <c r="B7221" i="106" s="1"/>
  <c r="D7221" i="106" s="1"/>
  <c r="B7696" i="106"/>
  <c r="D7696" i="106" s="1"/>
  <c r="E66" i="184"/>
  <c r="N66" i="184" s="1"/>
  <c r="B7189" i="106"/>
  <c r="D7189" i="106" s="1"/>
  <c r="E64" i="184"/>
  <c r="N64" i="184" s="1"/>
  <c r="B7171" i="106"/>
  <c r="D7171" i="106" s="1"/>
  <c r="E62" i="184"/>
  <c r="N62" i="184" s="1"/>
  <c r="B2836" i="106"/>
  <c r="D2836" i="106" s="1"/>
  <c r="D31" i="108"/>
  <c r="E16" i="184"/>
  <c r="H16"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F67" i="34"/>
  <c r="C129" i="29"/>
  <c r="B1225" i="106" s="1"/>
  <c r="D1225" i="106" s="1"/>
  <c r="G30" i="108"/>
  <c r="H12" i="184"/>
  <c r="H19" i="184" s="1"/>
  <c r="L20" i="184" s="1"/>
  <c r="E19" i="184"/>
  <c r="F34" i="34"/>
  <c r="B7826" i="106" s="1"/>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6" i="106" s="1"/>
  <c r="D3636" i="106" s="1"/>
  <c r="B3635" i="106"/>
  <c r="B7222" i="106"/>
  <c r="D7222" i="106" s="1"/>
  <c r="F76" i="34"/>
  <c r="B7887" i="106" s="1"/>
  <c r="D7887" i="106" s="1"/>
  <c r="B5527" i="106"/>
  <c r="D5527" i="106" s="1"/>
  <c r="D44" i="36"/>
  <c r="L16" i="11"/>
  <c r="B2061" i="106" s="1"/>
  <c r="D2061" i="106" s="1"/>
  <c r="B2031" i="106"/>
  <c r="D2031" i="106" s="1"/>
  <c r="N23" i="3"/>
  <c r="B284" i="106" s="1"/>
  <c r="D284" i="106" s="1"/>
  <c r="B7220" i="106"/>
  <c r="D7220" i="106" s="1"/>
  <c r="F75" i="34"/>
  <c r="B7886" i="106" s="1"/>
  <c r="D7886" i="106" s="1"/>
  <c r="K342" i="29"/>
  <c r="F13" i="34" s="1"/>
  <c r="N58" i="184"/>
  <c r="N68" i="184" s="1"/>
  <c r="E68" i="184"/>
  <c r="B1381" i="106"/>
  <c r="D1381" i="106" s="1"/>
  <c r="F41" i="108"/>
  <c r="G43" i="108"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B6227" i="106"/>
  <c r="D6227"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<sst xmlns="http://schemas.openxmlformats.org/spreadsheetml/2006/main" count="5160" uniqueCount="2074">
  <si>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</si>
  <si>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</si>
  <si>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</si>
  <si>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</si>
  <si>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</si>
  <si>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</si>
  <si>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</si>
  <si>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</si>
  <si>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</si>
  <si>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</si>
  <si>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</si>
  <si>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</si>
  <si>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</si>
  <si>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</si>
  <si>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</si>
  <si>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</si>
  <si>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</si>
  <si>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</si>
  <si>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</si>
  <si>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</si>
  <si>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</si>
  <si>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</si>
  <si>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</si>
  <si>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</si>
  <si>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</si>
  <si>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</si>
  <si>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</si>
  <si>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</si>
  <si>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</si>
  <si>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</si>
  <si>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</si>
  <si>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</si>
  <si>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</si>
  <si>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</si>
  <si>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</si>
  <si>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</si>
  <si>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</si>
  <si>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</si>
  <si>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</si>
  <si>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</si>
  <si>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</si>
  <si>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</si>
  <si>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</si>
  <si>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</si>
  <si>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</si>
  <si>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</si>
  <si>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</si>
  <si>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</si>
  <si>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</si>
  <si>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</si>
  <si>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</si>
  <si>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</si>
  <si>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</si>
  <si>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</si>
  <si>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</si>
  <si>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</si>
  <si>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</si>
  <si>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</si>
  <si>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</si>
  <si>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</si>
  <si>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</si>
  <si>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</si>
  <si>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</si>
  <si>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</si>
  <si>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</si>
  <si>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</si>
  <si>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</si>
  <si>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</si>
  <si>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</si>
  <si>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</si>
  <si>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</si>
  <si>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</si>
  <si>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</si>
  <si>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</si>
  <si>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</si>
  <si>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</si>
  <si>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</si>
  <si>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</si>
  <si>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</si>
  <si>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</si>
  <si>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</si>
  <si>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</si>
  <si>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</si>
  <si>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</si>
  <si>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</si>
  <si>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</si>
  <si>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</si>
  <si>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</si>
  <si>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</si>
  <si>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</si>
  <si>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</si>
  <si>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</si>
  <si>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</si>
  <si>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</si>
  <si>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</si>
  <si>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</si>
  <si>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</si>
  <si>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</si>
  <si>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</si>
  <si>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</si>
  <si>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</si>
  <si>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</si>
  <si>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</si>
  <si>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</si>
  <si>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</si>
  <si>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</si>
  <si>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</si>
  <si>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</si>
  <si>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</si>
  <si>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</si>
  <si>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</si>
  <si>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</si>
  <si>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</si>
  <si>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</si>
  <si>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</si>
  <si>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</si>
  <si>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</si>
  <si>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</si>
  <si>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</si>
  <si>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</si>
  <si>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</si>
  <si>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</si>
  <si>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</si>
  <si>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</si>
  <si>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</si>
  <si>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</si>
  <si>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</si>
  <si>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</si>
  <si>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</si>
  <si>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</si>
  <si>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</si>
  <si>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</si>
  <si>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</si>
  <si>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</si>
  <si>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</si>
  <si>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</si>
  <si>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</si>
  <si>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</si>
  <si>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</si>
  <si>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</si>
  <si>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</si>
  <si>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</si>
  <si>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</si>
  <si>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</si>
  <si>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</si>
  <si>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</si>
  <si>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</si>
  <si>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</si>
  <si>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</si>
  <si>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</si>
  <si>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</si>
  <si>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</si>
  <si>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</si>
  <si>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</si>
  <si>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</si>
  <si>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</si>
  <si>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</si>
  <si>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</si>
  <si>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</si>
  <si>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</si>
  <si>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</si>
  <si>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</si>
  <si>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</si>
  <si>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</si>
  <si>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</si>
  <si>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</si>
  <si>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</si>
  <si>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</si>
  <si>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</si>
  <si>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</si>
  <si>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</si>
  <si>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</si>
  <si>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</si>
  <si>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</si>
  <si>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</si>
  <si>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</si>
  <si>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</si>
  <si>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</si>
  <si>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</si>
  <si>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</si>
  <si>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</si>
  <si>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</si>
  <si>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</si>
  <si>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</si>
  <si>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</si>
  <si>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</si>
  <si>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</si>
  <si>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</si>
  <si>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</si>
  <si>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</si>
  <si>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</si>
  <si>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</si>
  <si>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</si>
  <si>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</si>
  <si>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</si>
  <si>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</si>
  <si>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</si>
  <si>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</si>
  <si>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</si>
  <si>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</si>
  <si>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</si>
  <si>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</si>
  <si>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</si>
  <si>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</si>
  <si>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</si>
  <si>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</si>
  <si>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</si>
  <si>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</si>
  <si>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</si>
  <si>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</si>
  <si>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</si>
  <si>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</si>
  <si>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</si>
  <si>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</si>
  <si>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</si>
  <si>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</si>
  <si>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</si>
  <si>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</si>
  <si>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</si>
  <si>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</si>
  <si>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</si>
  <si>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</si>
  <si>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</si>
  <si>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</si>
  <si>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</si>
  <si>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</si>
  <si>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</si>
  <si>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</si>
  <si>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</si>
  <si>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</si>
  <si>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</si>
  <si>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</si>
  <si>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</si>
  <si>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</si>
  <si>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</si>
  <si>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</si>
  <si>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</si>
  <si>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</si>
  <si>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</si>
  <si>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</si>
  <si>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</si>
  <si>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</si>
  <si>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</si>
  <si>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</si>
  <si>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</si>
  <si>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</si>
  <si>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</si>
  <si>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</si>
  <si>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</si>
  <si>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</si>
  <si>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</si>
  <si>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</si>
  <si>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</si>
  <si>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</si>
  <si>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</si>
  <si>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</si>
  <si>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</si>
  <si>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</si>
  <si>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</si>
  <si>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</si>
  <si>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</si>
  <si>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</si>
  <si>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</si>
  <si>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</si>
  <si>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</si>
  <si>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</si>
  <si>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</si>
  <si>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</si>
  <si>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</si>
  <si>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</si>
  <si>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</si>
  <si>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</si>
  <si>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</si>
  <si>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</si>
  <si>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</si>
  <si>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</si>
  <si>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</si>
  <si>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</si>
  <si>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</si>
  <si>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</si>
  <si>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</si>
  <si>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</si>
  <si>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</si>
  <si>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</si>
  <si>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</si>
  <si>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</si>
  <si>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</si>
  <si>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</si>
  <si>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</si>
  <si>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</si>
  <si>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</si>
  <si>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</si>
  <si>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</si>
  <si>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</si>
  <si>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</si>
  <si>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</si>
  <si>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</si>
  <si>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</si>
  <si>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</si>
  <si>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</si>
  <si>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</si>
  <si>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</si>
  <si>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</si>
  <si>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</si>
  <si>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</si>
  <si>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</si>
  <si>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</si>
  <si>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</si>
  <si>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</si>
  <si>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</si>
  <si>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</si>
  <si>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</si>
  <si>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</si>
  <si>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</si>
  <si>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</si>
  <si>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</si>
  <si>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</si>
  <si>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</si>
  <si>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</si>
  <si>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</si>
  <si>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</si>
  <si>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</si>
  <si>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</si>
  <si>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</si>
  <si>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</si>
  <si>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</si>
  <si>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</si>
  <si>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</si>
  <si>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</si>
  <si>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</si>
  <si>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</si>
  <si>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</si>
  <si>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</si>
  <si>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</si>
  <si>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</si>
  <si>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</si>
  <si>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</si>
  <si>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</si>
  <si>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</si>
  <si>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</si>
  <si>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</si>
  <si>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</si>
  <si>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</si>
  <si>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</si>
  <si>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</si>
  <si>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</si>
  <si>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</si>
  <si>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</si>
  <si>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</si>
  <si>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</si>
  <si>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</si>
  <si>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</si>
  <si>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</si>
  <si>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</si>
  <si>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</si>
  <si>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</si>
  <si>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</si>
  <si>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</si>
  <si>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</si>
  <si>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</si>
  <si>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</si>
  <si>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</si>
  <si>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</si>
  <si>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</si>
  <si>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</si>
  <si>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</si>
  <si>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</si>
  <si>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</si>
  <si>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</si>
  <si>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</si>
  <si>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</si>
  <si>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</si>
  <si>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</si>
  <si>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</si>
  <si>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</si>
  <si>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</si>
  <si>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</si>
  <si>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</si>
  <si>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</si>
  <si>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</si>
  <si>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</si>
  <si>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</si>
  <si>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</si>
  <si>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</si>
  <si>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</si>
  <si>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</si>
  <si>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</si>
  <si>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</si>
  <si>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</si>
  <si>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</si>
  <si>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</si>
  <si>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</si>
  <si>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</si>
  <si>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</si>
  <si>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</si>
  <si>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</si>
  <si>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</si>
  <si>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</si>
  <si>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</si>
  <si>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</si>
  <si>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</si>
  <si>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</si>
  <si>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</si>
  <si>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</si>
  <si>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</si>
  <si>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</si>
  <si>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</si>
  <si>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</si>
  <si>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</si>
  <si>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</si>
  <si>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</si>
  <si>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</si>
  <si>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</si>
  <si>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</si>
  <si>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</si>
  <si>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</si>
  <si>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</si>
  <si>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</si>
  <si>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</si>
  <si>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</si>
  <si>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</si>
  <si>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</si>
  <si>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</si>
  <si>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</si>
  <si>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</si>
  <si>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</si>
  <si>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</si>
  <si>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</si>
  <si>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</si>
  <si>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</si>
  <si>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</si>
  <si>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</si>
  <si>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</si>
  <si>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</si>
  <si>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</si>
  <si>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</si>
  <si>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</si>
  <si>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</si>
  <si>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</si>
  <si>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</si>
  <si>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</si>
  <si>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</si>
  <si>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</si>
  <si>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</si>
  <si>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</si>
  <si>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</si>
  <si>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</si>
  <si>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</si>
  <si>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</si>
  <si>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</si>
  <si>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</si>
  <si>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</si>
  <si>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</si>
  <si>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</si>
  <si>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</si>
  <si>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</si>
  <si>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</si>
  <si>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</si>
  <si>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</si>
  <si>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</si>
  <si>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</si>
  <si>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</si>
  <si>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</si>
  <si>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</si>
  <si>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</si>
  <si>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</si>
  <si>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</si>
  <si>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</si>
  <si>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</si>
  <si>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</si>
  <si>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</si>
  <si>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</si>
  <si>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</si>
  <si>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</si>
  <si>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</si>
  <si>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</si>
  <si>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</si>
  <si>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</si>
  <si>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</si>
  <si>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</si>
  <si>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</si>
  <si>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</si>
  <si>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</si>
  <si>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</si>
  <si>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</si>
  <si>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</si>
  <si>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</si>
  <si>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</si>
  <si>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</si>
  <si>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</si>
  <si>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</si>
  <si>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</si>
  <si>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</si>
  <si>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</si>
  <si>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</si>
  <si>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</si>
  <si>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</si>
  <si>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</si>
  <si>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</si>
  <si>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</si>
  <si>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</si>
  <si>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</si>
  <si>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</si>
  <si>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</si>
  <si>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</si>
  <si>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</si>
  <si>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</si>
  <si>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</si>
  <si>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</si>
  <si>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</si>
  <si>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</si>
  <si>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</si>
  <si>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</si>
  <si>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</si>
  <si>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</si>
  <si>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</si>
  <si>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</si>
  <si>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</si>
  <si>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</si>
  <si>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</si>
  <si>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</si>
  <si>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</si>
  <si>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</si>
  <si>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</si>
  <si>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</si>
  <si>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</si>
  <si>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</si>
  <si>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</si>
  <si>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</si>
  <si>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</si>
  <si>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</si>
  <si>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</si>
  <si>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</si>
  <si>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</si>
  <si>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</si>
  <si>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</si>
  <si>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</si>
  <si>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</si>
  <si>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</si>
  <si>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</si>
  <si>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</si>
  <si>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</si>
  <si>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</si>
  <si>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</si>
  <si>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</si>
  <si>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</si>
  <si>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</si>
  <si>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</si>
  <si>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</si>
  <si>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</si>
  <si>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</si>
  <si>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</si>
  <si>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</si>
  <si>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</si>
  <si>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</si>
  <si>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</si>
  <si>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</si>
  <si>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</si>
  <si>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</si>
  <si>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</si>
  <si>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</si>
  <si>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</si>
  <si>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</si>
  <si>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</si>
  <si>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</si>
  <si>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</si>
  <si>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</si>
  <si>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</si>
  <si>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</si>
  <si>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</si>
  <si>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</si>
  <si>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</si>
  <si>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</si>
  <si>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</si>
  <si>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</si>
  <si>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</si>
  <si>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</si>
  <si>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</si>
  <si>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</si>
  <si>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</si>
  <si>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</si>
  <si>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</si>
  <si>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</si>
  <si>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</si>
  <si>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</si>
  <si>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</si>
  <si>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</si>
  <si>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</si>
  <si>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</si>
  <si>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</si>
  <si>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</si>
  <si>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</si>
  <si>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</si>
  <si>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</si>
  <si>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</si>
  <si>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</si>
  <si>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</si>
  <si>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</si>
  <si>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</si>
  <si>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</si>
  <si>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</si>
  <si>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</si>
  <si>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</si>
  <si>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</si>
  <si>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</si>
  <si>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</si>
  <si>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</si>
  <si>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</si>
  <si>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</si>
  <si>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</si>
  <si>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</si>
  <si>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</si>
  <si>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</si>
  <si>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</si>
  <si>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</si>
  <si>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</si>
  <si>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</si>
  <si>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</si>
  <si>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</si>
  <si>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</si>
  <si>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</si>
  <si>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</si>
  <si>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</si>
  <si>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</si>
  <si>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</si>
  <si>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</si>
  <si>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</si>
  <si>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</si>
  <si>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</si>
  <si>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</si>
  <si>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</si>
  <si>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</si>
  <si>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</si>
  <si>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</si>
  <si>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</si>
  <si>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</si>
  <si>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</si>
  <si>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</si>
  <si>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</si>
  <si>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</si>
  <si>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</si>
  <si>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</si>
  <si>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</si>
  <si>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</si>
  <si>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</si>
  <si>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</si>
  <si>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</si>
  <si>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</si>
  <si>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</si>
  <si>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</si>
  <si>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</si>
  <si>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</si>
  <si>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</si>
  <si>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</si>
  <si>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</si>
  <si>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</si>
  <si>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</si>
  <si>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</si>
  <si>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</si>
  <si>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</si>
  <si>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</si>
  <si>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</si>
  <si>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</si>
  <si>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</si>
  <si>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</si>
  <si>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</si>
  <si>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</si>
  <si>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</si>
  <si>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</si>
  <si>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</si>
  <si>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</si>
  <si>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</si>
  <si>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</si>
  <si>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</si>
  <si>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</si>
  <si>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</si>
  <si>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</si>
  <si>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</si>
  <si>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</si>
  <si>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</si>
  <si>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</si>
  <si>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</si>
  <si>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</si>
  <si>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</si>
  <si>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</si>
  <si>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</si>
  <si>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</si>
  <si>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</si>
  <si>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</si>
  <si>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</si>
  <si>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</si>
  <si>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</si>
  <si>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</si>
  <si>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</si>
  <si>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</si>
  <si>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</si>
  <si>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</si>
  <si>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</si>
  <si>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</si>
  <si>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</si>
  <si>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</si>
  <si>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</si>
  <si>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</si>
  <si>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</si>
  <si>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</si>
  <si>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</si>
  <si>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</si>
  <si>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</si>
  <si>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</si>
  <si>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</si>
  <si>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</si>
  <si>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</si>
  <si>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</si>
  <si>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</si>
  <si>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</si>
  <si>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</si>
  <si>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</si>
  <si>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</si>
  <si>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</si>
  <si>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</si>
  <si>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</si>
  <si>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</si>
  <si>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</si>
  <si>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</si>
  <si>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</si>
  <si>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</si>
  <si>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</si>
  <si>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</si>
  <si>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</si>
  <si>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</si>
  <si>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</si>
  <si>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</si>
  <si>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</si>
  <si>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</si>
  <si>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</si>
  <si>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</si>
  <si>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</si>
  <si>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</si>
  <si>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</si>
  <si>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</si>
  <si>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</si>
  <si>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</si>
  <si>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</si>
  <si>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</si>
  <si>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</si>
  <si>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</si>
  <si>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</si>
  <si>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</si>
  <si>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</si>
  <si>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</si>
  <si>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</si>
  <si>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</si>
  <si>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</si>
  <si>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</si>
  <si>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</si>
  <si>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</si>
  <si>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</si>
  <si>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</si>
  <si>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</si>
  <si>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</si>
  <si>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</si>
  <si>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</si>
  <si>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</si>
  <si>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</si>
  <si>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</si>
  <si>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</si>
  <si>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</si>
  <si>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</si>
  <si>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</si>
  <si>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</si>
  <si>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</si>
  <si>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</si>
  <si>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</si>
  <si>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</si>
  <si>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</si>
  <si>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</si>
  <si>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</si>
  <si>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</si>
  <si>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</si>
  <si>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</si>
  <si>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</si>
  <si>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</si>
  <si>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</si>
  <si>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</si>
  <si>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</si>
  <si>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</si>
  <si>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</si>
  <si>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</si>
  <si>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</si>
  <si>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</si>
  <si>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</si>
  <si>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</si>
  <si>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</si>
  <si>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</si>
  <si>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</si>
  <si>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</si>
  <si>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</si>
  <si>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</si>
  <si>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</si>
  <si>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</si>
  <si>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</si>
  <si>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</si>
  <si>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</si>
  <si>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</si>
  <si>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</si>
  <si>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</si>
  <si>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</si>
  <si>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</si>
  <si>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</si>
  <si>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</si>
  <si>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</si>
  <si>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</si>
  <si>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</si>
  <si>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</si>
  <si>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</si>
  <si>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</si>
  <si>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</si>
  <si>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</si>
  <si>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</si>
  <si>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</si>
  <si>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</si>
  <si>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</si>
  <si>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</si>
  <si>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</si>
  <si>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</si>
  <si>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</si>
  <si>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</si>
  <si>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</si>
  <si>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</si>
  <si>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</si>
  <si>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</si>
  <si>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</si>
  <si>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</si>
  <si>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</si>
  <si>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</si>
  <si>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</si>
  <si>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</si>
  <si>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</si>
  <si>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</si>
  <si>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</si>
  <si>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</si>
  <si>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</si>
  <si>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</si>
  <si>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</si>
  <si>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</si>
  <si>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</si>
  <si>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</si>
  <si>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</si>
  <si>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</si>
  <si>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</si>
  <si>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</si>
  <si>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</si>
  <si>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</si>
  <si>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</si>
  <si>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</si>
  <si>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</si>
  <si>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</si>
  <si>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</si>
  <si>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</si>
  <si>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</si>
  <si>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</si>
  <si>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</si>
  <si>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</si>
  <si>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</si>
  <si>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</si>
  <si>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</si>
  <si>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</si>
  <si>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</si>
  <si>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</si>
  <si>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</si>
  <si>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</si>
  <si>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</si>
  <si>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</si>
  <si>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</si>
  <si>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</si>
  <si>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</si>
  <si>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</si>
  <si>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</si>
  <si>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</si>
  <si>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</si>
  <si>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</si>
  <si>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</si>
  <si>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</si>
  <si>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</si>
  <si>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</si>
  <si>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</si>
  <si>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</si>
  <si>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</si>
  <si>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</si>
  <si>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</si>
  <si>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</si>
  <si>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</si>
  <si>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</si>
  <si>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</si>
  <si>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</si>
  <si>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</si>
  <si>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</si>
  <si>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</si>
  <si>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</si>
  <si>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</si>
  <si>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</si>
  <si>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</si>
  <si>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</si>
  <si>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</si>
  <si>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</si>
  <si>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</si>
  <si>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</si>
  <si>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</si>
  <si>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</si>
  <si>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</si>
  <si>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</si>
  <si>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</si>
  <si>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</si>
  <si>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</si>
  <si>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</si>
  <si>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</si>
  <si>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</si>
  <si>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</si>
  <si>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</si>
  <si>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</si>
  <si>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</si>
  <si>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</si>
  <si>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</si>
  <si>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</si>
  <si>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</si>
  <si>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</si>
  <si>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</si>
  <si>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</si>
  <si>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</si>
  <si>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</si>
  <si>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</si>
  <si>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</si>
  <si>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</si>
  <si>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</si>
  <si>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</si>
  <si>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</si>
  <si>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</si>
  <si>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</si>
  <si>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</si>
  <si>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</si>
  <si>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</si>
  <si>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</si>
  <si>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</si>
  <si>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</si>
  <si>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</si>
  <si>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</si>
  <si>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</si>
  <si>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</si>
  <si>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</si>
  <si>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</si>
  <si>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</si>
  <si>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</si>
  <si>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</si>
  <si>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</si>
  <si>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</si>
  <si>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</si>
  <si>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</si>
  <si>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</si>
  <si>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</si>
  <si>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</si>
  <si>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</si>
  <si>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</si>
  <si>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</si>
  <si>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</si>
  <si>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</si>
  <si>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</si>
  <si>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</si>
  <si>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</si>
  <si>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</si>
  <si>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</si>
  <si>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</si>
  <si>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</si>
  <si>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</si>
  <si>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</si>
  <si>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</si>
  <si>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</si>
  <si>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</si>
  <si>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</si>
  <si>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</si>
  <si>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</si>
  <si>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</si>
  <si>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</si>
  <si>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</si>
  <si>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</si>
  <si>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</si>
  <si>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</si>
  <si>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</si>
  <si>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</si>
  <si>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</si>
  <si>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</si>
  <si>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</si>
  <si>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</si>
  <si>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</si>
  <si>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</si>
  <si>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</si>
  <si>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</si>
  <si>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</si>
  <si>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</si>
  <si>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</si>
  <si>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</si>
  <si>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</si>
  <si>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</si>
  <si>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</si>
  <si>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</si>
  <si>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</si>
  <si>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</si>
  <si>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</si>
  <si>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</si>
  <si>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</si>
  <si>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</si>
  <si>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</si>
  <si>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</si>
  <si>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</si>
  <si>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</si>
  <si>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</si>
  <si>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</si>
  <si>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</si>
  <si>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</si>
  <si>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</si>
  <si>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</si>
  <si>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</si>
  <si>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</si>
  <si>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</si>
  <si>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</si>
  <si>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</si>
  <si>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</si>
  <si>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</si>
  <si>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</si>
  <si>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</si>
  <si>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</si>
  <si>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</si>
  <si>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</si>
  <si>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</si>
  <si>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</si>
  <si>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</si>
  <si>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</si>
  <si>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</si>
  <si>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</si>
  <si>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</si>
  <si>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</si>
  <si>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</si>
  <si>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</si>
  <si>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</si>
  <si>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</si>
  <si>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</si>
  <si>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</si>
  <si>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</si>
  <si>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</si>
  <si>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</si>
  <si>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</si>
  <si>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</si>
  <si>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</si>
  <si>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</si>
  <si>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</si>
  <si>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</si>
  <si>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</si>
  <si>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</si>
  <si>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</si>
  <si>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</si>
  <si>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</si>
  <si>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</si>
  <si>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</si>
  <si>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</si>
  <si>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</si>
  <si>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</si>
  <si>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</si>
  <si>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</si>
  <si>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</si>
  <si>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</si>
  <si>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</si>
  <si>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</si>
  <si>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</si>
  <si>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</si>
  <si>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</si>
  <si>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</si>
  <si>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</si>
  <si>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</si>
  <si>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</si>
  <si>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</si>
  <si>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</si>
  <si>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</si>
  <si>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</si>
  <si>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</si>
  <si>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</si>
  <si>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</si>
  <si>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</si>
  <si>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</si>
  <si>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</si>
  <si>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</si>
  <si>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</si>
  <si>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</si>
  <si>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</si>
  <si>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</si>
  <si>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</si>
  <si>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</si>
  <si>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</si>
  <si>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</si>
  <si>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</si>
  <si>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</si>
  <si>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</si>
  <si>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</si>
  <si>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</si>
  <si>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</si>
  <si>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</si>
  <si>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</si>
  <si>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</si>
  <si>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</si>
  <si>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</si>
  <si>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</si>
  <si>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</si>
  <si>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</si>
  <si>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</si>
  <si>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</si>
  <si>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</si>
  <si>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</si>
  <si>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</si>
  <si>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</si>
  <si>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</si>
  <si>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</si>
  <si>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</si>
  <si>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</si>
  <si>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</si>
  <si>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</si>
  <si>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</si>
  <si>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</si>
  <si>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</si>
  <si>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</si>
  <si>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</si>
  <si>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</si>
  <si>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</si>
  <si>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</si>
  <si>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</si>
  <si>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</si>
  <si>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</si>
  <si>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</si>
  <si>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</si>
  <si>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</si>
  <si>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</si>
  <si>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</si>
  <si>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</si>
  <si>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</si>
  <si>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</si>
  <si>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</si>
  <si>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</si>
  <si>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</si>
  <si>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</si>
  <si>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</si>
  <si>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</si>
  <si>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</si>
  <si>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</si>
  <si>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</si>
  <si>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</si>
  <si>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</si>
  <si>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</si>
  <si>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</si>
  <si>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</si>
  <si>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</si>
  <si>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</si>
  <si>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</si>
  <si>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</si>
  <si>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</si>
  <si>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</si>
  <si>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</si>
  <si>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</si>
  <si>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</si>
  <si>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</si>
  <si>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</si>
  <si>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</si>
  <si>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</si>
  <si>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</si>
  <si>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</si>
  <si>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</si>
  <si>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</si>
  <si>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</si>
  <si>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</si>
  <si>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</si>
  <si>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</si>
  <si>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</si>
  <si>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</si>
  <si>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</si>
  <si>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</si>
  <si>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</si>
  <si>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</si>
  <si>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</si>
  <si>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</si>
  <si>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</si>
  <si>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</si>
  <si>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</si>
  <si>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</si>
  <si>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</si>
  <si>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</si>
  <si>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</si>
  <si>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</si>
  <si>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</si>
  <si>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</si>
  <si>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</si>
  <si>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</si>
  <si>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</si>
  <si>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</si>
  <si>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</si>
  <si>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</si>
  <si>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</si>
  <si>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</si>
  <si>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</si>
  <si>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</si>
  <si>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</si>
  <si>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</si>
  <si>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</si>
  <si>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</si>
  <si>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</si>
  <si>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</si>
  <si>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</si>
  <si>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</si>
  <si>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</si>
  <si>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</si>
  <si>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</si>
  <si>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</si>
  <si>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</si>
  <si>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</si>
  <si>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</si>
  <si>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</si>
  <si>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</si>
  <si>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</si>
  <si>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</si>
  <si>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</si>
  <si>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</si>
  <si>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</si>
  <si>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</si>
  <si>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</si>
  <si>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</si>
  <si>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</si>
  <si>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</si>
  <si>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</si>
  <si>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</si>
  <si>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</si>
  <si>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</si>
  <si>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</si>
  <si>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</si>
  <si>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</si>
  <si>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</si>
  <si>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</si>
  <si>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</si>
  <si>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</si>
  <si>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</si>
  <si>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</si>
  <si>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</si>
  <si>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</si>
  <si>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</si>
  <si>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</si>
  <si>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</si>
  <si>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</si>
  <si>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</si>
  <si>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</si>
  <si>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</si>
  <si>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</si>
  <si>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</si>
  <si>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</si>
  <si>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</si>
  <si>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</si>
  <si>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</si>
  <si>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</si>
  <si>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</si>
  <si>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</si>
  <si>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</si>
  <si>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</si>
  <si>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</si>
  <si>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</si>
  <si>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</si>
  <si>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</si>
  <si>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</si>
  <si>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</si>
  <si>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</si>
  <si>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</si>
  <si>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</si>
  <si>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</si>
  <si>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</si>
  <si>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</si>
  <si>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</si>
  <si>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</si>
  <si>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</si>
  <si>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</si>
  <si>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</si>
  <si>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</si>
  <si>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</si>
  <si>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</si>
  <si>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</si>
  <si>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</si>
  <si>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</si>
  <si>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</si>
  <si>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</si>
  <si>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</si>
  <si>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</si>
  <si>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</si>
  <si>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</si>
  <si>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</si>
  <si>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</si>
  <si>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</si>
  <si>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</si>
  <si>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</si>
  <si>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</si>
  <si>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</si>
  <si>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</si>
  <si>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</si>
  <si>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</si>
  <si>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</si>
  <si>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</si>
  <si>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</si>
  <si>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</si>
  <si>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</si>
  <si>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</si>
  <si>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</si>
  <si>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</si>
  <si>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</si>
  <si>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</si>
  <si>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</si>
  <si>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</si>
  <si>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</si>
  <si>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</si>
  <si>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</si>
  <si>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</si>
  <si>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</si>
  <si>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</si>
  <si>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</si>
  <si>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</si>
  <si>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</si>
  <si>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</si>
  <si>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</si>
  <si>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</si>
  <si>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</si>
  <si>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</si>
  <si>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</si>
  <si>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</si>
  <si>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</si>
  <si>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</si>
  <si>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</si>
  <si>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</si>
  <si>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</si>
  <si>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</si>
  <si>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</si>
  <si>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</si>
  <si>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</si>
  <si>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</si>
  <si>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</si>
  <si>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</si>
  <si>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</si>
  <si>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</si>
  <si>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</si>
  <si>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</si>
  <si>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</si>
  <si>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</si>
  <si>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</si>
  <si>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</si>
  <si>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</si>
  <si>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</si>
  <si>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</si>
  <si>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</si>
  <si>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</si>
  <si>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</si>
  <si>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</si>
  <si>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</si>
  <si>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</si>
  <si>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</si>
  <si>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</si>
  <si>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</si>
  <si>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</si>
  <si>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</si>
  <si>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</si>
  <si>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</si>
  <si>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</si>
  <si>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</si>
  <si>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</si>
  <si>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</si>
  <si>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</si>
  <si>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</si>
  <si>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</si>
  <si>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</si>
  <si>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</si>
  <si>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</si>
  <si>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</si>
  <si>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</si>
  <si>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</si>
  <si>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</si>
  <si>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</si>
  <si>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</si>
  <si>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</si>
  <si>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</si>
  <si>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</si>
  <si>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</si>
  <si>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</si>
  <si>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</si>
  <si>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</si>
  <si>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</si>
  <si>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</si>
  <si>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</si>
  <si>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</si>
  <si>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</si>
  <si>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</si>
  <si>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</si>
  <si>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</si>
  <si>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</si>
  <si>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</si>
  <si>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</si>
  <si>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</si>
  <si>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</si>
  <si>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</si>
  <si>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</si>
  <si>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</si>
  <si>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</si>
  <si>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</si>
  <si>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</si>
  <si>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</si>
  <si>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</si>
  <si>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</si>
  <si>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</si>
  <si>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</si>
  <si>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</si>
  <si>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</si>
  <si>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</si>
  <si>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</si>
  <si>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</si>
  <si>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</si>
  <si>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</si>
  <si>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</si>
  <si>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</si>
  <si>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</si>
  <si>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</si>
  <si>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</si>
  <si>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</si>
  <si>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</si>
  <si>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</si>
  <si>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</si>
  <si>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</si>
  <si>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</si>
  <si>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</si>
  <si>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</si>
  <si>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</si>
  <si>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</si>
  <si>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</si>
  <si>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</si>
  <si>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</si>
  <si>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</si>
  <si>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</si>
  <si>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</si>
  <si>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</si>
  <si>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</si>
  <si>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</si>
  <si>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</si>
  <si>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</si>
  <si>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</si>
  <si>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</si>
  <si>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</si>
  <si>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</si>
  <si>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</si>
  <si>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</si>
  <si>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</si>
  <si>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</si>
  <si>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</si>
  <si>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</si>
  <si>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</si>
  <si>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</si>
  <si>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</si>
  <si>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</si>
  <si>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</si>
  <si>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</si>
  <si>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</si>
  <si>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</si>
  <si>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</si>
  <si>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</si>
  <si>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</si>
  <si>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</si>
  <si>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</si>
  <si>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</si>
  <si>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</si>
  <si>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</si>
  <si>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</si>
  <si>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</si>
  <si>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</si>
  <si>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</si>
  <si>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</si>
  <si>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</si>
  <si>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</si>
  <si>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</si>
  <si>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</si>
  <si>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</si>
  <si>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</si>
  <si>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</si>
  <si>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</si>
  <si>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</si>
  <si>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</si>
  <si>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</si>
  <si>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</si>
  <si>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</si>
  <si>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</si>
  <si>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</si>
  <si>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</si>
  <si>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</si>
  <si>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</si>
  <si>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</si>
  <si>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</si>
  <si>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</si>
  <si>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</si>
  <si>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</si>
  <si>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</si>
  <si>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</si>
  <si>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</si>
  <si>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</si>
  <si>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</si>
  <si>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</si>
  <si>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</si>
  <si>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</si>
  <si>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</si>
  <si>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</si>
  <si>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</si>
  <si>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</si>
  <si>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</si>
  <si>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</si>
  <si>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</si>
  <si>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</si>
  <si>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</si>
  <si>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</si>
  <si>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</si>
  <si>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</si>
  <si>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</si>
  <si>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</si>
  <si>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</si>
  <si>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</si>
  <si>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</si>
  <si>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</si>
  <si>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</si>
  <si>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</si>
  <si>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</si>
  <si>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</si>
  <si>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</si>
  <si>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</si>
  <si>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</si>
  <si>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</si>
  <si>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</si>
  <si>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</si>
  <si>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</si>
  <si>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</si>
  <si>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</si>
  <si>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</si>
  <si>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</si>
  <si>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</si>
  <si>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</si>
  <si>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</si>
  <si>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</si>
  <si>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</si>
  <si>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</si>
  <si>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</si>
  <si>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</si>
  <si>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</si>
  <si>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</si>
  <si>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</si>
  <si>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</si>
  <si>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</si>
  <si>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</si>
  <si>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</si>
  <si>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</si>
  <si>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</si>
  <si>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</si>
  <si>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</si>
  <si>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</si>
  <si>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</si>
  <si>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</si>
  <si>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</si>
  <si>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</si>
  <si>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</si>
  <si>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</si>
  <si>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</si>
  <si>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</si>
  <si>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</si>
  <si>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</si>
  <si>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</si>
  <si>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</si>
  <si>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</si>
  <si>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</si>
  <si>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</si>
  <si>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</si>
  <si>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</si>
  <si>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</si>
  <si>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</si>
  <si>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</si>
  <si>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</si>
  <si>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</si>
  <si>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</si>
  <si>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</si>
  <si>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</si>
  <si>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</si>
  <si>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</si>
  <si>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</si>
  <si>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</si>
  <si>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</si>
  <si>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</si>
  <si>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</si>
  <si>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</si>
  <si>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</si>
  <si>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</si>
  <si>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</si>
  <si>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</si>
  <si>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</si>
  <si>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</si>
  <si>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</si>
  <si>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</si>
  <si>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</si>
  <si>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</si>
  <si>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</si>
  <si>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</si>
  <si>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</si>
  <si>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</si>
  <si>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</si>
  <si>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</si>
  <si>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</si>
  <si>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</si>
  <si>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</si>
  <si>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</si>
  <si>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</si>
  <si>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</si>
  <si>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</si>
  <si>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</si>
  <si>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</si>
  <si>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</si>
  <si>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</si>
  <si>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</si>
  <si>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</si>
  <si>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</si>
  <si>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</si>
  <si>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</si>
  <si>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</si>
  <si>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</si>
  <si>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</si>
  <si>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</si>
  <si>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</si>
  <si>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</si>
  <si>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</si>
  <si>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</si>
  <si>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</si>
  <si>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</si>
  <si>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</si>
  <si>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</si>
  <si>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</si>
  <si>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</si>
  <si>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</si>
  <si>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</si>
  <si>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</si>
  <si>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</si>
  <si>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</si>
  <si>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</si>
  <si>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</si>
  <si>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</si>
  <si>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</si>
  <si>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</si>
  <si>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</si>
  <si>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</si>
  <si>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</si>
  <si>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</si>
  <si>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</si>
  <si>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</si>
  <si>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</si>
  <si>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</si>
  <si>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</si>
  <si>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</si>
  <si>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</si>
  <si>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</si>
  <si>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</si>
  <si>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</si>
  <si>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</si>
  <si>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</si>
  <si>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</si>
  <si>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</si>
  <si>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</si>
  <si>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</si>
  <si>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</si>
  <si>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</si>
  <si>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</si>
  <si>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</si>
  <si>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</si>
  <si>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</si>
  <si>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</si>
  <si>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</si>
  <si>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</si>
  <si>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</si>
  <si>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</si>
  <si>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</si>
  <si>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</si>
  <si>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</si>
  <si>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</si>
  <si>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</si>
  <si>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</si>
  <si>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</si>
  <si>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</si>
  <si>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</si>
  <si>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</si>
  <si>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</si>
  <si>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</si>
  <si>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</si>
  <si>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</si>
  <si>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</si>
  <si>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</si>
  <si>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</si>
  <si>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</si>
  <si>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</si>
  <si>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</si>
  <si>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</si>
  <si>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</si>
  <si>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</si>
  <si>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</si>
  <si>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</si>
  <si>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</si>
  <si>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</si>
  <si>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</si>
  <si>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</si>
  <si>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</si>
  <si>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</si>
  <si>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</si>
  <si>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</si>
  <si>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</si>
  <si>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</si>
  <si>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</si>
  <si>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</si>
  <si>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</si>
  <si>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</si>
  <si>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</si>
  <si>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</si>
  <si>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</si>
  <si>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</si>
  <si>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</si>
  <si>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</si>
  <si>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</si>
  <si>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</si>
  <si>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</si>
  <si>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</si>
  <si>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</si>
  <si>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</si>
  <si>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</si>
  <si>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</si>
  <si>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</si>
  <si>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</si>
  <si>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</si>
  <si>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</si>
  <si>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</si>
  <si>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</si>
  <si>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</si>
  <si>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</si>
  <si>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</si>
  <si>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</si>
  <si>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</si>
  <si>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</si>
  <si>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</si>
  <si>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</si>
  <si>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</si>
  <si>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</si>
  <si>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</si>
  <si>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</si>
  <si>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</si>
  <si>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</si>
  <si>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</si>
  <si>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</si>
  <si>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</si>
  <si>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</si>
  <si>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</si>
  <si>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</si>
  <si>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</si>
  <si>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</si>
  <si>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</si>
  <si>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</si>
  <si>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</si>
  <si>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</si>
  <si>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</si>
  <si>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</si>
  <si>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</si>
  <si>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</si>
  <si>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</si>
  <si>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</si>
  <si>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</si>
  <si>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</si>
  <si>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</si>
  <si>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</si>
  <si>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</si>
  <si>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</si>
  <si>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</si>
  <si>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</si>
  <si>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</si>
  <si>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</si>
  <si>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</si>
  <si>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</si>
  <si>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</si>
  <si>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</si>
  <si>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</si>
  <si>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</si>
  <si>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</si>
  <si>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</si>
  <si>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</si>
  <si>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</si>
  <si>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</si>
  <si>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</si>
  <si>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</si>
  <si>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</si>
  <si>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</si>
  <si>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</si>
  <si>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</si>
  <si>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</si>
  <si>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</si>
  <si>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</si>
  <si>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</si>
  <si>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</si>
  <si>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</si>
  <si>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</si>
  <si>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</si>
  <si>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</si>
  <si>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</si>
  <si>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</si>
  <si>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</si>
  <si>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</si>
  <si>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</si>
  <si>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</si>
  <si>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</si>
  <si>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</si>
  <si>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</si>
  <si>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</si>
  <si>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</si>
  <si>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</si>
  <si>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</si>
  <si>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</si>
  <si>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</si>
  <si>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</si>
  <si>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</si>
  <si>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</si>
  <si>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</si>
  <si>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</si>
  <si>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</si>
  <si>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</si>
  <si>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</si>
  <si>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</si>
  <si>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</si>
  <si>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</si>
  <si>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</si>
  <si>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</si>
  <si>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</si>
  <si>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</si>
  <si>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</si>
  <si>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</si>
  <si>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</si>
  <si>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</si>
  <si>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</si>
  <si>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</si>
  <si>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</si>
  <si>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</si>
  <si>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</si>
  <si>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</si>
  <si>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</si>
  <si>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</si>
  <si>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</si>
  <si>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</si>
  <si>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</si>
  <si>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</si>
  <si>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</si>
  <si>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</si>
  <si>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</si>
  <si>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</si>
  <si>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</si>
  <si>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</si>
  <si>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</si>
  <si>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</si>
  <si>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</si>
  <si>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</si>
  <si>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</si>
  <si>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</si>
  <si>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</si>
  <si>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</si>
  <si>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</si>
  <si>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</si>
  <si>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</si>
  <si>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</si>
  <si>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</si>
  <si>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</si>
  <si>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</si>
  <si>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</si>
  <si>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</si>
  <si>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</si>
  <si>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</si>
  <si>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</si>
  <si>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</si>
  <si>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</si>
  <si>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</si>
  <si>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</si>
  <si>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</si>
  <si>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</si>
  <si>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</si>
  <si>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</si>
  <si>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</si>
  <si>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</si>
  <si>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</si>
  <si>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</si>
  <si>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</si>
  <si>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</si>
  <si>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</si>
  <si>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</si>
  <si>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</si>
  <si>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</si>
  <si>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</si>
  <si>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</si>
  <si>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</si>
  <si>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</si>
  <si>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</si>
  <si>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</si>
  <si>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</si>
  <si>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</si>
  <si>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</si>
  <si>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</si>
  <si>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</si>
  <si>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</si>
  <si>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</si>
  <si>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</si>
  <si>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</si>
  <si>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</si>
  <si>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</si>
  <si>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</si>
  <si>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</si>
  <si>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</si>
  <si>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</si>
  <si>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</si>
  <si>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</si>
  <si>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</si>
  <si>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</si>
  <si>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</si>
  <si>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</si>
  <si>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</si>
  <si>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</si>
  <si>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</si>
  <si>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</si>
  <si>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</si>
  <si>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</si>
  <si>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</si>
  <si>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</si>
  <si>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</si>
  <si>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</si>
  <si>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</si>
  <si>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</si>
  <si>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</si>
  <si>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</si>
  <si>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</si>
  <si>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</si>
  <si>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</si>
  <si>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</si>
  <si>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</si>
  <si>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</si>
  <si>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</si>
  <si>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</si>
  <si>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</si>
  <si>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</si>
  <si>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</si>
  <si>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</si>
  <si>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</si>
  <si>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</si>
  <si>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</si>
  <si>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</si>
  <si>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</si>
  <si>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</si>
  <si>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</si>
  <si>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</si>
  <si>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</si>
  <si>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</si>
  <si>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</si>
  <si>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</si>
  <si>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</si>
  <si>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</si>
  <si>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</si>
  <si>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</si>
  <si>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</si>
  <si>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</si>
  <si>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</si>
  <si>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</si>
  <si>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</si>
  <si>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</si>
  <si>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</si>
  <si>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</si>
  <si>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</si>
  <si>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</si>
  <si>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</si>
  <si>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</si>
  <si>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</si>
  <si>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</si>
  <si>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</si>
  <si>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</si>
  <si>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</si>
  <si>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</si>
  <si>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</si>
  <si>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</si>
  <si>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</si>
  <si>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</si>
  <si>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</si>
  <si>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</si>
  <si>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</si>
  <si>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</si>
  <si>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</si>
  <si>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</si>
  <si>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</si>
  <si>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</si>
  <si>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</si>
  <si>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</si>
  <si>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</si>
  <si>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</si>
  <si>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</si>
  <si>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</si>
  <si>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</si>
  <si>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</si>
  <si>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</si>
  <si>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</si>
  <si>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</si>
  <si>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</si>
  <si>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</si>
  <si>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</si>
  <si>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</si>
  <si>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</si>
  <si>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</si>
  <si>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</si>
  <si>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</si>
  <si>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</si>
  <si>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</si>
  <si>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</si>
  <si>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</si>
  <si>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</si>
  <si>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</si>
  <si>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</si>
  <si>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</si>
  <si>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</si>
  <si>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</si>
  <si>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</si>
  <si>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</si>
  <si>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</si>
  <si>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</si>
  <si>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</si>
  <si>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</si>
  <si>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</si>
  <si>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</si>
  <si>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</si>
  <si>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</si>
  <si>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</si>
  <si>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</si>
  <si>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</si>
  <si>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</si>
  <si>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</si>
  <si>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</si>
  <si>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</si>
  <si>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</si>
  <si>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</si>
  <si>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</si>
  <si>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</si>
  <si>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</si>
  <si>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</si>
  <si>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</si>
  <si>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 xml:space="preserve">Kankakee </t>
  </si>
  <si>
    <t>333 St Louis Ave</t>
  </si>
  <si>
    <t xml:space="preserve">St Anne  </t>
  </si>
  <si>
    <t>Charles Stegall</t>
  </si>
  <si>
    <t>815-422-5022</t>
  </si>
  <si>
    <t>Russell Leigh &amp; Associates LLC</t>
  </si>
  <si>
    <t>Russ Leigh</t>
  </si>
  <si>
    <t>228 E Main</t>
  </si>
  <si>
    <t>Hoopestonj</t>
  </si>
  <si>
    <t>217-283-9336</t>
  </si>
  <si>
    <t>217-283-9736</t>
  </si>
  <si>
    <t>065-018319</t>
  </si>
  <si>
    <t>02/2/-17</t>
  </si>
  <si>
    <t>Cardinal Bus Line</t>
  </si>
  <si>
    <t>x</t>
  </si>
  <si>
    <t>St Anne Comm High School Dist#302</t>
  </si>
  <si>
    <t>Kankakee Area Special Education Co-op</t>
  </si>
  <si>
    <t xml:space="preserve"> x</t>
  </si>
  <si>
    <t>admin@russleigh.com</t>
  </si>
  <si>
    <t>IL</t>
  </si>
  <si>
    <t>815-422-5023</t>
  </si>
  <si>
    <t>St Anne CCSD 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</si>
</sst>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571500</xdr:colOff>
          <xdr:row>36</xdr:row>
          <xdr:rowOff>171450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51955</xdr:colOff>
          <xdr:row>0</xdr:row>
          <xdr:rowOff>121228</xdr:rowOff>
        </xdr:from>
        <xdr:to>
          <xdr:col>1</xdr:col>
          <xdr:colOff>966355</xdr:colOff>
          <xdr:row>5</xdr:row>
          <xdr:rowOff>80530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8A9B9310-2607-4C6A-8458-68A79F6E81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2069</v>
      </c>
      <c r="C5" s="26" t="s">
        <v>904</v>
      </c>
      <c r="D5" s="81"/>
      <c r="E5" s="81"/>
      <c r="H5" s="38"/>
      <c r="I5" s="2124" t="s">
        <v>675</v>
      </c>
      <c r="J5" s="2069"/>
      <c r="K5" s="2069"/>
      <c r="L5" s="2069"/>
      <c r="M5" s="2069"/>
      <c r="N5" s="2069"/>
      <c r="O5" s="2069"/>
      <c r="P5" s="2069"/>
      <c r="Q5" s="2069"/>
      <c r="R5" s="2069"/>
      <c r="S5" s="2069"/>
      <c r="AF5" s="1827"/>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32046256004</v>
      </c>
      <c r="B13" s="2086"/>
      <c r="C13" s="2086"/>
      <c r="D13" s="2086"/>
      <c r="E13" s="2086"/>
      <c r="F13" s="2086"/>
      <c r="G13" s="2086"/>
      <c r="H13" s="2087"/>
      <c r="I13" s="31"/>
      <c r="J13" s="30"/>
      <c r="K13" s="28"/>
      <c r="L13" s="30"/>
      <c r="M13" s="30"/>
      <c r="N13" s="30"/>
      <c r="O13" s="30"/>
      <c r="P13" s="30"/>
      <c r="Q13" s="30"/>
      <c r="R13" s="30"/>
      <c r="S13" s="30"/>
      <c r="T13" s="2090" t="s">
        <v>2057</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2052</v>
      </c>
      <c r="B15" s="2088"/>
      <c r="C15" s="2088"/>
      <c r="D15" s="2088"/>
      <c r="E15" s="2088"/>
      <c r="F15" s="2088"/>
      <c r="G15" s="2088"/>
      <c r="H15" s="2089"/>
      <c r="T15" s="2051" t="s">
        <v>2058</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2073</v>
      </c>
      <c r="B17" s="2113"/>
      <c r="C17" s="2113"/>
      <c r="D17" s="2113"/>
      <c r="E17" s="2113"/>
      <c r="F17" s="2113"/>
      <c r="G17" s="2113"/>
      <c r="H17" s="2114"/>
      <c r="T17" s="2100" t="s">
        <v>2059</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2053</v>
      </c>
      <c r="B19" s="2084"/>
      <c r="C19" s="2084"/>
      <c r="D19" s="2084"/>
      <c r="E19" s="2084"/>
      <c r="F19" s="2084"/>
      <c r="G19" s="2084"/>
      <c r="H19" s="2082"/>
      <c r="I19" s="30"/>
      <c r="J19" s="96"/>
      <c r="K19" s="40"/>
      <c r="L19" s="38"/>
      <c r="M19" s="109" t="s">
        <v>312</v>
      </c>
      <c r="P19" s="27"/>
      <c r="Q19" s="27"/>
      <c r="R19" s="27"/>
      <c r="S19" s="31"/>
      <c r="T19" s="2083" t="s">
        <v>2060</v>
      </c>
      <c r="U19" s="2081"/>
      <c r="V19" s="2081"/>
      <c r="W19" s="2082"/>
      <c r="X19" s="2098" t="s">
        <v>2071</v>
      </c>
      <c r="Y19" s="2099"/>
      <c r="Z19" s="2096">
        <v>60942</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2054</v>
      </c>
      <c r="B21" s="2081"/>
      <c r="C21" s="2081"/>
      <c r="D21" s="2081"/>
      <c r="E21" s="2081"/>
      <c r="F21" s="2081"/>
      <c r="G21" s="2081"/>
      <c r="H21" s="2082"/>
      <c r="I21" s="2106" t="s">
        <v>673</v>
      </c>
      <c r="J21" s="2069"/>
      <c r="K21" s="2069"/>
      <c r="L21" s="2069"/>
      <c r="M21" s="2069"/>
      <c r="N21" s="2069"/>
      <c r="O21" s="2069"/>
      <c r="P21" s="2069"/>
      <c r="Q21" s="2069"/>
      <c r="R21" s="2069"/>
      <c r="S21" s="2070"/>
      <c r="T21" s="2048" t="s">
        <v>2061</v>
      </c>
      <c r="U21" s="2049"/>
      <c r="V21" s="2049"/>
      <c r="W21" s="2049"/>
      <c r="X21" s="2062" t="s">
        <v>2062</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c r="B23" s="2104"/>
      <c r="C23" s="2104"/>
      <c r="D23" s="2104"/>
      <c r="E23" s="2104"/>
      <c r="F23" s="2104"/>
      <c r="G23" s="2104"/>
      <c r="H23" s="2105"/>
      <c r="T23" s="2043" t="s">
        <v>2063</v>
      </c>
      <c r="U23" s="2044"/>
      <c r="V23" s="2044"/>
      <c r="W23" s="2044"/>
      <c r="X23" s="2059">
        <v>44469</v>
      </c>
      <c r="Y23" s="2060"/>
      <c r="Z23" s="2060"/>
      <c r="AA23" s="2061"/>
    </row>
    <row r="24" spans="1:27" ht="14.1" customHeight="1" x14ac:dyDescent="0.2">
      <c r="A24" s="85" t="s">
        <v>672</v>
      </c>
      <c r="B24" s="46"/>
      <c r="C24" s="46"/>
      <c r="D24" s="46"/>
      <c r="E24" s="46"/>
      <c r="F24" s="46"/>
      <c r="G24" s="46"/>
      <c r="H24" s="58"/>
      <c r="J24" s="2145" t="str">
        <f>IF(B5="x",IF(AUDITCHECK!D29="AFR form Incomplete.","",IF(AUDITCHECK!D29="Deficit reduction plan is required.","School District must complete a deficit reduction plan in the 2020-2021 Budget",)),"")</f>
        <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60964</v>
      </c>
      <c r="B25" s="2081"/>
      <c r="C25" s="2081"/>
      <c r="D25" s="2081"/>
      <c r="E25" s="2081"/>
      <c r="F25" s="2081"/>
      <c r="G25" s="2081"/>
      <c r="H25" s="2082"/>
      <c r="I25" s="110"/>
      <c r="J25" s="2147"/>
      <c r="K25" s="2147"/>
      <c r="L25" s="2147"/>
      <c r="M25" s="2147"/>
      <c r="N25" s="2147"/>
      <c r="O25" s="2147"/>
      <c r="P25" s="2147"/>
      <c r="Q25" s="2147"/>
      <c r="R25" s="2147"/>
      <c r="S25" s="2148"/>
      <c r="T25" s="2040" t="s">
        <v>2070</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2055</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2056</v>
      </c>
      <c r="B42" s="2130"/>
      <c r="C42" s="2131"/>
      <c r="D42" s="2144" t="s">
        <v>2072</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999735</v>
      </c>
      <c r="C4" s="1722"/>
      <c r="D4" s="1723">
        <f>B4-C4</f>
        <v>999735</v>
      </c>
      <c r="E4" s="1722">
        <v>1035202</v>
      </c>
      <c r="F4" s="1723">
        <f>E4-C4</f>
        <v>1035202</v>
      </c>
    </row>
    <row r="5" spans="1:8" ht="13.7" customHeight="1" x14ac:dyDescent="0.2">
      <c r="A5" s="579" t="s">
        <v>865</v>
      </c>
      <c r="B5" s="1724">
        <f>'Revenues 9-14'!D5</f>
        <v>126219</v>
      </c>
      <c r="C5" s="1664"/>
      <c r="D5" s="1725">
        <f t="shared" ref="D5:D18" si="0">B5-C5</f>
        <v>126219</v>
      </c>
      <c r="E5" s="1664">
        <v>130677</v>
      </c>
      <c r="F5" s="1725">
        <f>E5-C5</f>
        <v>130677</v>
      </c>
    </row>
    <row r="6" spans="1:8" ht="13.7" customHeight="1" x14ac:dyDescent="0.2">
      <c r="A6" s="579" t="s">
        <v>408</v>
      </c>
      <c r="B6" s="1724">
        <f>'Revenues 9-14'!E5</f>
        <v>223110</v>
      </c>
      <c r="C6" s="1664"/>
      <c r="D6" s="1725">
        <f t="shared" si="0"/>
        <v>223110</v>
      </c>
      <c r="E6" s="1664">
        <v>220949</v>
      </c>
      <c r="F6" s="1725">
        <f t="shared" ref="F6:F18" si="1">E6-C6</f>
        <v>220949</v>
      </c>
    </row>
    <row r="7" spans="1:8" ht="13.7" customHeight="1" x14ac:dyDescent="0.2">
      <c r="A7" s="579" t="s">
        <v>154</v>
      </c>
      <c r="B7" s="1724">
        <f>'Revenues 9-14'!F5</f>
        <v>60585</v>
      </c>
      <c r="C7" s="1664"/>
      <c r="D7" s="1725">
        <f t="shared" si="0"/>
        <v>60585</v>
      </c>
      <c r="E7" s="1664">
        <v>62725</v>
      </c>
      <c r="F7" s="1725">
        <f t="shared" si="1"/>
        <v>62725</v>
      </c>
    </row>
    <row r="8" spans="1:8" ht="13.7" customHeight="1" x14ac:dyDescent="0.2">
      <c r="A8" s="579" t="s">
        <v>1169</v>
      </c>
      <c r="B8" s="1724">
        <f>'Revenues 9-14'!G5</f>
        <v>36275</v>
      </c>
      <c r="C8" s="1664"/>
      <c r="D8" s="1725">
        <f t="shared" si="0"/>
        <v>36275</v>
      </c>
      <c r="E8" s="1664">
        <v>34290</v>
      </c>
      <c r="F8" s="1725">
        <f t="shared" si="1"/>
        <v>34290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25244</v>
      </c>
      <c r="C10" s="1664"/>
      <c r="D10" s="1725">
        <f t="shared" si="0"/>
        <v>25244</v>
      </c>
      <c r="E10" s="1664">
        <v>26136</v>
      </c>
      <c r="F10" s="1725">
        <f t="shared" si="1"/>
        <v>26136</v>
      </c>
    </row>
    <row r="11" spans="1:8" x14ac:dyDescent="0.2">
      <c r="A11" s="579" t="s">
        <v>406</v>
      </c>
      <c r="B11" s="1724">
        <f>'Revenues 9-14'!J5</f>
        <v>162961</v>
      </c>
      <c r="C11" s="1664"/>
      <c r="D11" s="1725">
        <f t="shared" si="0"/>
        <v>162961</v>
      </c>
      <c r="E11" s="1664">
        <v>164026</v>
      </c>
      <c r="F11" s="1725">
        <f t="shared" si="1"/>
        <v>164026</v>
      </c>
    </row>
    <row r="12" spans="1:8" ht="13.7" customHeight="1" x14ac:dyDescent="0.2">
      <c r="A12" s="579" t="s">
        <v>156</v>
      </c>
      <c r="B12" s="1724">
        <f>'Revenues 9-14'!K5</f>
        <v>25244</v>
      </c>
      <c r="C12" s="1664"/>
      <c r="D12" s="1725">
        <f t="shared" si="0"/>
        <v>25244</v>
      </c>
      <c r="E12" s="1664">
        <v>26136</v>
      </c>
      <c r="F12" s="1725">
        <f t="shared" si="1"/>
        <v>26136</v>
      </c>
    </row>
    <row r="13" spans="1:8" ht="13.7" customHeight="1" x14ac:dyDescent="0.2">
      <c r="A13" s="579" t="s">
        <v>930</v>
      </c>
      <c r="B13" s="1724">
        <f>SUM('Revenues 9-14'!C6:D6)</f>
        <v>25244</v>
      </c>
      <c r="C13" s="1664"/>
      <c r="D13" s="1725">
        <f t="shared" si="0"/>
        <v>25244</v>
      </c>
      <c r="E13" s="1664">
        <v>26136</v>
      </c>
      <c r="F13" s="1725">
        <f t="shared" si="1"/>
        <v>26136</v>
      </c>
    </row>
    <row r="14" spans="1:8" ht="13.7" customHeight="1" x14ac:dyDescent="0.2">
      <c r="A14" s="579" t="s">
        <v>407</v>
      </c>
      <c r="B14" s="1724">
        <f>SUM('Revenues 9-14'!C7:D7,'Revenues 9-14'!F7:H7)</f>
        <v>10098</v>
      </c>
      <c r="C14" s="1664"/>
      <c r="D14" s="1725">
        <f t="shared" si="0"/>
        <v>10098</v>
      </c>
      <c r="E14" s="1664">
        <v>10454</v>
      </c>
      <c r="F14" s="1725">
        <f t="shared" si="1"/>
        <v>10454</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46380</v>
      </c>
      <c r="C16" s="1664"/>
      <c r="D16" s="1725">
        <f t="shared" si="0"/>
        <v>46380</v>
      </c>
      <c r="E16" s="1664">
        <v>48403</v>
      </c>
      <c r="F16" s="1725">
        <f t="shared" si="1"/>
        <v>48403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1741095</v>
      </c>
      <c r="C19" s="1726">
        <f>SUM(C4:C18)</f>
        <v>0</v>
      </c>
      <c r="D19" s="1726">
        <f>SUM(D4:D18)</f>
        <v>1741095</v>
      </c>
      <c r="E19" s="1726">
        <f>SUM(E4:E18)</f>
        <v>1785134</v>
      </c>
      <c r="F19" s="1726">
        <f>SUM(F4:F18)</f>
        <v>1785134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404</v>
      </c>
      <c r="B31" s="595" t="s">
        <v>2064</v>
      </c>
      <c r="C31" s="1734">
        <v>689000</v>
      </c>
      <c r="D31" s="1735">
        <v>1</v>
      </c>
      <c r="E31" s="1734">
        <v>424200</v>
      </c>
      <c r="F31" s="1734"/>
      <c r="G31" s="1734"/>
      <c r="H31" s="1734">
        <v>209400</v>
      </c>
      <c r="I31" s="1736">
        <f>((E31+F31)-H31)+G31</f>
        <v>214800</v>
      </c>
      <c r="J31" s="1734">
        <v>208129</v>
      </c>
      <c r="K31" s="596"/>
    </row>
    <row r="32" spans="1:11" ht="12" customHeight="1" x14ac:dyDescent="0.2">
      <c r="A32" s="594" t="s">
        <v>404</v>
      </c>
      <c r="B32" s="595">
        <v>43921</v>
      </c>
      <c r="C32" s="1734">
        <v>1400000</v>
      </c>
      <c r="D32" s="1735">
        <v>1</v>
      </c>
      <c r="E32" s="1734"/>
      <c r="F32" s="1734">
        <v>1400000</v>
      </c>
      <c r="G32" s="1734"/>
      <c r="H32" s="1734"/>
      <c r="I32" s="1736">
        <f>((E32+F32)-H32)+G32</f>
        <v>1400000</v>
      </c>
      <c r="J32" s="1734">
        <v>1400000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2089000</v>
      </c>
      <c r="D49" s="1742"/>
      <c r="E49" s="1736">
        <f t="shared" ref="E49:J49" si="2">SUM(E31:E48)</f>
        <v>424200</v>
      </c>
      <c r="F49" s="1736">
        <f t="shared" si="2"/>
        <v>1400000</v>
      </c>
      <c r="G49" s="1736">
        <f t="shared" si="2"/>
        <v>0</v>
      </c>
      <c r="H49" s="1736">
        <f t="shared" si="2"/>
        <v>209400</v>
      </c>
      <c r="I49" s="1736">
        <f t="shared" si="2"/>
        <v>1614800</v>
      </c>
      <c r="J49" s="1736">
        <f t="shared" si="2"/>
        <v>1608129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366</v>
      </c>
      <c r="B4" s="2328"/>
      <c r="C4" s="2328"/>
      <c r="D4" s="2328"/>
      <c r="E4" s="2309"/>
      <c r="F4" s="620"/>
      <c r="G4" s="1746"/>
      <c r="H4" s="1747"/>
      <c r="I4" s="1746"/>
      <c r="J4" s="1748"/>
      <c r="K4" s="1748"/>
    </row>
    <row r="5" spans="1:11" x14ac:dyDescent="0.2">
      <c r="A5" s="2347" t="s">
        <v>1060</v>
      </c>
      <c r="B5" s="2318"/>
      <c r="C5" s="2318"/>
      <c r="D5" s="2318"/>
      <c r="E5" s="2348"/>
      <c r="F5" s="622" t="s">
        <v>843</v>
      </c>
      <c r="G5" s="1749"/>
      <c r="H5" s="1744">
        <v>10098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7" t="s">
        <v>1790</v>
      </c>
      <c r="B10" s="2318"/>
      <c r="C10" s="2318"/>
      <c r="D10" s="2318"/>
      <c r="E10" s="2349"/>
      <c r="F10" s="633" t="s">
        <v>857</v>
      </c>
      <c r="G10" s="1753"/>
      <c r="H10" s="1754"/>
      <c r="I10" s="1744"/>
      <c r="J10" s="1745"/>
      <c r="K10" s="1745"/>
    </row>
    <row r="11" spans="1:11" x14ac:dyDescent="0.2">
      <c r="A11" s="2347" t="s">
        <v>159</v>
      </c>
      <c r="B11" s="2318"/>
      <c r="C11" s="2318"/>
      <c r="D11" s="2318"/>
      <c r="E11" s="2348"/>
      <c r="F11" s="622" t="s">
        <v>847</v>
      </c>
      <c r="G11" s="1749"/>
      <c r="H11" s="1744"/>
      <c r="I11" s="1744"/>
      <c r="J11" s="1745"/>
      <c r="K11" s="1751"/>
    </row>
    <row r="12" spans="1:11" ht="13.5" thickBot="1" x14ac:dyDescent="0.25">
      <c r="A12" s="2335" t="s">
        <v>899</v>
      </c>
      <c r="B12" s="2336"/>
      <c r="C12" s="2336"/>
      <c r="D12" s="2336"/>
      <c r="E12" s="2337"/>
      <c r="F12" s="1433"/>
      <c r="G12" s="1755">
        <f>SUM(G5:G11)</f>
        <v>0</v>
      </c>
      <c r="H12" s="1755">
        <f>SUM(H5:H11)</f>
        <v>10098</v>
      </c>
      <c r="I12" s="1755">
        <f>SUM(I5:I11)</f>
        <v>0</v>
      </c>
      <c r="J12" s="1755">
        <f>SUM(J5:J11)</f>
        <v>0</v>
      </c>
      <c r="K12" s="1755">
        <f>SUM(K5:K11)</f>
        <v>0</v>
      </c>
    </row>
    <row r="13" spans="1:11" ht="13.5" thickTop="1" x14ac:dyDescent="0.2">
      <c r="A13" s="2329" t="s">
        <v>367</v>
      </c>
      <c r="B13" s="2330"/>
      <c r="C13" s="2330"/>
      <c r="D13" s="2330"/>
      <c r="E13" s="2331"/>
      <c r="F13" s="634"/>
      <c r="G13" s="1756"/>
      <c r="H13" s="1757"/>
      <c r="I13" s="1758"/>
      <c r="J13" s="1758"/>
      <c r="K13" s="1758"/>
    </row>
    <row r="14" spans="1:11" x14ac:dyDescent="0.2">
      <c r="A14" s="2353" t="s">
        <v>453</v>
      </c>
      <c r="B14" s="2353"/>
      <c r="C14" s="2353"/>
      <c r="D14" s="2353"/>
      <c r="E14" s="2354"/>
      <c r="F14" s="635" t="s">
        <v>849</v>
      </c>
      <c r="G14" s="1753"/>
      <c r="H14" s="1744">
        <v>10098</v>
      </c>
      <c r="I14" s="1749"/>
      <c r="J14" s="1751"/>
      <c r="K14" s="1745"/>
    </row>
    <row r="15" spans="1:11" x14ac:dyDescent="0.2">
      <c r="A15" s="2318" t="s">
        <v>4</v>
      </c>
      <c r="B15" s="2318"/>
      <c r="C15" s="2318"/>
      <c r="D15" s="2318"/>
      <c r="E15" s="2348"/>
      <c r="F15" s="635" t="s">
        <v>850</v>
      </c>
      <c r="G15" s="1749"/>
      <c r="H15" s="1744"/>
      <c r="I15" s="1744"/>
      <c r="J15" s="1745"/>
      <c r="K15" s="1745"/>
    </row>
    <row r="16" spans="1:11" x14ac:dyDescent="0.2">
      <c r="A16" s="2318" t="s">
        <v>295</v>
      </c>
      <c r="B16" s="2318"/>
      <c r="C16" s="2318"/>
      <c r="D16" s="2318"/>
      <c r="E16" s="2348"/>
      <c r="F16" s="635" t="s">
        <v>917</v>
      </c>
      <c r="G16" s="1750"/>
      <c r="H16" s="1746"/>
      <c r="I16" s="1746"/>
      <c r="J16" s="1748"/>
      <c r="K16" s="1748"/>
    </row>
    <row r="17" spans="1:15" x14ac:dyDescent="0.2">
      <c r="A17" s="2342" t="s">
        <v>929</v>
      </c>
      <c r="B17" s="2342"/>
      <c r="C17" s="2342"/>
      <c r="D17" s="2342"/>
      <c r="E17" s="2343"/>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38" t="s">
        <v>633</v>
      </c>
      <c r="B21" s="2338"/>
      <c r="C21" s="2338"/>
      <c r="D21" s="2338"/>
      <c r="E21" s="2338"/>
      <c r="F21" s="1434"/>
      <c r="G21" s="1760"/>
      <c r="H21" s="1764"/>
      <c r="I21" s="1764"/>
      <c r="J21" s="1765">
        <f>SUM(J18:J20)</f>
        <v>0</v>
      </c>
      <c r="K21" s="1761"/>
    </row>
    <row r="22" spans="1:15" ht="13.5" thickTop="1" x14ac:dyDescent="0.2">
      <c r="A22" s="2318" t="s">
        <v>1792</v>
      </c>
      <c r="B22" s="2318"/>
      <c r="C22" s="2318"/>
      <c r="D22" s="2318"/>
      <c r="E22" s="2348"/>
      <c r="F22" s="635" t="s">
        <v>857</v>
      </c>
      <c r="G22" s="1753"/>
      <c r="H22" s="1744"/>
      <c r="I22" s="1744"/>
      <c r="J22" s="1766"/>
      <c r="K22" s="1745"/>
    </row>
    <row r="23" spans="1:15" ht="13.5" thickBot="1" x14ac:dyDescent="0.25">
      <c r="A23" s="2339" t="s">
        <v>900</v>
      </c>
      <c r="B23" s="2338"/>
      <c r="C23" s="2338"/>
      <c r="D23" s="2338"/>
      <c r="E23" s="2338"/>
      <c r="F23" s="1436"/>
      <c r="G23" s="1755">
        <f>SUM(G14:G16,G21,G22)</f>
        <v>0</v>
      </c>
      <c r="H23" s="1755">
        <f>SUM(H14:H16,H21,H22)</f>
        <v>10098</v>
      </c>
      <c r="I23" s="1755">
        <f>SUM(I14:I16,I21,I22)</f>
        <v>0</v>
      </c>
      <c r="J23" s="1755">
        <f>SUM(J14:J16,J21,J22)</f>
        <v>0</v>
      </c>
      <c r="K23" s="1755">
        <f>SUM(K14:K16,K21,K22)</f>
        <v>0</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38285</v>
      </c>
      <c r="D5" s="1770"/>
      <c r="E5" s="1770"/>
      <c r="F5" s="1765">
        <f>(C5+D5)-E5</f>
        <v>38285</v>
      </c>
      <c r="G5" s="676"/>
      <c r="H5" s="680"/>
      <c r="I5" s="680"/>
      <c r="J5" s="680"/>
      <c r="K5" s="637"/>
      <c r="L5" s="1442">
        <f>F5-K5</f>
        <v>38285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2376547</v>
      </c>
      <c r="D8" s="1771"/>
      <c r="E8" s="1771"/>
      <c r="F8" s="1765">
        <f>(C8+D8)-E8</f>
        <v>2376547</v>
      </c>
      <c r="G8" s="681">
        <v>50</v>
      </c>
      <c r="H8" s="619">
        <v>1760736</v>
      </c>
      <c r="I8" s="619">
        <v>47531</v>
      </c>
      <c r="J8" s="619"/>
      <c r="K8" s="1442">
        <f>(H8+I8)-J8</f>
        <v>1808267</v>
      </c>
      <c r="L8" s="1442">
        <f>F8-K8</f>
        <v>568280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23750</v>
      </c>
      <c r="D10" s="1772"/>
      <c r="E10" s="1772"/>
      <c r="F10" s="1773">
        <f>(C10+D10)-E10</f>
        <v>23750</v>
      </c>
      <c r="G10" s="681">
        <v>20</v>
      </c>
      <c r="H10" s="683">
        <v>20667</v>
      </c>
      <c r="I10" s="683">
        <v>190</v>
      </c>
      <c r="J10" s="683"/>
      <c r="K10" s="1442">
        <f>(H10+I10)-J10</f>
        <v>20857</v>
      </c>
      <c r="L10" s="1442">
        <f>F10-K10</f>
        <v>2893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1204926</v>
      </c>
      <c r="D12" s="1771">
        <v>56601</v>
      </c>
      <c r="E12" s="1771"/>
      <c r="F12" s="1765">
        <f>(C12+D12)-E12</f>
        <v>1261527</v>
      </c>
      <c r="G12" s="681">
        <v>10</v>
      </c>
      <c r="H12" s="619">
        <v>1076369</v>
      </c>
      <c r="I12" s="619">
        <v>29735</v>
      </c>
      <c r="J12" s="619"/>
      <c r="K12" s="1442">
        <f>(H12+I12)-J12</f>
        <v>1106104</v>
      </c>
      <c r="L12" s="1442">
        <f>F12-K12</f>
        <v>155423</v>
      </c>
    </row>
    <row r="13" spans="1:14" ht="14.25" thickTop="1" thickBot="1" x14ac:dyDescent="0.25">
      <c r="A13" s="684" t="s">
        <v>1112</v>
      </c>
      <c r="B13" s="679">
        <v>252</v>
      </c>
      <c r="C13" s="1771">
        <v>63203</v>
      </c>
      <c r="D13" s="1771"/>
      <c r="E13" s="1771"/>
      <c r="F13" s="1765">
        <f>(C13+D13)-E13</f>
        <v>63203</v>
      </c>
      <c r="G13" s="681">
        <v>5</v>
      </c>
      <c r="H13" s="619">
        <v>63203</v>
      </c>
      <c r="I13" s="619"/>
      <c r="J13" s="619"/>
      <c r="K13" s="1442">
        <f>(H13+I13)-J13</f>
        <v>63203</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3706711</v>
      </c>
      <c r="D16" s="1765">
        <f>SUM(D3,D5:D6,D8:D10,D12:D15)</f>
        <v>56601</v>
      </c>
      <c r="E16" s="1765">
        <f>SUM(E3,E5:E6,E8:E10,E12:E15)</f>
        <v>0</v>
      </c>
      <c r="F16" s="1765">
        <f>SUM(F3,F5:F6,F8:F10,F12:F15)</f>
        <v>3763312</v>
      </c>
      <c r="G16" s="681"/>
      <c r="H16" s="1435">
        <f>SUM(H3,H6,H8:H10,H12:H14,)</f>
        <v>2920975</v>
      </c>
      <c r="I16" s="1435">
        <f>SUM(I3,I6,I8:I10,I12:I14,)</f>
        <v>77456</v>
      </c>
      <c r="J16" s="1435">
        <f>SUM(J3,J6,J8:J10,J12:J14,)</f>
        <v>0</v>
      </c>
      <c r="K16" s="1435">
        <f>(H16+I16)-J16</f>
        <v>2998431</v>
      </c>
      <c r="L16" s="1435">
        <f>F16-K16</f>
        <v>764881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77456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3034888</v>
      </c>
      <c r="G8" s="701"/>
    </row>
    <row r="9" spans="1:9" x14ac:dyDescent="0.2">
      <c r="A9" s="705" t="s">
        <v>457</v>
      </c>
      <c r="B9" s="706" t="s">
        <v>1848</v>
      </c>
      <c r="C9" s="707"/>
      <c r="D9" s="705" t="s">
        <v>498</v>
      </c>
      <c r="E9" s="704"/>
      <c r="F9" s="1775">
        <f>'Expenditures 15-22'!K151</f>
        <v>127786</v>
      </c>
      <c r="G9" s="708"/>
    </row>
    <row r="10" spans="1:9" x14ac:dyDescent="0.2">
      <c r="A10" s="705" t="s">
        <v>496</v>
      </c>
      <c r="B10" s="706" t="s">
        <v>1849</v>
      </c>
      <c r="C10" s="707"/>
      <c r="D10" s="705" t="s">
        <v>498</v>
      </c>
      <c r="E10" s="704"/>
      <c r="F10" s="1775">
        <f>'Expenditures 15-22'!K174</f>
        <v>220862</v>
      </c>
      <c r="G10" s="708"/>
    </row>
    <row r="11" spans="1:9" x14ac:dyDescent="0.2">
      <c r="A11" s="705" t="s">
        <v>458</v>
      </c>
      <c r="B11" s="706" t="s">
        <v>1850</v>
      </c>
      <c r="C11" s="707"/>
      <c r="D11" s="705" t="s">
        <v>498</v>
      </c>
      <c r="E11" s="704"/>
      <c r="F11" s="1775">
        <f>'Expenditures 15-22'!K210</f>
        <v>291628</v>
      </c>
      <c r="G11" s="708"/>
    </row>
    <row r="12" spans="1:9" x14ac:dyDescent="0.2">
      <c r="A12" s="705" t="s">
        <v>459</v>
      </c>
      <c r="B12" s="706" t="s">
        <v>1851</v>
      </c>
      <c r="C12" s="707"/>
      <c r="D12" s="705" t="s">
        <v>498</v>
      </c>
      <c r="E12" s="704"/>
      <c r="F12" s="1775">
        <f>'Expenditures 15-22'!K295</f>
        <v>84667</v>
      </c>
      <c r="G12" s="708"/>
    </row>
    <row r="13" spans="1:9" x14ac:dyDescent="0.2">
      <c r="A13" s="705" t="s">
        <v>106</v>
      </c>
      <c r="B13" s="706" t="s">
        <v>1852</v>
      </c>
      <c r="C13" s="707"/>
      <c r="D13" s="705" t="s">
        <v>498</v>
      </c>
      <c r="E13" s="704"/>
      <c r="F13" s="1775">
        <f>'Expenditures 15-22'!K342</f>
        <v>199028</v>
      </c>
      <c r="G13" s="709"/>
    </row>
    <row r="14" spans="1:9" ht="12" customHeight="1" thickBot="1" x14ac:dyDescent="0.25">
      <c r="A14" s="1443"/>
      <c r="B14" s="1444"/>
      <c r="C14" s="1445"/>
      <c r="D14" s="1446" t="s">
        <v>498</v>
      </c>
      <c r="E14" s="1447" t="s">
        <v>952</v>
      </c>
      <c r="F14" s="1776">
        <f>SUM(F8:F13)</f>
        <v>3958859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75457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882</v>
      </c>
      <c r="G52" s="701"/>
    </row>
    <row r="53" spans="1:7" x14ac:dyDescent="0.2">
      <c r="A53" s="705" t="s">
        <v>456</v>
      </c>
      <c r="B53" s="705" t="s">
        <v>1458</v>
      </c>
      <c r="C53" s="724">
        <f>'Expenditures 15-22'!B102</f>
        <v>4000</v>
      </c>
      <c r="D53" s="723" t="str">
        <f>'Expenditures 15-22'!A102</f>
        <v>Total Payments to Other Govt Units</v>
      </c>
      <c r="E53" s="704"/>
      <c r="F53" s="1782">
        <f>'Expenditures 15-22'!K102</f>
        <v>218649</v>
      </c>
      <c r="G53" s="701"/>
    </row>
    <row r="54" spans="1:7" x14ac:dyDescent="0.2">
      <c r="A54" s="705" t="s">
        <v>456</v>
      </c>
      <c r="B54" s="705" t="s">
        <v>1459</v>
      </c>
      <c r="C54" s="724" t="s">
        <v>975</v>
      </c>
      <c r="D54" s="720" t="s">
        <v>1086</v>
      </c>
      <c r="E54" s="704"/>
      <c r="F54" s="1782">
        <f>'Expenditures 15-22'!G114</f>
        <v>26001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209400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39917</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30600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600907</v>
      </c>
      <c r="G77" s="701"/>
    </row>
    <row r="78" spans="1:9" s="728" customFormat="1" ht="12" customHeight="1" thickTop="1" thickBot="1" x14ac:dyDescent="0.25">
      <c r="A78" s="1450"/>
      <c r="B78" s="1448"/>
      <c r="C78" s="1445"/>
      <c r="D78" s="1449" t="s">
        <v>2012</v>
      </c>
      <c r="E78" s="1447"/>
      <c r="F78" s="1788">
        <f>(F14-F77)</f>
        <v>3357952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301</v>
      </c>
      <c r="G79" s="733"/>
      <c r="H79" s="705"/>
      <c r="I79" s="705"/>
    </row>
    <row r="80" spans="1:9" s="728" customFormat="1" ht="12" customHeight="1" thickBot="1" x14ac:dyDescent="0.25">
      <c r="A80" s="1452"/>
      <c r="B80" s="1448"/>
      <c r="C80" s="1445"/>
      <c r="D80" s="1449" t="s">
        <v>2013</v>
      </c>
      <c r="E80" s="1447" t="s">
        <v>952</v>
      </c>
      <c r="F80" s="1790">
        <f>IF(F79&gt;0,F78/F79," Complete Line 79")</f>
        <v>11155.986710963454</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29622</v>
      </c>
      <c r="G95" s="745"/>
    </row>
    <row r="96" spans="1:7" x14ac:dyDescent="0.2">
      <c r="A96" s="741" t="s">
        <v>139</v>
      </c>
      <c r="B96" s="741" t="s">
        <v>174</v>
      </c>
      <c r="C96" s="743">
        <v>1700</v>
      </c>
      <c r="D96" s="751" t="str">
        <f>'Revenues 9-14'!A82</f>
        <v>Total District/School Activity Income</v>
      </c>
      <c r="E96" s="739"/>
      <c r="F96" s="1793">
        <f>SUM('Revenues 9-14'!C82,'Revenues 9-14'!D82)</f>
        <v>8430</v>
      </c>
      <c r="G96" s="745"/>
    </row>
    <row r="97" spans="1:7" x14ac:dyDescent="0.2">
      <c r="A97" s="741" t="s">
        <v>456</v>
      </c>
      <c r="B97" s="741" t="s">
        <v>175</v>
      </c>
      <c r="C97" s="743">
        <f>'Revenues 9-14'!B84</f>
        <v>1811</v>
      </c>
      <c r="D97" s="744" t="str">
        <f>'Revenues 9-14'!A84</f>
        <v>Rentals - Regular Textbooks</v>
      </c>
      <c r="E97" s="739"/>
      <c r="F97" s="1793">
        <f>'Revenues 9-14'!C84</f>
        <v>15108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7206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1359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214608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22008</v>
      </c>
      <c r="G125" s="763"/>
    </row>
    <row r="126" spans="1:7" x14ac:dyDescent="0.2">
      <c r="A126" s="760" t="s">
        <v>659</v>
      </c>
      <c r="B126" s="760" t="s">
        <v>1930</v>
      </c>
      <c r="C126" s="765">
        <v>4200</v>
      </c>
      <c r="D126" s="762" t="str">
        <f>'Revenues 9-14'!A198</f>
        <v>Total Food Service</v>
      </c>
      <c r="E126" s="739"/>
      <c r="F126" s="1793">
        <f>SUM('Revenues 9-14'!C198,'Revenues 9-14'!G198)</f>
        <v>163499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148469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98162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10297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24137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3065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127311</v>
      </c>
      <c r="G172" s="760"/>
    </row>
    <row r="173" spans="1:7" x14ac:dyDescent="0.2">
      <c r="A173" s="1529" t="s">
        <v>659</v>
      </c>
      <c r="B173" s="1530" t="s">
        <v>1885</v>
      </c>
      <c r="C173" s="1531">
        <v>3300</v>
      </c>
      <c r="D173" s="1532" t="s">
        <v>1888</v>
      </c>
      <c r="E173" s="739"/>
      <c r="F173" s="1794">
        <v>70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886601</v>
      </c>
    </row>
    <row r="176" spans="1:7" ht="12" customHeight="1" x14ac:dyDescent="0.2">
      <c r="A176" s="1443"/>
      <c r="B176" s="1453"/>
      <c r="C176" s="1454"/>
      <c r="D176" s="1455" t="s">
        <v>2014</v>
      </c>
      <c r="E176" s="1456"/>
      <c r="F176" s="1793">
        <f>'PCTC-OEPP 27-28'!F78-F175</f>
        <v>2471351</v>
      </c>
    </row>
    <row r="177" spans="1:9" ht="12" customHeight="1" x14ac:dyDescent="0.2">
      <c r="A177" s="1443"/>
      <c r="B177" s="1453"/>
      <c r="C177" s="1454"/>
      <c r="D177" s="1455" t="s">
        <v>1794</v>
      </c>
      <c r="E177" s="1456"/>
      <c r="F177" s="1793">
        <f>'Cap Outlay Deprec 26'!I18</f>
        <v>77456</v>
      </c>
    </row>
    <row r="178" spans="1:9" ht="12" customHeight="1" x14ac:dyDescent="0.2">
      <c r="A178" s="1443"/>
      <c r="B178" s="1453"/>
      <c r="C178" s="1454"/>
      <c r="D178" s="1455" t="s">
        <v>2015</v>
      </c>
      <c r="E178" s="1456"/>
      <c r="F178" s="1793">
        <f>F176+F177</f>
        <v>2548807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301</v>
      </c>
      <c r="G179" s="763"/>
      <c r="I179" s="701"/>
    </row>
    <row r="180" spans="1:9" ht="12" customHeight="1" thickBot="1" x14ac:dyDescent="0.25">
      <c r="A180" s="1443"/>
      <c r="B180" s="1457"/>
      <c r="C180" s="1454"/>
      <c r="D180" s="1455" t="s">
        <v>2017</v>
      </c>
      <c r="E180" s="1456" t="s">
        <v>1528</v>
      </c>
      <c r="F180" s="1798">
        <f>F178/F179</f>
        <v>8467.7973421926908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1"/>
  <sheetViews>
    <sheetView showGridLines="0" topLeftCell="A13" zoomScaleNormal="100" workbookViewId="0">
      <selection activeCell="A20" sqref="A20:A2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514</v>
      </c>
      <c r="B18" s="1907">
        <v>402550300</v>
      </c>
      <c r="C18" s="2035" t="s">
        <v>2065</v>
      </c>
      <c r="D18" s="1885">
        <v>229732</v>
      </c>
      <c r="E18" s="1905" t="str">
        <f t="shared" ref="E18:E38" si="0">IF(D18&lt;25000,D18,"25,000")</f>
        <v>25,000</v>
      </c>
      <c r="F18" s="1905">
        <f t="shared" ref="F18:F38" si="1">IF(D18&gt;=25000,(D18-E18),"0")</f>
        <v>204732</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c r="F20" s="1905"/>
    </row>
    <row r="21" spans="1:7" x14ac:dyDescent="0.25">
      <c r="A21" s="1887"/>
      <c r="B21" s="1907"/>
      <c r="C21" s="1884"/>
      <c r="D21" s="1885"/>
      <c r="E21" s="1905"/>
      <c r="F21" s="1905"/>
    </row>
    <row r="22" spans="1:7" x14ac:dyDescent="0.25">
      <c r="A22" s="1887"/>
      <c r="B22" s="1907"/>
      <c r="C22" s="1884"/>
      <c r="D22" s="1885"/>
      <c r="E22" s="1905"/>
      <c r="F22" s="1905"/>
    </row>
    <row r="23" spans="1:7" x14ac:dyDescent="0.25">
      <c r="A23" s="1887"/>
      <c r="B23" s="1907"/>
      <c r="C23" s="1884"/>
      <c r="D23" s="1885"/>
      <c r="E23" s="1905"/>
      <c r="F23" s="1905"/>
    </row>
    <row r="24" spans="1:7" x14ac:dyDescent="0.25">
      <c r="A24" s="1887"/>
      <c r="B24" s="1907"/>
      <c r="C24" s="1884"/>
      <c r="D24" s="1885"/>
      <c r="E24" s="1905"/>
      <c r="F24" s="1905"/>
    </row>
    <row r="25" spans="1:7" x14ac:dyDescent="0.25">
      <c r="A25" s="1887"/>
      <c r="B25" s="1907"/>
      <c r="C25" s="1884"/>
      <c r="D25" s="1885"/>
      <c r="E25" s="1905"/>
      <c r="F25" s="1905"/>
    </row>
    <row r="26" spans="1:7" x14ac:dyDescent="0.25">
      <c r="A26" s="1887"/>
      <c r="B26" s="1907"/>
      <c r="C26" s="1884"/>
      <c r="D26" s="1885"/>
      <c r="E26" s="1905"/>
      <c r="F26" s="1905"/>
    </row>
    <row r="27" spans="1:7" x14ac:dyDescent="0.25">
      <c r="A27" s="1887"/>
      <c r="B27" s="1907"/>
      <c r="C27" s="1884"/>
      <c r="D27" s="1885"/>
      <c r="E27" s="1905"/>
      <c r="F27" s="1905"/>
    </row>
    <row r="28" spans="1:7" x14ac:dyDescent="0.25">
      <c r="A28" s="1887"/>
      <c r="B28" s="1907"/>
      <c r="C28" s="1884"/>
      <c r="D28" s="1885"/>
      <c r="E28" s="1905"/>
      <c r="F28" s="1905"/>
    </row>
    <row r="29" spans="1:7" x14ac:dyDescent="0.25">
      <c r="A29" s="1887"/>
      <c r="B29" s="1907"/>
      <c r="C29" s="1884"/>
      <c r="D29" s="1885"/>
      <c r="E29" s="1905"/>
      <c r="F29" s="1905"/>
    </row>
    <row r="30" spans="1:7" x14ac:dyDescent="0.25">
      <c r="A30" s="1887"/>
      <c r="B30" s="1907"/>
      <c r="C30" s="1884"/>
      <c r="D30" s="1885"/>
      <c r="E30" s="1905">
        <f t="shared" si="0"/>
        <v>0</v>
      </c>
      <c r="F30" s="1905" t="str">
        <f t="shared" si="1"/>
        <v>0</v>
      </c>
    </row>
    <row r="31" spans="1:7" x14ac:dyDescent="0.25">
      <c r="A31" s="1887"/>
      <c r="B31" s="1907"/>
      <c r="C31" s="1884"/>
      <c r="D31" s="1885"/>
      <c r="E31" s="1905">
        <f t="shared" si="0"/>
        <v>0</v>
      </c>
      <c r="F31" s="1905" t="str">
        <f t="shared" si="1"/>
        <v>0</v>
      </c>
    </row>
    <row r="32" spans="1:7" x14ac:dyDescent="0.25">
      <c r="A32" s="1887"/>
      <c r="B32" s="1907"/>
      <c r="C32" s="1884"/>
      <c r="D32" s="1885"/>
      <c r="E32" s="1905">
        <f t="shared" si="0"/>
        <v>0</v>
      </c>
      <c r="F32" s="1905" t="str">
        <f t="shared" si="1"/>
        <v>0</v>
      </c>
    </row>
    <row r="33" spans="1:6" x14ac:dyDescent="0.25">
      <c r="A33" s="1887"/>
      <c r="B33" s="1907"/>
      <c r="C33" s="1884"/>
      <c r="D33" s="1885"/>
      <c r="E33" s="1905">
        <f t="shared" si="0"/>
        <v>0</v>
      </c>
      <c r="F33" s="1905" t="str">
        <f t="shared" si="1"/>
        <v>0</v>
      </c>
    </row>
    <row r="34" spans="1:6" x14ac:dyDescent="0.25">
      <c r="A34" s="1887"/>
      <c r="B34" s="1907"/>
      <c r="C34" s="1884"/>
      <c r="D34" s="1885"/>
      <c r="E34" s="1905">
        <f t="shared" si="0"/>
        <v>0</v>
      </c>
      <c r="F34" s="1905" t="str">
        <f t="shared" si="1"/>
        <v>0</v>
      </c>
    </row>
    <row r="35" spans="1:6" x14ac:dyDescent="0.25">
      <c r="A35" s="1887"/>
      <c r="B35" s="1907"/>
      <c r="C35" s="1884"/>
      <c r="D35" s="1885"/>
      <c r="E35" s="1905">
        <f t="shared" si="0"/>
        <v>0</v>
      </c>
      <c r="F35" s="1905" t="str">
        <f t="shared" si="1"/>
        <v>0</v>
      </c>
    </row>
    <row r="36" spans="1:6" x14ac:dyDescent="0.25">
      <c r="A36" s="1887"/>
      <c r="B36" s="1907"/>
      <c r="C36" s="1884"/>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ref="E39:E40" si="2">IF(D39&lt;25000,D39,"25,000")</f>
        <v>0</v>
      </c>
      <c r="F39" s="1905" t="str">
        <f t="shared" ref="F39:F40" si="3">IF(D39&gt;=25000,(D39-E39),"0")</f>
        <v>0</v>
      </c>
    </row>
    <row r="40" spans="1:6" x14ac:dyDescent="0.25">
      <c r="A40" s="1887"/>
      <c r="B40" s="1909"/>
      <c r="C40" s="1888"/>
      <c r="D40" s="1885"/>
      <c r="E40" s="1905">
        <f t="shared" si="2"/>
        <v>0</v>
      </c>
      <c r="F40" s="1905" t="str">
        <f t="shared" si="3"/>
        <v>0</v>
      </c>
    </row>
    <row r="41" spans="1:6" x14ac:dyDescent="0.25">
      <c r="A41" s="1889" t="s">
        <v>155</v>
      </c>
      <c r="B41" s="1910"/>
      <c r="C41" s="1890"/>
      <c r="D41" s="1891">
        <f>SUM(D18:D40)</f>
        <v>229732</v>
      </c>
      <c r="E41" s="1892">
        <f>SUM(E18:E40)</f>
        <v>0</v>
      </c>
      <c r="F41" s="1893">
        <f>SUM(F18:F40)</f>
        <v>204732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1884992</v>
      </c>
      <c r="F19" s="1802"/>
      <c r="G19" s="1804">
        <f>'Expenditures 15-22'!K33-SUM('Expenditures 15-22'!G33,'Expenditures 15-22'!I33)+'Expenditures 15-22'!D229</f>
        <v>1884992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159754</v>
      </c>
      <c r="F21" s="1805"/>
      <c r="G21" s="1808">
        <f>'Expenditures 15-22'!K42-SUM('Expenditures 15-22'!G42,'Expenditures 15-22'!I42)+'Expenditures 15-22'!K120-SUM('Expenditures 15-22'!G120,'Expenditures 15-22'!I120)+'Expenditures 15-22'!K180-SUM('Expenditures 15-22'!G180,'Expenditures 15-22'!I180)+'Expenditures 15-22'!D238</f>
        <v>159754</v>
      </c>
      <c r="H21" s="817"/>
      <c r="I21" s="157"/>
    </row>
    <row r="22" spans="1:9" s="542" customFormat="1" ht="12" customHeight="1" x14ac:dyDescent="0.2">
      <c r="A22" s="824" t="s">
        <v>560</v>
      </c>
      <c r="B22" s="825"/>
      <c r="C22" s="823">
        <v>2200</v>
      </c>
      <c r="D22" s="1805"/>
      <c r="E22" s="1807">
        <f>'Expenditures 15-22'!K47-SUM('Expenditures 15-22'!G47,'Expenditures 15-22'!I47)+'Expenditures 15-22'!D243</f>
        <v>64616</v>
      </c>
      <c r="F22" s="1805"/>
      <c r="G22" s="1808">
        <f>'Expenditures 15-22'!K47-SUM('Expenditures 15-22'!G47,'Expenditures 15-22'!I47)+'Expenditures 15-22'!D243</f>
        <v>64616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279348</v>
      </c>
      <c r="F23" s="1805"/>
      <c r="G23" s="1807">
        <f>'Expenditures 15-22'!K53-SUM('Expenditures 15-22'!G53,'Expenditures 15-22'!I53)+'Expenditures 15-22'!D257+'Expenditures 15-22'!K330-SUM('Expenditures 15-22'!G330,'Expenditures 15-22'!I330)</f>
        <v>279348</v>
      </c>
      <c r="H23" s="817"/>
      <c r="I23" s="157"/>
    </row>
    <row r="24" spans="1:9" s="542" customFormat="1" ht="12" customHeight="1" x14ac:dyDescent="0.2">
      <c r="A24" s="824" t="s">
        <v>562</v>
      </c>
      <c r="B24" s="825"/>
      <c r="C24" s="823">
        <v>2400</v>
      </c>
      <c r="D24" s="1805"/>
      <c r="E24" s="1807">
        <f>'Expenditures 15-22'!K57-SUM('Expenditures 15-22'!G57,'Expenditures 15-22'!I57)+'Expenditures 15-22'!D261</f>
        <v>279639</v>
      </c>
      <c r="F24" s="1805"/>
      <c r="G24" s="1808">
        <f>'Expenditures 15-22'!K57-SUM('Expenditures 15-22'!G57,'Expenditures 15-22'!I57)+'Expenditures 15-22'!D261</f>
        <v>279639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79933</v>
      </c>
      <c r="E27" s="1807">
        <f>E8</f>
        <v>0</v>
      </c>
      <c r="F27" s="1807">
        <f>'Expenditures 15-22'!K60-SUM('Expenditures 15-22'!G60,'Expenditures 15-22'!I60)+'Expenditures 15-22'!D264-E8</f>
        <v>79933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201361</v>
      </c>
      <c r="F28" s="1809">
        <f>'Expenditures 15-22'!K61-SUM('Expenditures 15-22'!G61,'Expenditures 15-22'!I61)+'Expenditures 15-22'!K124-SUM('Expenditures 15-22'!G124,'Expenditures 15-22'!I124)+'Expenditures 15-22'!D266-E9</f>
        <v>201361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251711</v>
      </c>
      <c r="F29" s="1805"/>
      <c r="G29" s="1808">
        <f>'Expenditures 15-22'!K62-SUM('Expenditures 15-22'!G62,'Expenditures 15-22'!I62)+'Expenditures 15-22'!K125-SUM('Expenditures 15-22'!G125,'Expenditures 15-22'!I125)+'Expenditures 15-22'!K182-SUM('Expenditures 15-22'!G182,'Expenditures 15-22'!I182)+'Expenditures 15-22'!D267</f>
        <v>251711</v>
      </c>
      <c r="H29" s="815"/>
    </row>
    <row r="30" spans="1:9" ht="12" customHeight="1" x14ac:dyDescent="0.2">
      <c r="A30" s="824" t="s">
        <v>100</v>
      </c>
      <c r="B30" s="827"/>
      <c r="C30" s="823">
        <v>2560</v>
      </c>
      <c r="D30" s="1805"/>
      <c r="E30" s="1807">
        <f>'Expenditures 15-22'!K63-SUM('Expenditures 15-22'!G63,'Expenditures 15-22'!I63)+'Expenditures 15-22'!D268-E10</f>
        <v>152365</v>
      </c>
      <c r="F30" s="1805"/>
      <c r="G30" s="1807">
        <f>'Expenditures 15-22'!K63-SUM('Expenditures 15-22'!G63,'Expenditures 15-22'!I63)+'Expenditures 15-22'!D268-E10</f>
        <v>152365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68229</v>
      </c>
      <c r="E37" s="1807">
        <f>E14</f>
        <v>0</v>
      </c>
      <c r="F37" s="1807">
        <f>'Expenditures 15-22'!K71-SUM('Expenditures 15-22'!G71,'Expenditures 15-22'!I71)+'Expenditures 15-22'!D276-E14</f>
        <v>68229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882</v>
      </c>
      <c r="F39" s="1805"/>
      <c r="G39" s="1807">
        <f>'Expenditures 15-22'!K75-SUM('Expenditures 15-22'!G75,'Expenditures 15-22'!I75)+'Expenditures 15-22'!K130-SUM('Expenditures 15-22'!G130,'Expenditures 15-22'!I130)+'Expenditures 15-22'!K185-SUM('Expenditures 15-22'!G185,'Expenditures 15-22'!I185)+'Expenditures 15-22'!D280</f>
        <v>882</v>
      </c>
    </row>
    <row r="40" spans="1:7" ht="12" customHeight="1" x14ac:dyDescent="0.2">
      <c r="A40" s="820" t="s">
        <v>1798</v>
      </c>
      <c r="B40" s="821"/>
      <c r="C40" s="823"/>
      <c r="D40" s="1805"/>
      <c r="E40" s="1809">
        <f>-'Contracts Paid in CY 29'!F41</f>
        <v>-204732</v>
      </c>
      <c r="F40" s="1805"/>
      <c r="G40" s="1809">
        <f>-'Contracts Paid in CY 29'!F41</f>
        <v>-204732</v>
      </c>
    </row>
    <row r="41" spans="1:7" ht="12" customHeight="1" x14ac:dyDescent="0.2">
      <c r="A41" s="828" t="s">
        <v>155</v>
      </c>
      <c r="B41" s="829"/>
      <c r="C41" s="830"/>
      <c r="D41" s="1809">
        <f>SUM(D19:D39)</f>
        <v>148162</v>
      </c>
      <c r="E41" s="1809">
        <f>SUM(E19:E40)</f>
        <v>3069936</v>
      </c>
      <c r="F41" s="1809">
        <f>SUM(F19:F39)</f>
        <v>349523</v>
      </c>
      <c r="G41" s="1809">
        <f>SUM(G19:G40)</f>
        <v>2868575</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148162</v>
      </c>
      <c r="F43" s="1458" t="s">
        <v>470</v>
      </c>
      <c r="G43" s="1810">
        <f>F41</f>
        <v>349523</v>
      </c>
    </row>
    <row r="44" spans="1:7" ht="12" customHeight="1" x14ac:dyDescent="0.2">
      <c r="A44" s="817"/>
      <c r="B44" s="157"/>
      <c r="C44" s="831"/>
      <c r="D44" s="1458" t="s">
        <v>471</v>
      </c>
      <c r="E44" s="1810">
        <f>E41</f>
        <v>3069936</v>
      </c>
      <c r="F44" s="1458" t="s">
        <v>471</v>
      </c>
      <c r="G44" s="1810">
        <f>G41</f>
        <v>2868575</v>
      </c>
    </row>
    <row r="45" spans="1:7" ht="12" customHeight="1" x14ac:dyDescent="0.2">
      <c r="A45" s="817"/>
      <c r="B45" s="157"/>
      <c r="C45" s="157"/>
      <c r="D45" s="1459" t="s">
        <v>999</v>
      </c>
      <c r="E45" s="1811">
        <f>(E43/E44)</f>
        <v>4.8262243903455966E-2</v>
      </c>
      <c r="F45" s="1459" t="s">
        <v>999</v>
      </c>
      <c r="G45" s="1811">
        <f>(G43/G44)</f>
        <v>0.12184551563058313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22" zoomScale="110" zoomScaleNormal="110" workbookViewId="0">
      <selection activeCell="F46" sqref="F45:F4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5"/>
      <c r="N5" s="1855"/>
      <c r="O5" s="1855"/>
    </row>
    <row r="6" spans="1:15" ht="12" customHeight="1" x14ac:dyDescent="0.25">
      <c r="A6" s="1480"/>
      <c r="B6" s="1481"/>
      <c r="C6" s="2403" t="str">
        <f>COVER!A17</f>
        <v>St Anne CCSD 256</v>
      </c>
      <c r="D6" s="2403"/>
      <c r="E6" s="2403"/>
      <c r="F6" s="1482"/>
      <c r="G6" s="1507"/>
      <c r="L6" s="1507"/>
      <c r="M6" s="1855"/>
      <c r="N6" s="1855"/>
      <c r="O6" s="1855"/>
    </row>
    <row r="7" spans="1:15" ht="11.25" customHeight="1" thickBot="1" x14ac:dyDescent="0.3">
      <c r="A7" s="1480"/>
      <c r="B7" s="1481"/>
      <c r="C7" s="2404">
        <f>COVER!A13</f>
        <v>32046256004</v>
      </c>
      <c r="D7" s="2404"/>
      <c r="E7" s="240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2066</v>
      </c>
      <c r="D12" s="1495" t="s">
        <v>2066</v>
      </c>
      <c r="E12" s="1498"/>
      <c r="F12" s="1497" t="s">
        <v>2067</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2066</v>
      </c>
      <c r="D13" s="1495" t="s">
        <v>2066</v>
      </c>
      <c r="E13" s="1498"/>
      <c r="F13" s="1497" t="s">
        <v>2067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2066</v>
      </c>
      <c r="D16" s="1495" t="s">
        <v>2066</v>
      </c>
      <c r="E16" s="1498"/>
      <c r="F16" s="1497" t="s">
        <v>2067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2066</v>
      </c>
      <c r="D18" s="1495" t="s">
        <v>2066</v>
      </c>
      <c r="E18" s="1498"/>
      <c r="F18" s="1497" t="s">
        <v>2067</v>
      </c>
      <c r="G18" s="1507"/>
      <c r="H18" s="1507">
        <f t="shared" si="0"/>
        <v>5</v>
      </c>
      <c r="I18" s="1507">
        <f t="shared" si="1"/>
        <v>5</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2066</v>
      </c>
      <c r="D24" s="1495" t="s">
        <v>2066</v>
      </c>
      <c r="E24" s="1498"/>
      <c r="F24" s="1497" t="s">
        <v>2067</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2066</v>
      </c>
      <c r="D25" s="1495" t="s">
        <v>2066</v>
      </c>
      <c r="E25" s="1498"/>
      <c r="F25" s="1497" t="s">
        <v>2067</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2066</v>
      </c>
      <c r="D26" s="1495" t="s">
        <v>2066</v>
      </c>
      <c r="E26" s="1498"/>
      <c r="F26" s="1497" t="s">
        <v>2068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2066</v>
      </c>
      <c r="D30" s="1495" t="s">
        <v>2066</v>
      </c>
      <c r="E30" s="1498"/>
      <c r="F30" s="1497" t="s">
        <v>2067</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1159</v>
      </c>
      <c r="D32" s="1495" t="s">
        <v>1159</v>
      </c>
      <c r="E32" s="1498"/>
      <c r="F32" s="1497" t="s">
        <v>1159</v>
      </c>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5" top="0.75" bottom="0.75" header="0.3" footer="0.3"/>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19" t="str">
        <f>COVER!A17</f>
        <v>St Anne CCSD 256</v>
      </c>
      <c r="K6" s="2419"/>
      <c r="L6" s="2420"/>
      <c r="M6" s="838"/>
      <c r="N6" s="1997"/>
    </row>
    <row r="7" spans="1:14" x14ac:dyDescent="0.2">
      <c r="A7" s="2421" t="s">
        <v>864</v>
      </c>
      <c r="B7" s="2422"/>
      <c r="C7" s="2422"/>
      <c r="D7" s="2422"/>
      <c r="E7" s="2423"/>
      <c r="F7" s="839"/>
      <c r="G7" s="838"/>
      <c r="H7" s="838"/>
      <c r="I7" s="1923" t="s">
        <v>369</v>
      </c>
      <c r="J7" s="2424">
        <f>COVER!A13</f>
        <v>32046256004</v>
      </c>
      <c r="K7" s="2424"/>
      <c r="L7" s="2424"/>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5" t="s">
        <v>478</v>
      </c>
      <c r="B11" s="2426"/>
      <c r="C11" s="2427"/>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80548</v>
      </c>
      <c r="F12" s="1941"/>
      <c r="G12" s="1967">
        <f>G68</f>
        <v>15173</v>
      </c>
      <c r="H12" s="1943">
        <f t="shared" ref="H12:H18" si="0">SUM(E12:G12)</f>
        <v>95721</v>
      </c>
      <c r="I12" s="1942">
        <v>83880</v>
      </c>
      <c r="J12" s="1941"/>
      <c r="K12" s="1942">
        <v>15637</v>
      </c>
      <c r="L12" s="1943">
        <f t="shared" ref="L12:L18" si="1">SUM(I12:K12)</f>
        <v>99517</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57387</v>
      </c>
      <c r="F14" s="1941"/>
      <c r="G14" s="1967">
        <f>I68</f>
        <v>0</v>
      </c>
      <c r="H14" s="1943">
        <f t="shared" si="0"/>
        <v>57387</v>
      </c>
      <c r="I14" s="1942">
        <v>60519</v>
      </c>
      <c r="J14" s="1941"/>
      <c r="K14" s="1942"/>
      <c r="L14" s="1943">
        <f t="shared" si="1"/>
        <v>60519</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28" t="s">
        <v>7</v>
      </c>
      <c r="C18" s="2429"/>
      <c r="D18" s="2430"/>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137935</v>
      </c>
      <c r="F19" s="1949">
        <f t="shared" si="2"/>
        <v>0</v>
      </c>
      <c r="G19" s="1949">
        <f t="shared" ref="G19" si="3">SUM(G12:G17)-G18</f>
        <v>15173</v>
      </c>
      <c r="H19" s="1949">
        <f t="shared" si="2"/>
        <v>153108</v>
      </c>
      <c r="I19" s="1949">
        <f t="shared" si="2"/>
        <v>144399</v>
      </c>
      <c r="J19" s="1949">
        <f t="shared" si="2"/>
        <v>0</v>
      </c>
      <c r="K19" s="1949">
        <f t="shared" si="2"/>
        <v>15637</v>
      </c>
      <c r="L19" s="1949">
        <f t="shared" si="2"/>
        <v>160036</v>
      </c>
      <c r="M19" s="838"/>
      <c r="N19" s="1997"/>
    </row>
    <row r="20" spans="1:14" ht="13.5" thickTop="1" x14ac:dyDescent="0.2">
      <c r="A20" s="2002">
        <v>9</v>
      </c>
      <c r="B20" s="2431" t="s">
        <v>2021</v>
      </c>
      <c r="C20" s="2431"/>
      <c r="D20" s="2432"/>
      <c r="E20" s="1950"/>
      <c r="F20" s="1950"/>
      <c r="G20" s="1950"/>
      <c r="H20" s="1950"/>
      <c r="I20" s="1950"/>
      <c r="J20" s="1950"/>
      <c r="K20" s="1950"/>
      <c r="L20" s="1951">
        <f>IF(AND(H19&gt;0,L19&gt;0),(((L19-H19)/H19)),"Enter Budget Data")</f>
        <v>4.5249105206782138E-2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3"/>
      <c r="D27" s="2433"/>
      <c r="E27" s="843"/>
      <c r="F27" s="2434"/>
      <c r="G27" s="2434"/>
      <c r="H27" s="2434"/>
      <c r="I27" s="838"/>
      <c r="J27" s="838"/>
      <c r="K27" s="838"/>
      <c r="L27" s="838"/>
      <c r="M27" s="838"/>
      <c r="N27" s="1997"/>
    </row>
    <row r="28" spans="1:14" x14ac:dyDescent="0.2">
      <c r="A28" s="1996"/>
      <c r="B28" s="2006"/>
      <c r="C28" s="1956" t="s">
        <v>1026</v>
      </c>
      <c r="D28" s="844"/>
      <c r="E28" s="1957"/>
      <c r="F28" s="2435" t="s">
        <v>1492</v>
      </c>
      <c r="G28" s="2435"/>
      <c r="H28" s="2435"/>
      <c r="I28" s="838"/>
      <c r="J28" s="838"/>
      <c r="K28" s="838"/>
      <c r="L28" s="838"/>
      <c r="M28" s="838"/>
      <c r="N28" s="1997"/>
    </row>
    <row r="29" spans="1:14" x14ac:dyDescent="0.2">
      <c r="A29" s="1996"/>
      <c r="B29" s="2006"/>
      <c r="C29" s="2436"/>
      <c r="D29" s="2436"/>
      <c r="E29" s="845"/>
      <c r="F29" s="2436"/>
      <c r="G29" s="2436"/>
      <c r="H29" s="2436"/>
      <c r="I29" s="838"/>
      <c r="J29" s="838"/>
      <c r="K29" s="838"/>
      <c r="L29" s="838"/>
      <c r="M29" s="838"/>
      <c r="N29" s="1997"/>
    </row>
    <row r="30" spans="1:14" x14ac:dyDescent="0.2">
      <c r="A30" s="1996"/>
      <c r="B30" s="2006"/>
      <c r="C30" s="1959" t="s">
        <v>1544</v>
      </c>
      <c r="D30" s="838"/>
      <c r="E30" s="1958"/>
      <c r="F30" s="2418" t="s">
        <v>1493</v>
      </c>
      <c r="G30" s="2418"/>
      <c r="H30" s="241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39" t="s">
        <v>2024</v>
      </c>
      <c r="D34" s="2440"/>
      <c r="E34" s="2440"/>
      <c r="F34" s="2440"/>
      <c r="G34" s="2440"/>
      <c r="H34" s="2440"/>
      <c r="I34" s="2440"/>
      <c r="J34" s="2440"/>
      <c r="K34" s="2015"/>
      <c r="L34" s="838"/>
      <c r="M34" s="838"/>
      <c r="N34" s="1997"/>
    </row>
    <row r="35" spans="1:14" x14ac:dyDescent="0.2">
      <c r="A35" s="1996"/>
      <c r="B35" s="838"/>
      <c r="C35" s="2440"/>
      <c r="D35" s="2440"/>
      <c r="E35" s="2440"/>
      <c r="F35" s="2440"/>
      <c r="G35" s="2440"/>
      <c r="H35" s="2440"/>
      <c r="I35" s="2440"/>
      <c r="J35" s="2440"/>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39" t="s">
        <v>2025</v>
      </c>
      <c r="D37" s="2440"/>
      <c r="E37" s="2440"/>
      <c r="F37" s="2440"/>
      <c r="G37" s="2440"/>
      <c r="H37" s="2440"/>
      <c r="I37" s="2440"/>
      <c r="J37" s="2440"/>
      <c r="K37" s="2015"/>
      <c r="L37" s="2017"/>
      <c r="M37" s="838"/>
      <c r="N37" s="1997"/>
    </row>
    <row r="38" spans="1:14" x14ac:dyDescent="0.2">
      <c r="A38" s="1996"/>
      <c r="B38" s="838"/>
      <c r="C38" s="2440"/>
      <c r="D38" s="2440"/>
      <c r="E38" s="2440"/>
      <c r="F38" s="2440"/>
      <c r="G38" s="2440"/>
      <c r="H38" s="2440"/>
      <c r="I38" s="2440"/>
      <c r="J38" s="2440"/>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1" t="s">
        <v>2026</v>
      </c>
      <c r="D40" s="2442"/>
      <c r="E40" s="2442"/>
      <c r="F40" s="2442"/>
      <c r="G40" s="2442"/>
      <c r="H40" s="2442"/>
      <c r="I40" s="2442"/>
      <c r="J40" s="2442"/>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9" t="str">
        <f>J6</f>
        <v>St Anne CCSD 256</v>
      </c>
      <c r="M52" s="2419"/>
      <c r="N52" s="2449"/>
    </row>
    <row r="53" spans="1:14" x14ac:dyDescent="0.2">
      <c r="A53" s="1981"/>
      <c r="B53" s="1982"/>
      <c r="C53" s="1982"/>
      <c r="D53" s="1982"/>
      <c r="E53" s="1982"/>
      <c r="F53" s="1982"/>
      <c r="G53" s="1982"/>
      <c r="H53" s="1982"/>
      <c r="I53" s="1982"/>
      <c r="J53" s="1982"/>
      <c r="K53" s="1923" t="s">
        <v>369</v>
      </c>
      <c r="L53" s="2424">
        <f>J7</f>
        <v>32046256004</v>
      </c>
      <c r="M53" s="2424"/>
      <c r="N53" s="245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1"/>
      <c r="B55" s="2452"/>
      <c r="C55" s="2452"/>
      <c r="D55" s="1969"/>
      <c r="E55" s="1969"/>
      <c r="F55" s="1969"/>
      <c r="G55" s="2453" t="s">
        <v>2030</v>
      </c>
      <c r="H55" s="2453"/>
      <c r="I55" s="2453"/>
      <c r="J55" s="2453"/>
      <c r="K55" s="2453"/>
      <c r="L55" s="2453"/>
      <c r="M55" s="2453"/>
      <c r="N55" s="2454"/>
    </row>
    <row r="56" spans="1:14" ht="63.75" x14ac:dyDescent="0.2">
      <c r="A56" s="2455" t="s">
        <v>2031</v>
      </c>
      <c r="B56" s="2456"/>
      <c r="C56" s="245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8" t="s">
        <v>296</v>
      </c>
      <c r="B57" s="2459"/>
      <c r="C57" s="245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7" t="s">
        <v>2041</v>
      </c>
      <c r="B58" s="2438"/>
      <c r="C58" s="2438"/>
      <c r="D58" s="1966">
        <v>2362</v>
      </c>
      <c r="E58" s="1976">
        <f>'Expenditures 15-22'!K320</f>
        <v>8135</v>
      </c>
      <c r="F58" s="1971"/>
      <c r="G58" s="2030"/>
      <c r="H58" s="2031"/>
      <c r="I58" s="2031"/>
      <c r="J58" s="2031"/>
      <c r="K58" s="2031"/>
      <c r="L58" s="2031"/>
      <c r="M58" s="2031">
        <v>8135</v>
      </c>
      <c r="N58" s="1974">
        <f>IF((SUM(G58:M58))=E58,SUM(G58:M58),"Column N does not agree with Column E")</f>
        <v>8135</v>
      </c>
    </row>
    <row r="59" spans="1:14" ht="24.75" customHeight="1" x14ac:dyDescent="0.2">
      <c r="A59" s="2460" t="s">
        <v>297</v>
      </c>
      <c r="B59" s="2461"/>
      <c r="C59" s="246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0" t="s">
        <v>236</v>
      </c>
      <c r="B60" s="2461"/>
      <c r="C60" s="2461"/>
      <c r="D60" s="1966">
        <v>2364</v>
      </c>
      <c r="E60" s="1976">
        <f>'Expenditures 15-22'!K322</f>
        <v>31657</v>
      </c>
      <c r="F60" s="1971"/>
      <c r="G60" s="2030"/>
      <c r="H60" s="2031"/>
      <c r="I60" s="2031"/>
      <c r="J60" s="2031"/>
      <c r="K60" s="2031"/>
      <c r="L60" s="2031"/>
      <c r="M60" s="2031">
        <v>31657</v>
      </c>
      <c r="N60" s="1974">
        <f t="shared" ref="N60:N67" si="4">IF((SUM(G60:M60))=E60,SUM(G60:M60),"Column N does not agree with Column E")</f>
        <v>31657</v>
      </c>
    </row>
    <row r="61" spans="1:14" ht="24.75" customHeight="1" x14ac:dyDescent="0.2">
      <c r="A61" s="2460" t="s">
        <v>697</v>
      </c>
      <c r="B61" s="2461"/>
      <c r="C61" s="2461"/>
      <c r="D61" s="1966">
        <v>2365</v>
      </c>
      <c r="E61" s="1976">
        <f>'Expenditures 15-22'!K323</f>
        <v>144037</v>
      </c>
      <c r="F61" s="1971"/>
      <c r="G61" s="2030">
        <v>15173</v>
      </c>
      <c r="H61" s="2031"/>
      <c r="I61" s="2031"/>
      <c r="J61" s="2031"/>
      <c r="K61" s="2031"/>
      <c r="L61" s="2031"/>
      <c r="M61" s="2031">
        <v>128864</v>
      </c>
      <c r="N61" s="1974">
        <f t="shared" si="4"/>
        <v>144037</v>
      </c>
    </row>
    <row r="62" spans="1:14" ht="24" customHeight="1" x14ac:dyDescent="0.2">
      <c r="A62" s="2460" t="s">
        <v>237</v>
      </c>
      <c r="B62" s="2461"/>
      <c r="C62" s="2461"/>
      <c r="D62" s="1966">
        <v>2366</v>
      </c>
      <c r="E62" s="1976">
        <f>'Expenditures 15-22'!K324</f>
        <v>0</v>
      </c>
      <c r="F62" s="1971"/>
      <c r="G62" s="2030"/>
      <c r="H62" s="2031"/>
      <c r="I62" s="2031"/>
      <c r="J62" s="2031"/>
      <c r="K62" s="2031"/>
      <c r="L62" s="2031"/>
      <c r="M62" s="2031"/>
      <c r="N62" s="1974">
        <f t="shared" si="4"/>
        <v>0</v>
      </c>
    </row>
    <row r="63" spans="1:14" ht="24" customHeight="1" x14ac:dyDescent="0.2">
      <c r="A63" s="2437" t="s">
        <v>1022</v>
      </c>
      <c r="B63" s="2438"/>
      <c r="C63" s="2438"/>
      <c r="D63" s="1966">
        <v>2367</v>
      </c>
      <c r="E63" s="1976">
        <f>'Expenditures 15-22'!K325</f>
        <v>6833</v>
      </c>
      <c r="F63" s="1971"/>
      <c r="G63" s="2030"/>
      <c r="H63" s="2031"/>
      <c r="I63" s="2031"/>
      <c r="J63" s="2031"/>
      <c r="K63" s="2031"/>
      <c r="L63" s="2031"/>
      <c r="M63" s="2031">
        <v>6833</v>
      </c>
      <c r="N63" s="1974">
        <f t="shared" si="4"/>
        <v>6833</v>
      </c>
    </row>
    <row r="64" spans="1:14" ht="24" customHeight="1" x14ac:dyDescent="0.2">
      <c r="A64" s="2460" t="s">
        <v>1023</v>
      </c>
      <c r="B64" s="2461"/>
      <c r="C64" s="2461"/>
      <c r="D64" s="1966">
        <v>2368</v>
      </c>
      <c r="E64" s="1976">
        <f>'Expenditures 15-22'!K326</f>
        <v>0</v>
      </c>
      <c r="F64" s="1971"/>
      <c r="G64" s="2030"/>
      <c r="H64" s="2031"/>
      <c r="I64" s="2031"/>
      <c r="J64" s="2031"/>
      <c r="K64" s="2031"/>
      <c r="L64" s="2031"/>
      <c r="M64" s="2031"/>
      <c r="N64" s="1974">
        <f t="shared" si="4"/>
        <v>0</v>
      </c>
    </row>
    <row r="65" spans="1:14" ht="24" customHeight="1" x14ac:dyDescent="0.2">
      <c r="A65" s="2460" t="s">
        <v>965</v>
      </c>
      <c r="B65" s="2461"/>
      <c r="C65" s="2461"/>
      <c r="D65" s="1966">
        <v>2369</v>
      </c>
      <c r="E65" s="1976">
        <f>'Expenditures 15-22'!K327</f>
        <v>8366</v>
      </c>
      <c r="F65" s="1971"/>
      <c r="G65" s="2030"/>
      <c r="H65" s="2031"/>
      <c r="I65" s="2031"/>
      <c r="J65" s="2031"/>
      <c r="K65" s="2031"/>
      <c r="L65" s="2031"/>
      <c r="M65" s="2031">
        <v>8366</v>
      </c>
      <c r="N65" s="1974">
        <f t="shared" si="4"/>
        <v>8366</v>
      </c>
    </row>
    <row r="66" spans="1:14" ht="24" customHeight="1" x14ac:dyDescent="0.2">
      <c r="A66" s="2460" t="s">
        <v>469</v>
      </c>
      <c r="B66" s="2461"/>
      <c r="C66" s="2461"/>
      <c r="D66" s="1966">
        <v>2371</v>
      </c>
      <c r="E66" s="1976">
        <f>'Expenditures 15-22'!K328</f>
        <v>0</v>
      </c>
      <c r="F66" s="1971"/>
      <c r="G66" s="2030"/>
      <c r="H66" s="2031"/>
      <c r="I66" s="2031"/>
      <c r="J66" s="2031"/>
      <c r="K66" s="2031"/>
      <c r="L66" s="2031"/>
      <c r="M66" s="2031"/>
      <c r="N66" s="1974">
        <f t="shared" si="4"/>
        <v>0</v>
      </c>
    </row>
    <row r="67" spans="1:14" ht="24.75" customHeight="1" x14ac:dyDescent="0.2">
      <c r="A67" s="2462" t="s">
        <v>2042</v>
      </c>
      <c r="B67" s="2463"/>
      <c r="C67" s="2463"/>
      <c r="D67" s="1968">
        <v>2372</v>
      </c>
      <c r="E67" s="1977">
        <f>'Expenditures 15-22'!K329</f>
        <v>0</v>
      </c>
      <c r="F67" s="1971"/>
      <c r="G67" s="2032"/>
      <c r="H67" s="2033"/>
      <c r="I67" s="2033"/>
      <c r="J67" s="2033"/>
      <c r="K67" s="2033"/>
      <c r="L67" s="2033"/>
      <c r="M67" s="2033"/>
      <c r="N67" s="1974">
        <f t="shared" si="4"/>
        <v>0</v>
      </c>
    </row>
    <row r="68" spans="1:14" x14ac:dyDescent="0.2">
      <c r="A68" s="2464" t="s">
        <v>1151</v>
      </c>
      <c r="B68" s="2465"/>
      <c r="C68" s="2465"/>
      <c r="D68" s="1969"/>
      <c r="E68" s="1973">
        <f>SUM(E57:E67)</f>
        <v>199028</v>
      </c>
      <c r="F68" s="1972"/>
      <c r="G68" s="1973">
        <f t="shared" ref="G68:N68" si="5">SUM(G57:G67)</f>
        <v>15173</v>
      </c>
      <c r="H68" s="1973">
        <f t="shared" si="5"/>
        <v>0</v>
      </c>
      <c r="I68" s="1973">
        <f t="shared" si="5"/>
        <v>0</v>
      </c>
      <c r="J68" s="1973">
        <f t="shared" si="5"/>
        <v>0</v>
      </c>
      <c r="K68" s="1973">
        <f t="shared" si="5"/>
        <v>0</v>
      </c>
      <c r="L68" s="1973">
        <f t="shared" si="5"/>
        <v>0</v>
      </c>
      <c r="M68" s="1973">
        <f t="shared" si="5"/>
        <v>183855</v>
      </c>
      <c r="N68" s="1987">
        <f t="shared" si="5"/>
        <v>199028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St Anne CCSD 256</v>
      </c>
    </row>
    <row r="65" spans="2:2" x14ac:dyDescent="0.2">
      <c r="B65" s="849">
        <f>COVER!A13</f>
        <v>32046256004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09" r:id="rId4">
          <objectPr defaultSize="0" r:id="rId5">
            <anchor moveWithCells="1">
              <from>
                <xdr:col>1</xdr:col>
                <xdr:colOff>0</xdr:colOff>
                <xdr:row>5</xdr:row>
                <xdr:rowOff>0</xdr:rowOff>
              </from>
              <to>
                <xdr:col>2</xdr:col>
                <xdr:colOff>571500</xdr:colOff>
                <xdr:row>36</xdr:row>
                <xdr:rowOff>171450</xdr:rowOff>
              </to>
            </anchor>
          </objectPr>
        </oleObject>
      </mc:Choice>
      <mc:Fallback>
        <oleObject progId="Acrobat Document"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47625</xdr:colOff>
                <xdr:row>0</xdr:row>
                <xdr:rowOff>123825</xdr:rowOff>
              </from>
              <to>
                <xdr:col>1</xdr:col>
                <xdr:colOff>962025</xdr:colOff>
                <xdr:row>5</xdr:row>
                <xdr:rowOff>85725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3118497</v>
      </c>
      <c r="C8" s="1813">
        <f>'Acct Summary 7-8'!D8</f>
        <v>127036</v>
      </c>
      <c r="D8" s="1813">
        <f>'Acct Summary 7-8'!F8</f>
        <v>292003</v>
      </c>
      <c r="E8" s="1813">
        <f>'Acct Summary 7-8'!I8</f>
        <v>33942</v>
      </c>
      <c r="F8" s="1813">
        <f>SUM(B8:E8)</f>
        <v>3571478</v>
      </c>
    </row>
    <row r="9" spans="1:8" s="858" customFormat="1" ht="14.25" customHeight="1" thickBot="1" x14ac:dyDescent="0.25">
      <c r="A9" s="857" t="s">
        <v>1353</v>
      </c>
      <c r="B9" s="1814">
        <f>'Acct Summary 7-8'!C17</f>
        <v>3034888</v>
      </c>
      <c r="C9" s="1814">
        <f>'Acct Summary 7-8'!D17</f>
        <v>127786</v>
      </c>
      <c r="D9" s="1814">
        <f>'Acct Summary 7-8'!F17</f>
        <v>291628</v>
      </c>
      <c r="E9" s="1813"/>
      <c r="F9" s="1813">
        <f>SUM(B9:E9)</f>
        <v>3454302</v>
      </c>
    </row>
    <row r="10" spans="1:8" s="858" customFormat="1" ht="14.25" thickTop="1" thickBot="1" x14ac:dyDescent="0.25">
      <c r="A10" s="859" t="s">
        <v>1354</v>
      </c>
      <c r="B10" s="1815">
        <f>(B8-B9)</f>
        <v>83609</v>
      </c>
      <c r="C10" s="1815">
        <f>(C8-C9)</f>
        <v>-750</v>
      </c>
      <c r="D10" s="1815">
        <f>(D8-D9)</f>
        <v>375</v>
      </c>
      <c r="E10" s="1814">
        <f>(E8-E9)</f>
        <v>33942</v>
      </c>
      <c r="F10" s="1816">
        <f>SUM(F8-F9)</f>
        <v>117176</v>
      </c>
    </row>
    <row r="11" spans="1:8" s="858" customFormat="1" ht="14.25" thickTop="1" thickBot="1" x14ac:dyDescent="0.25">
      <c r="A11" s="860" t="s">
        <v>1903</v>
      </c>
      <c r="B11" s="1817">
        <f>'Acct Summary 7-8'!C81</f>
        <v>1564897</v>
      </c>
      <c r="C11" s="1817">
        <f>'Acct Summary 7-8'!D81</f>
        <v>67932</v>
      </c>
      <c r="D11" s="1817">
        <f>'Acct Summary 7-8'!F81</f>
        <v>375</v>
      </c>
      <c r="E11" s="1817">
        <f>'Acct Summary 7-8'!I81</f>
        <v>1512250</v>
      </c>
      <c r="F11" s="1818">
        <f>SUM(B11:E11)</f>
        <v>3145454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04" zoomScaleNormal="104" workbookViewId="0">
      <selection activeCell="A98" sqref="A98:XFD9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25" right="0.25" top="0.75" bottom="0.75" header="0.3" footer="0.3"/>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32046256004</v>
      </c>
      <c r="E2" s="1542">
        <v>2020</v>
      </c>
      <c r="F2" s="1542">
        <v>1</v>
      </c>
      <c r="G2" s="1898">
        <v>101000300</v>
      </c>
    </row>
    <row r="3" spans="1:7" ht="15" x14ac:dyDescent="0.25">
      <c r="A3" t="s">
        <v>950</v>
      </c>
      <c r="B3" s="135" t="str">
        <f>COVER!A15</f>
        <v xml:space="preserve">Kankakee </v>
      </c>
      <c r="E3" s="1830" t="s">
        <v>1971</v>
      </c>
      <c r="F3" s="1830" t="s">
        <v>1970</v>
      </c>
      <c r="G3" s="1898">
        <v>101000400</v>
      </c>
    </row>
    <row r="4" spans="1:7" ht="15" x14ac:dyDescent="0.25">
      <c r="A4" t="s">
        <v>1000</v>
      </c>
      <c r="B4" s="135" t="str">
        <f>COVER!A17</f>
        <v>St Anne CCSD 256</v>
      </c>
      <c r="E4" s="1828">
        <v>44119</v>
      </c>
      <c r="F4" s="1829">
        <v>44151</v>
      </c>
      <c r="G4" s="1898">
        <v>101000600</v>
      </c>
    </row>
    <row r="5" spans="1:7" ht="15" x14ac:dyDescent="0.25">
      <c r="A5" t="s">
        <v>699</v>
      </c>
      <c r="B5" s="135" t="str">
        <f>COVER!A38</f>
        <v>Charles Stegall</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 xml:space="preserve"> 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065-018319</v>
      </c>
      <c r="G15" s="1898">
        <v>402100400</v>
      </c>
    </row>
    <row r="16" spans="1:7" ht="15" x14ac:dyDescent="0.25">
      <c r="A16" t="s">
        <v>419</v>
      </c>
      <c r="B16" s="135" t="str">
        <f>COVER!T13</f>
        <v>Russell Leigh &amp; Associates LLC</v>
      </c>
      <c r="G16" s="1898">
        <v>402100600</v>
      </c>
    </row>
    <row r="17" spans="1:7" ht="15" x14ac:dyDescent="0.25">
      <c r="A17" t="s">
        <v>878</v>
      </c>
      <c r="B17" s="135" t="str">
        <f>COVER!T15</f>
        <v>Russ Leigh</v>
      </c>
      <c r="G17" s="1898">
        <v>402100800</v>
      </c>
    </row>
    <row r="18" spans="1:7" ht="15" x14ac:dyDescent="0.25">
      <c r="A18" t="s">
        <v>1140</v>
      </c>
      <c r="B18" s="135" t="str">
        <f>COVER!T17</f>
        <v>228 E Main</v>
      </c>
      <c r="G18" s="1898">
        <v>102200300</v>
      </c>
    </row>
    <row r="19" spans="1:7" ht="15" x14ac:dyDescent="0.25">
      <c r="A19" t="s">
        <v>880</v>
      </c>
      <c r="B19" s="135" t="str">
        <f>COVER!T25</f>
        <v>admin@russleigh.com</v>
      </c>
      <c r="G19" s="1898">
        <v>102200400</v>
      </c>
    </row>
    <row r="20" spans="1:7" ht="15" x14ac:dyDescent="0.25">
      <c r="A20" t="s">
        <v>881</v>
      </c>
      <c r="B20" s="135" t="str">
        <f>COVER!T19</f>
        <v>Hoopestonj</v>
      </c>
      <c r="G20" s="1898">
        <v>102200600</v>
      </c>
    </row>
    <row r="21" spans="1:7" ht="15" x14ac:dyDescent="0.25">
      <c r="A21" t="s">
        <v>476</v>
      </c>
      <c r="B21" s="135" t="str">
        <f>COVER!X19</f>
        <v>IL</v>
      </c>
      <c r="G21" s="1898">
        <v>102200800</v>
      </c>
    </row>
    <row r="22" spans="1:7" ht="15" x14ac:dyDescent="0.25">
      <c r="A22" t="s">
        <v>882</v>
      </c>
      <c r="B22" s="135">
        <f>COVER!Z19</f>
        <v>60942</v>
      </c>
      <c r="G22" s="1898">
        <v>102300300</v>
      </c>
    </row>
    <row r="23" spans="1:7" ht="15" x14ac:dyDescent="0.25">
      <c r="A23" t="s">
        <v>1142</v>
      </c>
      <c r="B23" s="135" t="str">
        <f>COVER!T21</f>
        <v>217-283-9336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1198000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1564897</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1564897</v>
      </c>
      <c r="D92" s="2" t="str">
        <f t="shared" si="0"/>
        <v>Error?</v>
      </c>
      <c r="G92" s="1898">
        <v>102640600</v>
      </c>
    </row>
    <row r="93" spans="1:7" ht="15" x14ac:dyDescent="0.25">
      <c r="A93" s="5">
        <v>32</v>
      </c>
      <c r="B93" s="1832">
        <f>'Assets-Liab 5-6'!C41</f>
        <v>1564897</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50000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67932</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67932</v>
      </c>
      <c r="D123" s="2" t="str">
        <f t="shared" si="0"/>
        <v>Error?</v>
      </c>
      <c r="G123" s="1898">
        <v>203000400</v>
      </c>
    </row>
    <row r="124" spans="1:7" ht="15" x14ac:dyDescent="0.25">
      <c r="A124" s="5">
        <v>63</v>
      </c>
      <c r="B124" s="1832">
        <f>'Assets-Liab 5-6'!D41</f>
        <v>67932</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6671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6671</v>
      </c>
      <c r="D140" s="2" t="str">
        <f t="shared" si="1"/>
        <v>Error?</v>
      </c>
    </row>
    <row r="141" spans="1:7" x14ac:dyDescent="0.2">
      <c r="A141" s="5">
        <v>80</v>
      </c>
      <c r="B141" s="1832">
        <f>'Assets-Liab 5-6'!E41</f>
        <v>6671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375</v>
      </c>
      <c r="D170" s="2" t="str">
        <f t="shared" si="1"/>
        <v>Error?</v>
      </c>
    </row>
    <row r="171" spans="1:4" x14ac:dyDescent="0.2">
      <c r="A171" s="5">
        <v>110</v>
      </c>
      <c r="B171" s="1832">
        <f>'Assets-Liab 5-6'!F41</f>
        <v>375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80000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91633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70460</v>
      </c>
      <c r="D189" s="2" t="str">
        <f t="shared" si="1"/>
        <v>Error?</v>
      </c>
    </row>
    <row r="190" spans="1:4" x14ac:dyDescent="0.2">
      <c r="A190" s="5">
        <v>129</v>
      </c>
      <c r="B190" s="1832">
        <f>'Assets-Liab 5-6'!G41</f>
        <v>91633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68285</v>
      </c>
      <c r="D273" s="2" t="str">
        <f t="shared" si="3"/>
        <v>Error?</v>
      </c>
    </row>
    <row r="274" spans="1:4" x14ac:dyDescent="0.2">
      <c r="A274" s="5">
        <v>213</v>
      </c>
      <c r="B274" s="1832">
        <f>'Assets-Liab 5-6'!M17</f>
        <v>2376547</v>
      </c>
      <c r="D274" s="2" t="str">
        <f t="shared" si="3"/>
        <v>Error?</v>
      </c>
    </row>
    <row r="275" spans="1:4" x14ac:dyDescent="0.2">
      <c r="A275" s="5">
        <v>214</v>
      </c>
      <c r="B275" s="1832">
        <f>'Assets-Liab 5-6'!M18</f>
        <v>23750</v>
      </c>
      <c r="D275" s="2" t="str">
        <f t="shared" si="3"/>
        <v>Error?</v>
      </c>
    </row>
    <row r="276" spans="1:4" x14ac:dyDescent="0.2">
      <c r="A276" s="5">
        <v>215</v>
      </c>
      <c r="B276" s="1832">
        <f>'Assets-Liab 5-6'!M19</f>
        <v>1261527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3793312</v>
      </c>
      <c r="C279" s="2" t="s">
        <v>569</v>
      </c>
      <c r="D279" s="2" t="str">
        <f t="shared" si="3"/>
        <v>Error?</v>
      </c>
    </row>
    <row r="280" spans="1:4" x14ac:dyDescent="0.2">
      <c r="A280" s="5">
        <v>219</v>
      </c>
      <c r="B280" s="1832">
        <f>'Assets-Liab 5-6'!M40</f>
        <v>3793312</v>
      </c>
      <c r="D280" s="2" t="str">
        <f t="shared" si="3"/>
        <v>Error?</v>
      </c>
    </row>
    <row r="281" spans="1:4" x14ac:dyDescent="0.2">
      <c r="A281" s="5">
        <v>220</v>
      </c>
      <c r="B281" s="1832">
        <f>'Assets-Liab 5-6'!M41</f>
        <v>3793312</v>
      </c>
      <c r="C281" s="2" t="s">
        <v>569</v>
      </c>
      <c r="D281" s="2" t="str">
        <f t="shared" si="3"/>
        <v>Error?</v>
      </c>
    </row>
    <row r="282" spans="1:4" x14ac:dyDescent="0.2">
      <c r="A282" s="5">
        <v>221</v>
      </c>
      <c r="B282" s="1832">
        <f>'Assets-Liab 5-6'!N21</f>
        <v>6671</v>
      </c>
      <c r="D282" s="2" t="str">
        <f t="shared" si="3"/>
        <v>Error?</v>
      </c>
    </row>
    <row r="283" spans="1:4" x14ac:dyDescent="0.2">
      <c r="A283" s="5">
        <v>222</v>
      </c>
      <c r="B283" s="1832">
        <f>'Assets-Liab 5-6'!N22</f>
        <v>1608129</v>
      </c>
      <c r="D283" s="2" t="str">
        <f t="shared" si="3"/>
        <v>Error?</v>
      </c>
    </row>
    <row r="284" spans="1:4" x14ac:dyDescent="0.2">
      <c r="A284" s="5">
        <v>223</v>
      </c>
      <c r="B284" s="1832">
        <f>'Assets-Liab 5-6'!N23</f>
        <v>1614800</v>
      </c>
      <c r="C284" s="2" t="s">
        <v>569</v>
      </c>
      <c r="D284" s="2" t="str">
        <f t="shared" si="3"/>
        <v>Error?</v>
      </c>
    </row>
    <row r="285" spans="1:4" x14ac:dyDescent="0.2">
      <c r="A285" s="5">
        <v>224</v>
      </c>
      <c r="B285" s="1832">
        <f>'Assets-Liab 5-6'!N36</f>
        <v>1614800</v>
      </c>
      <c r="D285" s="2" t="str">
        <f t="shared" si="3"/>
        <v>Error?</v>
      </c>
    </row>
    <row r="286" spans="1:4" x14ac:dyDescent="0.2">
      <c r="A286" s="10">
        <v>225</v>
      </c>
      <c r="B286" s="1832"/>
      <c r="D286" s="2" t="str">
        <f t="shared" si="3"/>
        <v>OK</v>
      </c>
    </row>
    <row r="287" spans="1:4" x14ac:dyDescent="0.2">
      <c r="A287" s="5">
        <v>226</v>
      </c>
      <c r="B287" s="1832">
        <f>'Assets-Liab 5-6'!N37</f>
        <v>1614800</v>
      </c>
      <c r="C287" s="2" t="s">
        <v>569</v>
      </c>
      <c r="D287" s="2" t="str">
        <f t="shared" si="3"/>
        <v>Error?</v>
      </c>
    </row>
    <row r="288" spans="1:4" x14ac:dyDescent="0.2">
      <c r="A288" s="5">
        <v>227</v>
      </c>
      <c r="B288" s="1832">
        <f>'Assets-Liab 5-6'!N41</f>
        <v>1614800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1400000</v>
      </c>
      <c r="D651" s="2" t="str">
        <f t="shared" si="9"/>
        <v>Error?</v>
      </c>
    </row>
    <row r="652" spans="1:4" x14ac:dyDescent="0.2">
      <c r="A652" s="5">
        <v>591</v>
      </c>
      <c r="B652" s="1832">
        <f>'Acct Summary 7-8'!I34</f>
        <v>33738</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1127015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38535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1392658</v>
      </c>
      <c r="C720" s="2" t="s">
        <v>569</v>
      </c>
      <c r="D720" s="2" t="str">
        <f t="shared" si="10"/>
        <v>Error?</v>
      </c>
    </row>
    <row r="721" spans="1:4" x14ac:dyDescent="0.2">
      <c r="A721" s="5">
        <v>660</v>
      </c>
      <c r="B721" s="1832">
        <f>'Expenditures 15-22'!C36</f>
        <v>40501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24612</v>
      </c>
      <c r="D724" s="2" t="str">
        <f t="shared" si="10"/>
        <v>Error?</v>
      </c>
    </row>
    <row r="725" spans="1:4" x14ac:dyDescent="0.2">
      <c r="A725" s="5">
        <v>664</v>
      </c>
      <c r="B725" s="1832">
        <f>'Expenditures 15-22'!C40</f>
        <v>67300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132413</v>
      </c>
      <c r="C727" s="2" t="s">
        <v>569</v>
      </c>
      <c r="D727" s="2" t="str">
        <f t="shared" si="10"/>
        <v>Error?</v>
      </c>
    </row>
    <row r="728" spans="1:4" x14ac:dyDescent="0.2">
      <c r="A728" s="5">
        <v>667</v>
      </c>
      <c r="B728" s="1832">
        <f>'Expenditures 15-22'!C44</f>
        <v>4230</v>
      </c>
      <c r="D728" s="2" t="str">
        <f t="shared" si="10"/>
        <v>Error?</v>
      </c>
    </row>
    <row r="729" spans="1:4" x14ac:dyDescent="0.2">
      <c r="A729" s="5">
        <v>668</v>
      </c>
      <c r="B729" s="1832">
        <f>'Expenditures 15-22'!C45</f>
        <v>12131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16361</v>
      </c>
      <c r="C731" s="2" t="s">
        <v>569</v>
      </c>
      <c r="D731" s="2" t="str">
        <f t="shared" si="10"/>
        <v>Error?</v>
      </c>
    </row>
    <row r="732" spans="1:4" x14ac:dyDescent="0.2">
      <c r="A732" s="5">
        <v>671</v>
      </c>
      <c r="B732" s="1832">
        <f>'Expenditures 15-22'!C49</f>
        <v>2600</v>
      </c>
      <c r="D732" s="2" t="str">
        <f t="shared" si="10"/>
        <v>Error?</v>
      </c>
    </row>
    <row r="733" spans="1:4" x14ac:dyDescent="0.2">
      <c r="A733" s="5">
        <v>672</v>
      </c>
      <c r="B733" s="1832">
        <f>'Expenditures 15-22'!C50</f>
        <v>59185</v>
      </c>
      <c r="D733" s="2" t="str">
        <f t="shared" si="10"/>
        <v>Error?</v>
      </c>
    </row>
    <row r="734" spans="1:4" x14ac:dyDescent="0.2">
      <c r="A734" s="5">
        <v>673</v>
      </c>
      <c r="B734" s="1832">
        <f>'Expenditures 15-22'!C53</f>
        <v>61785</v>
      </c>
      <c r="C734" s="2" t="s">
        <v>569</v>
      </c>
      <c r="D734" s="2" t="str">
        <f t="shared" si="10"/>
        <v>Error?</v>
      </c>
    </row>
    <row r="735" spans="1:4" x14ac:dyDescent="0.2">
      <c r="A735" s="5">
        <v>674</v>
      </c>
      <c r="B735" s="1832">
        <f>'Expenditures 15-22'!C55</f>
        <v>149575</v>
      </c>
      <c r="D735" s="2" t="str">
        <f t="shared" si="10"/>
        <v>Error?</v>
      </c>
    </row>
    <row r="736" spans="1:4" x14ac:dyDescent="0.2">
      <c r="A736" s="5">
        <v>675</v>
      </c>
      <c r="B736" s="1832">
        <f>'Expenditures 15-22'!C56</f>
        <v>38571</v>
      </c>
      <c r="D736" s="2" t="str">
        <f t="shared" si="10"/>
        <v>Error?</v>
      </c>
    </row>
    <row r="737" spans="1:4" x14ac:dyDescent="0.2">
      <c r="A737" s="5">
        <v>676</v>
      </c>
      <c r="B737" s="1832">
        <f>'Expenditures 15-22'!C57</f>
        <v>188146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48712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59718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108430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35914</v>
      </c>
      <c r="D751" s="2" t="str">
        <f t="shared" si="10"/>
        <v>Error?</v>
      </c>
    </row>
    <row r="752" spans="1:4" x14ac:dyDescent="0.2">
      <c r="A752" s="10">
        <v>691</v>
      </c>
      <c r="B752" s="1832"/>
      <c r="D752" s="2" t="str">
        <f t="shared" si="10"/>
        <v>OK</v>
      </c>
    </row>
    <row r="753" spans="1:4" x14ac:dyDescent="0.2">
      <c r="A753" s="5">
        <v>692</v>
      </c>
      <c r="B753" s="1832">
        <f>'Expenditures 15-22'!C72</f>
        <v>35914</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543049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1935707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255422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3124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317180</v>
      </c>
      <c r="C778" s="2" t="s">
        <v>569</v>
      </c>
      <c r="D778" s="2" t="str">
        <f t="shared" si="11"/>
        <v>Error?</v>
      </c>
    </row>
    <row r="779" spans="1:4" x14ac:dyDescent="0.2">
      <c r="A779" s="5">
        <v>718</v>
      </c>
      <c r="B779" s="1832">
        <f>'Expenditures 15-22'!D36</f>
        <v>6530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8428</v>
      </c>
      <c r="D782" s="2" t="str">
        <f t="shared" si="11"/>
        <v>Error?</v>
      </c>
    </row>
    <row r="783" spans="1:4" x14ac:dyDescent="0.2">
      <c r="A783" s="5">
        <v>722</v>
      </c>
      <c r="B783" s="1832">
        <f>'Expenditures 15-22'!D40</f>
        <v>9580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24538</v>
      </c>
      <c r="C785" s="2" t="s">
        <v>569</v>
      </c>
      <c r="D785" s="2" t="str">
        <f t="shared" si="11"/>
        <v>Error?</v>
      </c>
    </row>
    <row r="786" spans="1:4" x14ac:dyDescent="0.2">
      <c r="A786" s="5">
        <v>725</v>
      </c>
      <c r="B786" s="1832">
        <f>'Expenditures 15-22'!D44</f>
        <v>133</v>
      </c>
      <c r="D786" s="2" t="str">
        <f t="shared" si="11"/>
        <v>Error?</v>
      </c>
    </row>
    <row r="787" spans="1:4" x14ac:dyDescent="0.2">
      <c r="A787" s="5">
        <v>726</v>
      </c>
      <c r="B787" s="1832">
        <f>'Expenditures 15-22'!D45</f>
        <v>72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205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18331</v>
      </c>
      <c r="D791" s="2" t="str">
        <f t="shared" si="11"/>
        <v>Error?</v>
      </c>
    </row>
    <row r="792" spans="1:4" x14ac:dyDescent="0.2">
      <c r="A792" s="5">
        <v>731</v>
      </c>
      <c r="B792" s="1832">
        <f>'Expenditures 15-22'!D53</f>
        <v>18331</v>
      </c>
      <c r="C792" s="2" t="s">
        <v>569</v>
      </c>
      <c r="D792" s="2" t="str">
        <f t="shared" si="11"/>
        <v>Error?</v>
      </c>
    </row>
    <row r="793" spans="1:4" x14ac:dyDescent="0.2">
      <c r="A793" s="5">
        <v>732</v>
      </c>
      <c r="B793" s="1832">
        <f>'Expenditures 15-22'!D55</f>
        <v>58394</v>
      </c>
      <c r="D793" s="2" t="str">
        <f t="shared" si="11"/>
        <v>Error?</v>
      </c>
    </row>
    <row r="794" spans="1:4" x14ac:dyDescent="0.2">
      <c r="A794" s="5">
        <v>733</v>
      </c>
      <c r="B794" s="1832">
        <f>'Expenditures 15-22'!D56</f>
        <v>4976</v>
      </c>
      <c r="D794" s="2" t="str">
        <f t="shared" si="11"/>
        <v>Error?</v>
      </c>
    </row>
    <row r="795" spans="1:4" x14ac:dyDescent="0.2">
      <c r="A795" s="5">
        <v>734</v>
      </c>
      <c r="B795" s="1832">
        <f>'Expenditures 15-22'!D57</f>
        <v>63370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7089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5230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12319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672</v>
      </c>
      <c r="D809" s="2" t="str">
        <f t="shared" si="11"/>
        <v>Error?</v>
      </c>
    </row>
    <row r="810" spans="1:4" x14ac:dyDescent="0.2">
      <c r="A810" s="10">
        <v>749</v>
      </c>
      <c r="B810" s="1832"/>
      <c r="D810" s="2" t="str">
        <f t="shared" si="11"/>
        <v>OK</v>
      </c>
    </row>
    <row r="811" spans="1:4" x14ac:dyDescent="0.2">
      <c r="A811" s="5">
        <v>750</v>
      </c>
      <c r="B811" s="1832">
        <f>'Expenditures 15-22'!D72</f>
        <v>672</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119435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436615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82102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5852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88416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157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157</v>
      </c>
      <c r="C843" s="2" t="s">
        <v>569</v>
      </c>
      <c r="D843" s="2" t="str">
        <f t="shared" si="12"/>
        <v>Error?</v>
      </c>
    </row>
    <row r="844" spans="1:4" x14ac:dyDescent="0.2">
      <c r="A844" s="5">
        <v>783</v>
      </c>
      <c r="B844" s="1832">
        <f>'Expenditures 15-22'!E44</f>
        <v>41136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3870</v>
      </c>
      <c r="D846" s="2" t="str">
        <f t="shared" si="12"/>
        <v>Error?</v>
      </c>
    </row>
    <row r="847" spans="1:4" x14ac:dyDescent="0.2">
      <c r="A847" s="5">
        <v>786</v>
      </c>
      <c r="B847" s="1832">
        <f>'Expenditures 15-22'!E47</f>
        <v>45006</v>
      </c>
      <c r="C847" s="2" t="s">
        <v>569</v>
      </c>
      <c r="D847" s="2" t="str">
        <f t="shared" si="12"/>
        <v>Error?</v>
      </c>
    </row>
    <row r="848" spans="1:4" x14ac:dyDescent="0.2">
      <c r="A848" s="5">
        <v>787</v>
      </c>
      <c r="B848" s="1832">
        <f>'Expenditures 15-22'!E49</f>
        <v>11254</v>
      </c>
      <c r="D848" s="2" t="str">
        <f t="shared" si="12"/>
        <v>Error?</v>
      </c>
    </row>
    <row r="849" spans="1:4" x14ac:dyDescent="0.2">
      <c r="A849" s="5">
        <v>788</v>
      </c>
      <c r="B849" s="1832">
        <f>'Expenditures 15-22'!E50</f>
        <v>1735</v>
      </c>
      <c r="D849" s="2" t="str">
        <f t="shared" si="12"/>
        <v>Error?</v>
      </c>
    </row>
    <row r="850" spans="1:4" x14ac:dyDescent="0.2">
      <c r="A850" s="5">
        <v>789</v>
      </c>
      <c r="B850" s="1832">
        <f>'Expenditures 15-22'!E53</f>
        <v>12989</v>
      </c>
      <c r="C850" s="2" t="s">
        <v>569</v>
      </c>
      <c r="D850" s="2" t="str">
        <f t="shared" si="12"/>
        <v>Error?</v>
      </c>
    </row>
    <row r="851" spans="1:4" x14ac:dyDescent="0.2">
      <c r="A851" s="5">
        <v>790</v>
      </c>
      <c r="B851" s="1832">
        <f>'Expenditures 15-22'!E55</f>
        <v>2485</v>
      </c>
      <c r="D851" s="2" t="str">
        <f t="shared" si="12"/>
        <v>Error?</v>
      </c>
    </row>
    <row r="852" spans="1:4" x14ac:dyDescent="0.2">
      <c r="A852" s="5">
        <v>791</v>
      </c>
      <c r="B852" s="1832">
        <f>'Expenditures 15-22'!E56</f>
        <v>13840</v>
      </c>
      <c r="D852" s="2" t="str">
        <f t="shared" si="12"/>
        <v>Error?</v>
      </c>
    </row>
    <row r="853" spans="1:4" x14ac:dyDescent="0.2">
      <c r="A853" s="5">
        <v>792</v>
      </c>
      <c r="B853" s="1832">
        <f>'Expenditures 15-22'!E57</f>
        <v>16325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14230</v>
      </c>
      <c r="D855" s="2" t="str">
        <f t="shared" si="12"/>
        <v>Error?</v>
      </c>
    </row>
    <row r="856" spans="1:4" x14ac:dyDescent="0.2">
      <c r="A856" s="5">
        <v>795</v>
      </c>
      <c r="B856" s="1832">
        <f>'Expenditures 15-22'!E61</f>
        <v>10163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1099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25492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24856</v>
      </c>
      <c r="D867" s="2" t="str">
        <f t="shared" si="12"/>
        <v>Error?</v>
      </c>
    </row>
    <row r="868" spans="1:4" x14ac:dyDescent="0.2">
      <c r="A868" s="10">
        <v>807</v>
      </c>
      <c r="B868" s="1832"/>
      <c r="D868" s="2" t="str">
        <f t="shared" si="12"/>
        <v>OK</v>
      </c>
    </row>
    <row r="869" spans="1:4" x14ac:dyDescent="0.2">
      <c r="A869" s="5">
        <v>808</v>
      </c>
      <c r="B869" s="1832">
        <f>'Expenditures 15-22'!E72</f>
        <v>24856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124825</v>
      </c>
      <c r="C871" s="2" t="s">
        <v>569</v>
      </c>
      <c r="D871" s="2" t="str">
        <f t="shared" si="12"/>
        <v>Error?</v>
      </c>
    </row>
    <row r="872" spans="1:4" x14ac:dyDescent="0.2">
      <c r="A872" s="5">
        <v>811</v>
      </c>
      <c r="B872" s="1832">
        <f>'Expenditures 15-22'!E75</f>
        <v>882</v>
      </c>
      <c r="D872" s="2" t="str">
        <f t="shared" si="12"/>
        <v>Error?</v>
      </c>
    </row>
    <row r="873" spans="1:4" x14ac:dyDescent="0.2">
      <c r="A873" s="5">
        <v>812</v>
      </c>
      <c r="B873" s="1832">
        <f>'Expenditures 15-22'!E114</f>
        <v>224525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36857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3206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57066</v>
      </c>
      <c r="C894" s="2" t="s">
        <v>569</v>
      </c>
      <c r="D894" s="2" t="str">
        <f t="shared" si="12"/>
        <v>Error?</v>
      </c>
    </row>
    <row r="895" spans="1:4" x14ac:dyDescent="0.2">
      <c r="A895" s="5">
        <v>834</v>
      </c>
      <c r="B895" s="1832">
        <f>'Expenditures 15-22'!F36</f>
        <v>60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375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469</v>
      </c>
      <c r="C901" s="2" t="s">
        <v>569</v>
      </c>
      <c r="D901" s="2" t="str">
        <f t="shared" si="13"/>
        <v>Error?</v>
      </c>
    </row>
    <row r="902" spans="1:4" x14ac:dyDescent="0.2">
      <c r="A902" s="5">
        <v>841</v>
      </c>
      <c r="B902" s="1832">
        <f>'Expenditures 15-22'!F44</f>
        <v>172</v>
      </c>
      <c r="D902" s="2" t="str">
        <f t="shared" si="13"/>
        <v>Error?</v>
      </c>
    </row>
    <row r="903" spans="1:4" x14ac:dyDescent="0.2">
      <c r="A903" s="5">
        <v>842</v>
      </c>
      <c r="B903" s="1832">
        <f>'Expenditures 15-22'!F45</f>
        <v>584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756</v>
      </c>
      <c r="C905" s="2" t="s">
        <v>569</v>
      </c>
      <c r="D905" s="2" t="str">
        <f t="shared" si="13"/>
        <v>Error?</v>
      </c>
    </row>
    <row r="906" spans="1:4" x14ac:dyDescent="0.2">
      <c r="A906" s="5">
        <v>845</v>
      </c>
      <c r="B906" s="1832">
        <f>'Expenditures 15-22'!F49</f>
        <v>292</v>
      </c>
      <c r="D906" s="2" t="str">
        <f t="shared" si="13"/>
        <v>Error?</v>
      </c>
    </row>
    <row r="907" spans="1:4" x14ac:dyDescent="0.2">
      <c r="A907" s="5">
        <v>846</v>
      </c>
      <c r="B907" s="1832">
        <f>'Expenditures 15-22'!F50</f>
        <v>362</v>
      </c>
      <c r="D907" s="2" t="str">
        <f t="shared" si="13"/>
        <v>Error?</v>
      </c>
    </row>
    <row r="908" spans="1:4" x14ac:dyDescent="0.2">
      <c r="A908" s="5">
        <v>847</v>
      </c>
      <c r="B908" s="1832">
        <f>'Expenditures 15-22'!F53</f>
        <v>654</v>
      </c>
      <c r="C908" s="2" t="s">
        <v>569</v>
      </c>
      <c r="D908" s="2" t="str">
        <f t="shared" si="13"/>
        <v>Error?</v>
      </c>
    </row>
    <row r="909" spans="1:4" x14ac:dyDescent="0.2">
      <c r="A909" s="5">
        <v>848</v>
      </c>
      <c r="B909" s="1832">
        <f>'Expenditures 15-22'!F55</f>
        <v>822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822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779</v>
      </c>
      <c r="D913" s="2" t="str">
        <f t="shared" si="13"/>
        <v>Error?</v>
      </c>
    </row>
    <row r="914" spans="1:4" x14ac:dyDescent="0.2">
      <c r="A914" s="5">
        <v>853</v>
      </c>
      <c r="B914" s="1832">
        <f>'Expenditures 15-22'!F61</f>
        <v>53517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76084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130380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133081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190147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21565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22462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1600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1600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1219</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1219</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720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3539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26001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2511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1960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4471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7454</v>
      </c>
      <c r="D1022" s="2" t="str">
        <f t="shared" si="14"/>
        <v>Error?</v>
      </c>
    </row>
    <row r="1023" spans="1:4" x14ac:dyDescent="0.2">
      <c r="A1023" s="5">
        <v>962</v>
      </c>
      <c r="B1023" s="1832">
        <f>'Expenditures 15-22'!H50</f>
        <v>935</v>
      </c>
      <c r="D1023" s="2" t="str">
        <f t="shared" ref="D1023:D1086" si="15">IF(ISBLANK(B1023),"OK",IF(A1023-B1023=0,"OK","Error?"))</f>
        <v>Error?</v>
      </c>
    </row>
    <row r="1024" spans="1:4" x14ac:dyDescent="0.2">
      <c r="A1024" s="5">
        <v>963</v>
      </c>
      <c r="B1024" s="1832">
        <f>'Expenditures 15-22'!H53</f>
        <v>8389</v>
      </c>
      <c r="C1024" s="2" t="s">
        <v>569</v>
      </c>
      <c r="D1024" s="2" t="str">
        <f t="shared" si="15"/>
        <v>Error?</v>
      </c>
    </row>
    <row r="1025" spans="1:4" x14ac:dyDescent="0.2">
      <c r="A1025" s="5">
        <v>964</v>
      </c>
      <c r="B1025" s="1832">
        <f>'Expenditures 15-22'!H55</f>
        <v>673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673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113</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113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9175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208247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221893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1525472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52677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1882253</v>
      </c>
      <c r="C1108" s="2" t="s">
        <v>569</v>
      </c>
      <c r="D1108" s="2" t="str">
        <f t="shared" si="16"/>
        <v>Error?</v>
      </c>
    </row>
    <row r="1109" spans="1:4" x14ac:dyDescent="0.2">
      <c r="A1109" s="5">
        <v>1048</v>
      </c>
      <c r="B1109" s="1832">
        <f>'Expenditures 15-22'!K36</f>
        <v>47091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191</v>
      </c>
      <c r="C1111" s="2" t="s">
        <v>569</v>
      </c>
      <c r="D1111" s="2" t="str">
        <f t="shared" si="16"/>
        <v>Error?</v>
      </c>
    </row>
    <row r="1112" spans="1:4" x14ac:dyDescent="0.2">
      <c r="A1112" s="5">
        <v>1051</v>
      </c>
      <c r="B1112" s="1832">
        <f>'Expenditures 15-22'!K39</f>
        <v>33040</v>
      </c>
      <c r="C1112" s="2" t="s">
        <v>569</v>
      </c>
      <c r="D1112" s="2" t="str">
        <f t="shared" si="16"/>
        <v>Error?</v>
      </c>
    </row>
    <row r="1113" spans="1:4" x14ac:dyDescent="0.2">
      <c r="A1113" s="5">
        <v>1052</v>
      </c>
      <c r="B1113" s="1832">
        <f>'Expenditures 15-22'!K40</f>
        <v>78855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159177</v>
      </c>
      <c r="C1115" s="2" t="s">
        <v>569</v>
      </c>
      <c r="D1115" s="2" t="str">
        <f t="shared" si="16"/>
        <v>Error?</v>
      </c>
    </row>
    <row r="1116" spans="1:4" x14ac:dyDescent="0.2">
      <c r="A1116" s="5">
        <v>1055</v>
      </c>
      <c r="B1116" s="1832">
        <f>'Expenditures 15-22'!K44</f>
        <v>45671</v>
      </c>
      <c r="C1116" s="2" t="s">
        <v>569</v>
      </c>
      <c r="D1116" s="2" t="str">
        <f t="shared" si="16"/>
        <v>Error?</v>
      </c>
    </row>
    <row r="1117" spans="1:4" x14ac:dyDescent="0.2">
      <c r="A1117" s="5">
        <v>1056</v>
      </c>
      <c r="B1117" s="1832">
        <f>'Expenditures 15-22'!K45</f>
        <v>12787</v>
      </c>
      <c r="C1117" s="2" t="s">
        <v>569</v>
      </c>
      <c r="D1117" s="2" t="str">
        <f t="shared" si="16"/>
        <v>Error?</v>
      </c>
    </row>
    <row r="1118" spans="1:4" x14ac:dyDescent="0.2">
      <c r="A1118" s="5">
        <v>1057</v>
      </c>
      <c r="B1118" s="1832">
        <f>'Expenditures 15-22'!K46</f>
        <v>3870</v>
      </c>
      <c r="C1118" s="2" t="s">
        <v>569</v>
      </c>
      <c r="D1118" s="2" t="str">
        <f t="shared" si="16"/>
        <v>Error?</v>
      </c>
    </row>
    <row r="1119" spans="1:4" x14ac:dyDescent="0.2">
      <c r="A1119" s="5">
        <v>1058</v>
      </c>
      <c r="B1119" s="1832">
        <f>'Expenditures 15-22'!K47</f>
        <v>62328</v>
      </c>
      <c r="C1119" s="2" t="s">
        <v>569</v>
      </c>
      <c r="D1119" s="2" t="str">
        <f t="shared" si="16"/>
        <v>Error?</v>
      </c>
    </row>
    <row r="1120" spans="1:4" x14ac:dyDescent="0.2">
      <c r="A1120" s="5">
        <v>1059</v>
      </c>
      <c r="B1120" s="1832">
        <f>'Expenditures 15-22'!K49</f>
        <v>21600</v>
      </c>
      <c r="C1120" s="2" t="s">
        <v>569</v>
      </c>
      <c r="D1120" s="2" t="str">
        <f t="shared" si="16"/>
        <v>Error?</v>
      </c>
    </row>
    <row r="1121" spans="1:4" x14ac:dyDescent="0.2">
      <c r="A1121" s="5">
        <v>1060</v>
      </c>
      <c r="B1121" s="1832">
        <f>'Expenditures 15-22'!K50</f>
        <v>80548</v>
      </c>
      <c r="C1121" s="2" t="s">
        <v>569</v>
      </c>
      <c r="D1121" s="2" t="str">
        <f t="shared" si="16"/>
        <v>Error?</v>
      </c>
    </row>
    <row r="1122" spans="1:4" x14ac:dyDescent="0.2">
      <c r="A1122" s="5">
        <v>1061</v>
      </c>
      <c r="B1122" s="1832">
        <f>'Expenditures 15-22'!K53</f>
        <v>102148</v>
      </c>
      <c r="C1122" s="2" t="s">
        <v>569</v>
      </c>
      <c r="D1122" s="2" t="str">
        <f t="shared" si="16"/>
        <v>Error?</v>
      </c>
    </row>
    <row r="1123" spans="1:4" x14ac:dyDescent="0.2">
      <c r="A1123" s="5">
        <v>1062</v>
      </c>
      <c r="B1123" s="1832">
        <f>'Expenditures 15-22'!K55</f>
        <v>213168</v>
      </c>
      <c r="C1123" s="2" t="s">
        <v>569</v>
      </c>
      <c r="D1123" s="2" t="str">
        <f t="shared" si="16"/>
        <v>Error?</v>
      </c>
    </row>
    <row r="1124" spans="1:4" x14ac:dyDescent="0.2">
      <c r="A1124" s="5">
        <v>1063</v>
      </c>
      <c r="B1124" s="1832">
        <f>'Expenditures 15-22'!K56</f>
        <v>57387</v>
      </c>
      <c r="C1124" s="2" t="s">
        <v>569</v>
      </c>
      <c r="D1124" s="2" t="str">
        <f t="shared" si="16"/>
        <v>Error?</v>
      </c>
    </row>
    <row r="1125" spans="1:4" x14ac:dyDescent="0.2">
      <c r="A1125" s="5">
        <v>1064</v>
      </c>
      <c r="B1125" s="1832">
        <f>'Expenditures 15-22'!K57</f>
        <v>270555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71643</v>
      </c>
      <c r="C1127" s="2" t="s">
        <v>569</v>
      </c>
      <c r="D1127" s="2" t="str">
        <f t="shared" si="16"/>
        <v>Error?</v>
      </c>
    </row>
    <row r="1128" spans="1:4" x14ac:dyDescent="0.2">
      <c r="A1128" s="5">
        <v>1067</v>
      </c>
      <c r="B1128" s="1832">
        <f>'Expenditures 15-22'!K61</f>
        <v>63680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142131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277454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61442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61442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933104</v>
      </c>
      <c r="C1143" s="2" t="s">
        <v>569</v>
      </c>
      <c r="D1143" s="2" t="str">
        <f t="shared" si="16"/>
        <v>Error?</v>
      </c>
    </row>
    <row r="1144" spans="1:4" x14ac:dyDescent="0.2">
      <c r="A1144" s="5">
        <v>1083</v>
      </c>
      <c r="B1144" s="1832">
        <f>'Expenditures 15-22'!K75</f>
        <v>882</v>
      </c>
      <c r="C1144" s="2" t="s">
        <v>569</v>
      </c>
      <c r="D1144" s="2" t="str">
        <f t="shared" si="16"/>
        <v>Error?</v>
      </c>
    </row>
    <row r="1145" spans="1:4" x14ac:dyDescent="0.2">
      <c r="A1145" s="5">
        <v>1084</v>
      </c>
      <c r="B1145" s="1832">
        <f>'Expenditures 15-22'!K102</f>
        <v>218649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3034888</v>
      </c>
      <c r="C1152" s="2" t="s">
        <v>569</v>
      </c>
      <c r="D1152" s="2" t="str">
        <f t="shared" si="17"/>
        <v>Error?</v>
      </c>
    </row>
    <row r="1153" spans="1:4" x14ac:dyDescent="0.2">
      <c r="A1153" s="5">
        <v>1092</v>
      </c>
      <c r="B1153" s="1832">
        <f>'Expenditures 15-22'!K115</f>
        <v>83609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52262</v>
      </c>
      <c r="D1221" s="2" t="str">
        <f t="shared" si="18"/>
        <v>Error?</v>
      </c>
    </row>
    <row r="1222" spans="1:4" x14ac:dyDescent="0.2">
      <c r="A1222" s="10">
        <v>1161</v>
      </c>
      <c r="B1222" s="1832"/>
      <c r="D1222" s="2" t="str">
        <f t="shared" si="18"/>
        <v>OK</v>
      </c>
    </row>
    <row r="1223" spans="1:4" x14ac:dyDescent="0.2">
      <c r="A1223" s="5">
        <v>1162</v>
      </c>
      <c r="B1223" s="1832">
        <f>'Expenditures 15-22'!C127</f>
        <v>52262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52262</v>
      </c>
      <c r="C1225" s="2" t="s">
        <v>569</v>
      </c>
      <c r="D1225" s="2" t="str">
        <f t="shared" si="18"/>
        <v>Error?</v>
      </c>
    </row>
    <row r="1226" spans="1:4" x14ac:dyDescent="0.2">
      <c r="A1226" s="5">
        <v>1165</v>
      </c>
      <c r="B1226" s="1832">
        <f>'Expenditures 15-22'!C151</f>
        <v>52262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6404</v>
      </c>
      <c r="D1229" s="2" t="str">
        <f t="shared" si="18"/>
        <v>Error?</v>
      </c>
    </row>
    <row r="1230" spans="1:4" x14ac:dyDescent="0.2">
      <c r="A1230" s="10">
        <v>1169</v>
      </c>
      <c r="B1230" s="1832"/>
      <c r="D1230" s="2" t="str">
        <f t="shared" si="18"/>
        <v>OK</v>
      </c>
    </row>
    <row r="1231" spans="1:4" x14ac:dyDescent="0.2">
      <c r="A1231" s="5">
        <v>1170</v>
      </c>
      <c r="B1231" s="1832">
        <f>'Expenditures 15-22'!D127</f>
        <v>6404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6404</v>
      </c>
      <c r="C1233" s="2" t="s">
        <v>569</v>
      </c>
      <c r="D1233" s="2" t="str">
        <f t="shared" si="18"/>
        <v>Error?</v>
      </c>
    </row>
    <row r="1234" spans="1:4" x14ac:dyDescent="0.2">
      <c r="A1234" s="5">
        <v>1173</v>
      </c>
      <c r="B1234" s="1832">
        <f>'Expenditures 15-22'!D151</f>
        <v>6404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69120</v>
      </c>
      <c r="D1237" s="2" t="str">
        <f t="shared" si="18"/>
        <v>Error?</v>
      </c>
    </row>
    <row r="1238" spans="1:4" x14ac:dyDescent="0.2">
      <c r="A1238" s="10">
        <v>1177</v>
      </c>
      <c r="B1238" s="1832"/>
      <c r="D1238" s="2" t="str">
        <f t="shared" si="18"/>
        <v>OK</v>
      </c>
    </row>
    <row r="1239" spans="1:4" x14ac:dyDescent="0.2">
      <c r="A1239" s="5">
        <v>1178</v>
      </c>
      <c r="B1239" s="1832">
        <f>'Expenditures 15-22'!E127</f>
        <v>69120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69120</v>
      </c>
      <c r="C1241" s="2" t="s">
        <v>569</v>
      </c>
      <c r="D1241" s="2" t="str">
        <f t="shared" si="18"/>
        <v>Error?</v>
      </c>
    </row>
    <row r="1242" spans="1:4" x14ac:dyDescent="0.2">
      <c r="A1242" s="5">
        <v>1181</v>
      </c>
      <c r="B1242" s="1832">
        <f>'Expenditures 15-22'!E151</f>
        <v>69120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127786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127786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127786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127786</v>
      </c>
      <c r="C1288" s="2" t="s">
        <v>569</v>
      </c>
      <c r="D1288" s="2" t="str">
        <f t="shared" si="19"/>
        <v>Error?</v>
      </c>
    </row>
    <row r="1289" spans="1:4" x14ac:dyDescent="0.2">
      <c r="A1289" s="5">
        <v>1228</v>
      </c>
      <c r="B1289" s="1832">
        <f>'Expenditures 15-22'!K152</f>
        <v>-750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11462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209400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220862</v>
      </c>
      <c r="C1317" s="2" t="s">
        <v>569</v>
      </c>
      <c r="D1317" s="2" t="str">
        <f t="shared" si="19"/>
        <v>Error?</v>
      </c>
    </row>
    <row r="1318" spans="1:4" x14ac:dyDescent="0.2">
      <c r="A1318" s="5">
        <v>1257</v>
      </c>
      <c r="B1318" s="1832">
        <f>'Expenditures 15-22'!H174</f>
        <v>220862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11462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209400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220862</v>
      </c>
      <c r="C1331" s="2" t="s">
        <v>569</v>
      </c>
      <c r="D1331" s="2" t="str">
        <f t="shared" si="19"/>
        <v>Error?</v>
      </c>
    </row>
    <row r="1332" spans="1:4" x14ac:dyDescent="0.2">
      <c r="A1332" s="5">
        <v>1271</v>
      </c>
      <c r="B1332" s="1832">
        <f>'Expenditures 15-22'!K174</f>
        <v>220862</v>
      </c>
      <c r="C1332" s="2" t="s">
        <v>569</v>
      </c>
      <c r="D1332" s="2" t="str">
        <f t="shared" si="19"/>
        <v>Error?</v>
      </c>
    </row>
    <row r="1333" spans="1:4" x14ac:dyDescent="0.2">
      <c r="A1333" s="5">
        <v>1272</v>
      </c>
      <c r="B1333" s="1832">
        <f>'Expenditures 15-22'!K175</f>
        <v>3106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12596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12596</v>
      </c>
      <c r="C1339" s="2" t="s">
        <v>569</v>
      </c>
      <c r="D1339" s="2" t="str">
        <f t="shared" si="19"/>
        <v>Error?</v>
      </c>
    </row>
    <row r="1340" spans="1:4" x14ac:dyDescent="0.2">
      <c r="A1340" s="5">
        <v>1279</v>
      </c>
      <c r="B1340" s="1832">
        <f>'Expenditures 15-22'!C210</f>
        <v>12596</v>
      </c>
      <c r="C1340" s="2" t="s">
        <v>569</v>
      </c>
      <c r="D1340" s="2" t="str">
        <f t="shared" si="19"/>
        <v>Error?</v>
      </c>
    </row>
    <row r="1341" spans="1:4" x14ac:dyDescent="0.2">
      <c r="A1341" s="5">
        <v>1280</v>
      </c>
      <c r="B1341" s="1832">
        <f>'Expenditures 15-22'!D182</f>
        <v>2645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2645</v>
      </c>
      <c r="C1345" s="2" t="s">
        <v>569</v>
      </c>
      <c r="D1345" s="2" t="str">
        <f t="shared" si="20"/>
        <v>Error?</v>
      </c>
    </row>
    <row r="1346" spans="1:4" x14ac:dyDescent="0.2">
      <c r="A1346" s="5">
        <v>1285</v>
      </c>
      <c r="B1346" s="1832">
        <f>'Expenditures 15-22'!D210</f>
        <v>2645</v>
      </c>
      <c r="C1346" s="2" t="s">
        <v>569</v>
      </c>
      <c r="D1346" s="2" t="str">
        <f t="shared" si="20"/>
        <v>Error?</v>
      </c>
    </row>
    <row r="1347" spans="1:4" x14ac:dyDescent="0.2">
      <c r="A1347" s="5">
        <v>1286</v>
      </c>
      <c r="B1347" s="1832">
        <f>'Expenditures 15-22'!E182</f>
        <v>236470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236470</v>
      </c>
      <c r="C1351" s="2" t="s">
        <v>569</v>
      </c>
      <c r="D1351" s="2" t="str">
        <f t="shared" si="20"/>
        <v>Error?</v>
      </c>
    </row>
    <row r="1352" spans="1:4" x14ac:dyDescent="0.2">
      <c r="A1352" s="5">
        <v>1291</v>
      </c>
      <c r="B1352" s="1832">
        <f>'Expenditures 15-22'!E196</f>
        <v>39917</v>
      </c>
      <c r="C1352" s="2" t="s">
        <v>569</v>
      </c>
      <c r="D1352" s="2" t="str">
        <f t="shared" si="20"/>
        <v>Error?</v>
      </c>
    </row>
    <row r="1353" spans="1:4" x14ac:dyDescent="0.2">
      <c r="A1353" s="5">
        <v>1292</v>
      </c>
      <c r="B1353" s="1832">
        <f>'Expenditures 15-22'!E210</f>
        <v>276387</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251711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251711</v>
      </c>
      <c r="C1381" s="2" t="s">
        <v>569</v>
      </c>
      <c r="D1381" s="2" t="str">
        <f t="shared" si="20"/>
        <v>Error?</v>
      </c>
    </row>
    <row r="1382" spans="1:4" x14ac:dyDescent="0.2">
      <c r="A1382" s="5">
        <v>1321</v>
      </c>
      <c r="B1382" s="1832">
        <f>'Expenditures 15-22'!K196</f>
        <v>39917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291628</v>
      </c>
      <c r="C1388" s="2" t="s">
        <v>569</v>
      </c>
      <c r="D1388" s="2" t="str">
        <f t="shared" si="20"/>
        <v>Error?</v>
      </c>
    </row>
    <row r="1389" spans="1:4" x14ac:dyDescent="0.2">
      <c r="A1389" s="5">
        <v>1328</v>
      </c>
      <c r="B1389" s="1832">
        <f>'Expenditures 15-22'!K211</f>
        <v>375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1736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25201</v>
      </c>
      <c r="C1410" s="2" t="s">
        <v>569</v>
      </c>
      <c r="D1410" s="2" t="str">
        <f t="shared" si="21"/>
        <v>Error?</v>
      </c>
    </row>
    <row r="1411" spans="1:4" x14ac:dyDescent="0.2">
      <c r="A1411" s="5">
        <v>1350</v>
      </c>
      <c r="B1411" s="1832">
        <f>'Expenditures 15-22'!D232</f>
        <v>713</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474</v>
      </c>
      <c r="D1414" s="2" t="str">
        <f t="shared" si="21"/>
        <v>Error?</v>
      </c>
    </row>
    <row r="1415" spans="1:4" x14ac:dyDescent="0.2">
      <c r="A1415" s="5">
        <v>1354</v>
      </c>
      <c r="B1415" s="1832">
        <f>'Expenditures 15-22'!D236</f>
        <v>990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2177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2288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2288</v>
      </c>
      <c r="C1421" s="2" t="s">
        <v>569</v>
      </c>
      <c r="D1421" s="2" t="str">
        <f t="shared" si="21"/>
        <v>Error?</v>
      </c>
    </row>
    <row r="1422" spans="1:4" x14ac:dyDescent="0.2">
      <c r="A1422" s="5">
        <v>1361</v>
      </c>
      <c r="B1422" s="1832">
        <f>'Expenditures 15-22'!D245</f>
        <v>199</v>
      </c>
      <c r="D1422" s="2" t="str">
        <f t="shared" si="21"/>
        <v>Error?</v>
      </c>
    </row>
    <row r="1423" spans="1:4" x14ac:dyDescent="0.2">
      <c r="A1423" s="5">
        <v>1362</v>
      </c>
      <c r="B1423" s="1832">
        <f>'Expenditures 15-22'!D246</f>
        <v>858</v>
      </c>
      <c r="D1423" s="2" t="str">
        <f t="shared" si="21"/>
        <v>Error?</v>
      </c>
    </row>
    <row r="1424" spans="1:4" x14ac:dyDescent="0.2">
      <c r="A1424" s="5">
        <v>1363</v>
      </c>
      <c r="B1424" s="1832">
        <f>'Expenditures 15-22'!D257</f>
        <v>8772</v>
      </c>
      <c r="C1424" s="2" t="s">
        <v>569</v>
      </c>
      <c r="D1424" s="2" t="str">
        <f t="shared" si="21"/>
        <v>Error?</v>
      </c>
    </row>
    <row r="1425" spans="1:4" x14ac:dyDescent="0.2">
      <c r="A1425" s="5">
        <v>1364</v>
      </c>
      <c r="B1425" s="1832">
        <f>'Expenditures 15-22'!D259</f>
        <v>9744</v>
      </c>
      <c r="D1425" s="2" t="str">
        <f t="shared" si="21"/>
        <v>Error?</v>
      </c>
    </row>
    <row r="1426" spans="1:4" x14ac:dyDescent="0.2">
      <c r="A1426" s="5">
        <v>1365</v>
      </c>
      <c r="B1426" s="1832">
        <f>'Expenditures 15-22'!D260</f>
        <v>559</v>
      </c>
      <c r="D1426" s="2" t="str">
        <f t="shared" si="21"/>
        <v>Error?</v>
      </c>
    </row>
    <row r="1427" spans="1:4" x14ac:dyDescent="0.2">
      <c r="A1427" s="5">
        <v>1366</v>
      </c>
      <c r="B1427" s="1832">
        <f>'Expenditures 15-22'!D261</f>
        <v>10303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9010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9895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10234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29139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6787</v>
      </c>
      <c r="D1442" s="2" t="str">
        <f t="shared" si="21"/>
        <v>Error?</v>
      </c>
    </row>
    <row r="1443" spans="1:4" x14ac:dyDescent="0.2">
      <c r="A1443" s="10">
        <v>1382</v>
      </c>
      <c r="B1443" s="1832"/>
      <c r="D1443" s="2" t="str">
        <f t="shared" si="21"/>
        <v>OK</v>
      </c>
    </row>
    <row r="1444" spans="1:4" x14ac:dyDescent="0.2">
      <c r="A1444" s="5">
        <v>1383</v>
      </c>
      <c r="B1444" s="1832">
        <f>'Expenditures 15-22'!D277</f>
        <v>6787</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59466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84667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1736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25201</v>
      </c>
      <c r="C1474" s="2" t="s">
        <v>569</v>
      </c>
      <c r="D1474" s="2" t="str">
        <f t="shared" si="22"/>
        <v>Error?</v>
      </c>
    </row>
    <row r="1475" spans="1:4" x14ac:dyDescent="0.2">
      <c r="A1475" s="5">
        <v>1414</v>
      </c>
      <c r="B1475" s="1832">
        <f>'Expenditures 15-22'!K232</f>
        <v>713</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474</v>
      </c>
      <c r="C1478" s="2" t="s">
        <v>569</v>
      </c>
      <c r="D1478" s="2" t="str">
        <f t="shared" si="22"/>
        <v>Error?</v>
      </c>
    </row>
    <row r="1479" spans="1:4" x14ac:dyDescent="0.2">
      <c r="A1479" s="5">
        <v>1418</v>
      </c>
      <c r="B1479" s="1832">
        <f>'Expenditures 15-22'!K236</f>
        <v>990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2177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2288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2288</v>
      </c>
      <c r="C1485" s="2" t="s">
        <v>569</v>
      </c>
      <c r="D1485" s="2" t="str">
        <f t="shared" si="22"/>
        <v>Error?</v>
      </c>
    </row>
    <row r="1486" spans="1:4" x14ac:dyDescent="0.2">
      <c r="A1486" s="5">
        <v>1425</v>
      </c>
      <c r="B1486" s="1832">
        <f>'Expenditures 15-22'!K245</f>
        <v>199</v>
      </c>
      <c r="C1486" s="2" t="s">
        <v>569</v>
      </c>
      <c r="D1486" s="2" t="str">
        <f t="shared" si="22"/>
        <v>Error?</v>
      </c>
    </row>
    <row r="1487" spans="1:4" x14ac:dyDescent="0.2">
      <c r="A1487" s="5">
        <v>1426</v>
      </c>
      <c r="B1487" s="1832">
        <f>'Expenditures 15-22'!K246</f>
        <v>858</v>
      </c>
      <c r="C1487" s="2" t="s">
        <v>569</v>
      </c>
      <c r="D1487" s="2" t="str">
        <f t="shared" si="22"/>
        <v>Error?</v>
      </c>
    </row>
    <row r="1488" spans="1:4" x14ac:dyDescent="0.2">
      <c r="A1488" s="5">
        <v>1427</v>
      </c>
      <c r="B1488" s="1832">
        <f>'Expenditures 15-22'!K257</f>
        <v>8772</v>
      </c>
      <c r="C1488" s="2" t="s">
        <v>569</v>
      </c>
      <c r="D1488" s="2" t="str">
        <f t="shared" si="22"/>
        <v>Error?</v>
      </c>
    </row>
    <row r="1489" spans="1:4" x14ac:dyDescent="0.2">
      <c r="A1489" s="5">
        <v>1428</v>
      </c>
      <c r="B1489" s="1832">
        <f>'Expenditures 15-22'!K259</f>
        <v>9744</v>
      </c>
      <c r="C1489" s="2" t="s">
        <v>569</v>
      </c>
      <c r="D1489" s="2" t="str">
        <f t="shared" si="22"/>
        <v>Error?</v>
      </c>
    </row>
    <row r="1490" spans="1:4" x14ac:dyDescent="0.2">
      <c r="A1490" s="5">
        <v>1429</v>
      </c>
      <c r="B1490" s="1832">
        <f>'Expenditures 15-22'!K260</f>
        <v>559</v>
      </c>
      <c r="C1490" s="2" t="s">
        <v>569</v>
      </c>
      <c r="D1490" s="2" t="str">
        <f t="shared" si="22"/>
        <v>Error?</v>
      </c>
    </row>
    <row r="1491" spans="1:4" x14ac:dyDescent="0.2">
      <c r="A1491" s="5">
        <v>1430</v>
      </c>
      <c r="B1491" s="1832">
        <f>'Expenditures 15-22'!K261</f>
        <v>10303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9010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9895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10234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29139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6787</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6787</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59466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84667</v>
      </c>
      <c r="C1517" s="2" t="s">
        <v>569</v>
      </c>
      <c r="D1517" s="2" t="str">
        <f t="shared" si="22"/>
        <v>Error?</v>
      </c>
    </row>
    <row r="1518" spans="1:4" x14ac:dyDescent="0.2">
      <c r="A1518" s="5">
        <v>1457</v>
      </c>
      <c r="B1518" s="1832">
        <f>'Expenditures 15-22'!K296</f>
        <v>4478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681288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1564897</v>
      </c>
      <c r="C1630" s="2" t="s">
        <v>569</v>
      </c>
      <c r="D1630" s="2" t="str">
        <f t="shared" si="24"/>
        <v>Error?</v>
      </c>
    </row>
    <row r="1631" spans="1:4" x14ac:dyDescent="0.2">
      <c r="A1631" s="5">
        <v>1570</v>
      </c>
      <c r="B1631" s="1832">
        <f>'Acct Summary 7-8'!D79</f>
        <v>68682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67932</v>
      </c>
      <c r="C1644" s="2" t="s">
        <v>569</v>
      </c>
      <c r="D1644" s="2" t="str">
        <f t="shared" si="24"/>
        <v>Error?</v>
      </c>
    </row>
    <row r="1645" spans="1:4" x14ac:dyDescent="0.2">
      <c r="A1645" s="5">
        <v>1584</v>
      </c>
      <c r="B1645" s="1832">
        <f>'Acct Summary 7-8'!E79</f>
        <v>3565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6671</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375</v>
      </c>
      <c r="C1672" s="2" t="s">
        <v>569</v>
      </c>
      <c r="D1672" s="2" t="str">
        <f t="shared" si="25"/>
        <v>Error?</v>
      </c>
    </row>
    <row r="1673" spans="1:4" x14ac:dyDescent="0.2">
      <c r="A1673" s="5">
        <v>1612</v>
      </c>
      <c r="B1673" s="1832">
        <f>'Acct Summary 7-8'!G79</f>
        <v>87155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91633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999735</v>
      </c>
      <c r="C1744" s="2" t="s">
        <v>569</v>
      </c>
      <c r="D1744" s="2" t="str">
        <f t="shared" si="26"/>
        <v>Error?</v>
      </c>
    </row>
    <row r="1745" spans="1:5" x14ac:dyDescent="0.2">
      <c r="A1745" s="5">
        <v>1684</v>
      </c>
      <c r="B1745" s="1832">
        <f>'Tax Sched 23'!B5</f>
        <v>126219</v>
      </c>
      <c r="C1745" s="2" t="s">
        <v>569</v>
      </c>
      <c r="D1745" s="2" t="str">
        <f t="shared" si="26"/>
        <v>Error?</v>
      </c>
    </row>
    <row r="1746" spans="1:5" x14ac:dyDescent="0.2">
      <c r="A1746" s="5">
        <v>1685</v>
      </c>
      <c r="B1746" s="1832">
        <f>'Tax Sched 23'!B6</f>
        <v>223110</v>
      </c>
      <c r="C1746" s="2" t="s">
        <v>569</v>
      </c>
      <c r="D1746" s="2" t="str">
        <f t="shared" si="26"/>
        <v>Error?</v>
      </c>
    </row>
    <row r="1747" spans="1:5" x14ac:dyDescent="0.2">
      <c r="A1747" s="5">
        <v>1686</v>
      </c>
      <c r="B1747" s="1832">
        <f>'Tax Sched 23'!B7</f>
        <v>60585</v>
      </c>
      <c r="C1747" s="2" t="s">
        <v>569</v>
      </c>
      <c r="D1747" s="2" t="str">
        <f t="shared" si="26"/>
        <v>Error?</v>
      </c>
    </row>
    <row r="1748" spans="1:5" x14ac:dyDescent="0.2">
      <c r="A1748" s="5">
        <v>1687</v>
      </c>
      <c r="B1748" s="1832">
        <f>'Tax Sched 23'!B8</f>
        <v>36275</v>
      </c>
      <c r="C1748" s="2" t="s">
        <v>569</v>
      </c>
      <c r="D1748" s="2" t="str">
        <f t="shared" si="26"/>
        <v>Error?</v>
      </c>
    </row>
    <row r="1749" spans="1:5" x14ac:dyDescent="0.2">
      <c r="A1749" s="5">
        <v>1688</v>
      </c>
      <c r="B1749" s="1832">
        <f>'Tax Sched 23'!B10</f>
        <v>25244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162961</v>
      </c>
      <c r="C1752" s="2" t="s">
        <v>569</v>
      </c>
      <c r="D1752" s="2" t="str">
        <f t="shared" si="26"/>
        <v>Error?</v>
      </c>
    </row>
    <row r="1753" spans="1:5" x14ac:dyDescent="0.2">
      <c r="A1753" s="5">
        <v>1692</v>
      </c>
      <c r="B1753" s="1832">
        <f>'Tax Sched 23'!B12</f>
        <v>25244</v>
      </c>
      <c r="C1753" s="2" t="s">
        <v>569</v>
      </c>
      <c r="D1753" s="2" t="str">
        <f t="shared" si="26"/>
        <v>Error?</v>
      </c>
    </row>
    <row r="1754" spans="1:5" x14ac:dyDescent="0.2">
      <c r="A1754" s="5">
        <v>1693</v>
      </c>
      <c r="B1754" s="1832">
        <f>'Tax Sched 23'!B14</f>
        <v>10098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1741095</v>
      </c>
      <c r="C1759" s="2" t="s">
        <v>569</v>
      </c>
      <c r="D1759" s="2" t="str">
        <f t="shared" si="26"/>
        <v>Error?</v>
      </c>
    </row>
    <row r="1760" spans="1:5" x14ac:dyDescent="0.2">
      <c r="A1760" s="5">
        <v>1699</v>
      </c>
      <c r="B1760" s="1832">
        <f>'Tax Sched 23'!D4</f>
        <v>999735</v>
      </c>
      <c r="C1760" s="2" t="s">
        <v>569</v>
      </c>
      <c r="D1760" s="2" t="str">
        <f t="shared" si="26"/>
        <v>Error?</v>
      </c>
    </row>
    <row r="1761" spans="1:7" x14ac:dyDescent="0.2">
      <c r="A1761" s="5">
        <v>1700</v>
      </c>
      <c r="B1761" s="1832">
        <f>'Tax Sched 23'!D5</f>
        <v>126219</v>
      </c>
      <c r="C1761" s="2" t="s">
        <v>569</v>
      </c>
      <c r="D1761" s="2" t="str">
        <f t="shared" si="26"/>
        <v>Error?</v>
      </c>
    </row>
    <row r="1762" spans="1:7" s="8" customFormat="1" x14ac:dyDescent="0.2">
      <c r="A1762" s="5">
        <v>1701</v>
      </c>
      <c r="B1762" s="1832">
        <f>'Tax Sched 23'!D6</f>
        <v>223110</v>
      </c>
      <c r="C1762" s="2" t="s">
        <v>569</v>
      </c>
      <c r="D1762" s="2" t="str">
        <f t="shared" si="26"/>
        <v>Error?</v>
      </c>
      <c r="E1762" s="9"/>
      <c r="G1762"/>
    </row>
    <row r="1763" spans="1:7" x14ac:dyDescent="0.2">
      <c r="A1763" s="5">
        <v>1702</v>
      </c>
      <c r="B1763" s="1832">
        <f>'Tax Sched 23'!D7</f>
        <v>60585</v>
      </c>
      <c r="C1763" s="2" t="s">
        <v>569</v>
      </c>
      <c r="D1763" s="2" t="str">
        <f t="shared" si="26"/>
        <v>Error?</v>
      </c>
    </row>
    <row r="1764" spans="1:7" x14ac:dyDescent="0.2">
      <c r="A1764" s="5">
        <v>1703</v>
      </c>
      <c r="B1764" s="1832">
        <f>'Tax Sched 23'!D8</f>
        <v>36275</v>
      </c>
      <c r="C1764" s="2" t="s">
        <v>569</v>
      </c>
      <c r="D1764" s="2" t="str">
        <f t="shared" si="26"/>
        <v>Error?</v>
      </c>
    </row>
    <row r="1765" spans="1:7" x14ac:dyDescent="0.2">
      <c r="A1765" s="5">
        <v>1704</v>
      </c>
      <c r="B1765" s="1832">
        <f>'Tax Sched 23'!D10</f>
        <v>25244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162961</v>
      </c>
      <c r="C1768" s="2" t="s">
        <v>569</v>
      </c>
      <c r="D1768" s="2" t="str">
        <f t="shared" si="26"/>
        <v>Error?</v>
      </c>
    </row>
    <row r="1769" spans="1:7" x14ac:dyDescent="0.2">
      <c r="A1769" s="5">
        <v>1708</v>
      </c>
      <c r="B1769" s="1832">
        <f>'Tax Sched 23'!D12</f>
        <v>25244</v>
      </c>
      <c r="C1769" s="2" t="s">
        <v>569</v>
      </c>
      <c r="D1769" s="2" t="str">
        <f t="shared" si="26"/>
        <v>Error?</v>
      </c>
    </row>
    <row r="1770" spans="1:7" x14ac:dyDescent="0.2">
      <c r="A1770" s="5">
        <v>1709</v>
      </c>
      <c r="B1770" s="1832">
        <f>'Tax Sched 23'!D14</f>
        <v>10098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1741095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1035202</v>
      </c>
      <c r="C1792" s="2" t="s">
        <v>569</v>
      </c>
      <c r="D1792" s="2" t="str">
        <f t="shared" si="27"/>
        <v>Error?</v>
      </c>
    </row>
    <row r="1793" spans="1:4" x14ac:dyDescent="0.2">
      <c r="A1793" s="5">
        <v>1732</v>
      </c>
      <c r="B1793" s="1832">
        <f>'Tax Sched 23'!F5</f>
        <v>130677</v>
      </c>
      <c r="C1793" s="2" t="s">
        <v>569</v>
      </c>
      <c r="D1793" s="2" t="str">
        <f t="shared" si="27"/>
        <v>Error?</v>
      </c>
    </row>
    <row r="1794" spans="1:4" x14ac:dyDescent="0.2">
      <c r="A1794" s="5">
        <v>1733</v>
      </c>
      <c r="B1794" s="1832">
        <f>'Tax Sched 23'!F6</f>
        <v>220949</v>
      </c>
      <c r="C1794" s="2" t="s">
        <v>569</v>
      </c>
      <c r="D1794" s="2" t="str">
        <f t="shared" si="27"/>
        <v>Error?</v>
      </c>
    </row>
    <row r="1795" spans="1:4" x14ac:dyDescent="0.2">
      <c r="A1795" s="5">
        <v>1734</v>
      </c>
      <c r="B1795" s="1832">
        <f>'Tax Sched 23'!F7</f>
        <v>62725</v>
      </c>
      <c r="C1795" s="2" t="s">
        <v>569</v>
      </c>
      <c r="D1795" s="2" t="str">
        <f t="shared" si="27"/>
        <v>Error?</v>
      </c>
    </row>
    <row r="1796" spans="1:4" x14ac:dyDescent="0.2">
      <c r="A1796" s="5">
        <v>1735</v>
      </c>
      <c r="B1796" s="1832">
        <f>'Tax Sched 23'!F8</f>
        <v>34290</v>
      </c>
      <c r="C1796" s="2" t="s">
        <v>569</v>
      </c>
      <c r="D1796" s="2" t="str">
        <f t="shared" si="27"/>
        <v>Error?</v>
      </c>
    </row>
    <row r="1797" spans="1:4" x14ac:dyDescent="0.2">
      <c r="A1797" s="5">
        <v>1736</v>
      </c>
      <c r="B1797" s="1832">
        <f>'Tax Sched 23'!F10</f>
        <v>26136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164026</v>
      </c>
      <c r="C1800" s="2" t="s">
        <v>569</v>
      </c>
      <c r="D1800" s="2" t="str">
        <f t="shared" si="27"/>
        <v>Error?</v>
      </c>
    </row>
    <row r="1801" spans="1:4" x14ac:dyDescent="0.2">
      <c r="A1801" s="5">
        <v>1740</v>
      </c>
      <c r="B1801" s="1832">
        <f>'Tax Sched 23'!F12</f>
        <v>26136</v>
      </c>
      <c r="C1801" s="2" t="s">
        <v>569</v>
      </c>
      <c r="D1801" s="2" t="str">
        <f t="shared" si="27"/>
        <v>Error?</v>
      </c>
    </row>
    <row r="1802" spans="1:4" x14ac:dyDescent="0.2">
      <c r="A1802" s="5">
        <v>1741</v>
      </c>
      <c r="B1802" s="1832">
        <f>'Tax Sched 23'!F14</f>
        <v>10454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1785134</v>
      </c>
      <c r="C1807" s="2" t="s">
        <v>569</v>
      </c>
      <c r="D1807" s="2" t="str">
        <f t="shared" si="27"/>
        <v>Error?</v>
      </c>
    </row>
    <row r="1808" spans="1:4" x14ac:dyDescent="0.2">
      <c r="A1808" s="5">
        <v>1747</v>
      </c>
      <c r="B1808" s="1832">
        <f>'Tax Sched 23'!E4</f>
        <v>1035202</v>
      </c>
      <c r="D1808" s="2" t="str">
        <f t="shared" si="27"/>
        <v>Error?</v>
      </c>
    </row>
    <row r="1809" spans="1:4" x14ac:dyDescent="0.2">
      <c r="A1809" s="5">
        <v>1748</v>
      </c>
      <c r="B1809" s="1832">
        <f>'Tax Sched 23'!E5</f>
        <v>130677</v>
      </c>
      <c r="D1809" s="2" t="str">
        <f t="shared" si="27"/>
        <v>Error?</v>
      </c>
    </row>
    <row r="1810" spans="1:4" x14ac:dyDescent="0.2">
      <c r="A1810" s="5">
        <v>1749</v>
      </c>
      <c r="B1810" s="1832">
        <f>'Tax Sched 23'!E6</f>
        <v>220949</v>
      </c>
      <c r="D1810" s="2" t="str">
        <f t="shared" si="27"/>
        <v>Error?</v>
      </c>
    </row>
    <row r="1811" spans="1:4" x14ac:dyDescent="0.2">
      <c r="A1811" s="5">
        <v>1750</v>
      </c>
      <c r="B1811" s="1832">
        <f>'Tax Sched 23'!E7</f>
        <v>62725</v>
      </c>
      <c r="D1811" s="2" t="str">
        <f t="shared" si="27"/>
        <v>Error?</v>
      </c>
    </row>
    <row r="1812" spans="1:4" x14ac:dyDescent="0.2">
      <c r="A1812" s="5">
        <v>1751</v>
      </c>
      <c r="B1812" s="1832">
        <f>'Tax Sched 23'!E8</f>
        <v>34290</v>
      </c>
      <c r="D1812" s="2" t="str">
        <f t="shared" si="27"/>
        <v>Error?</v>
      </c>
    </row>
    <row r="1813" spans="1:4" x14ac:dyDescent="0.2">
      <c r="A1813" s="5">
        <v>1752</v>
      </c>
      <c r="B1813" s="1832">
        <f>'Tax Sched 23'!E10</f>
        <v>26136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164026</v>
      </c>
      <c r="D1816" s="2" t="str">
        <f t="shared" si="27"/>
        <v>Error?</v>
      </c>
    </row>
    <row r="1817" spans="1:4" x14ac:dyDescent="0.2">
      <c r="A1817" s="5">
        <v>1756</v>
      </c>
      <c r="B1817" s="1832">
        <f>'Tax Sched 23'!E12</f>
        <v>26136</v>
      </c>
      <c r="D1817" s="2" t="str">
        <f t="shared" si="27"/>
        <v>Error?</v>
      </c>
    </row>
    <row r="1818" spans="1:4" x14ac:dyDescent="0.2">
      <c r="A1818" s="5">
        <v>1757</v>
      </c>
      <c r="B1818" s="1832">
        <f>'Tax Sched 23'!E14</f>
        <v>10454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1785134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424200</v>
      </c>
      <c r="C1939" s="2" t="s">
        <v>569</v>
      </c>
      <c r="D1939" s="2" t="str">
        <f t="shared" si="29"/>
        <v>Error?</v>
      </c>
    </row>
    <row r="1940" spans="1:5" x14ac:dyDescent="0.2">
      <c r="A1940" s="5">
        <v>1879</v>
      </c>
      <c r="B1940" s="1832">
        <f>'Short-Term Long-Term Debt 24'!F49</f>
        <v>1400000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10098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10098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10098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38285</v>
      </c>
      <c r="D2008" s="2" t="str">
        <f t="shared" si="30"/>
        <v>Error?</v>
      </c>
    </row>
    <row r="2009" spans="1:4" x14ac:dyDescent="0.2">
      <c r="A2009" s="5">
        <v>1948</v>
      </c>
      <c r="B2009" s="1832">
        <f>'Cap Outlay Deprec 26'!C8</f>
        <v>2376547</v>
      </c>
      <c r="D2009" s="2" t="str">
        <f t="shared" si="30"/>
        <v>Error?</v>
      </c>
    </row>
    <row r="2010" spans="1:4" x14ac:dyDescent="0.2">
      <c r="A2010" s="5">
        <v>1949</v>
      </c>
      <c r="B2010" s="1832">
        <f>'Cap Outlay Deprec 26'!C10</f>
        <v>23750</v>
      </c>
      <c r="D2010" s="2" t="str">
        <f t="shared" si="30"/>
        <v>Error?</v>
      </c>
    </row>
    <row r="2011" spans="1:4" x14ac:dyDescent="0.2">
      <c r="A2011" s="5">
        <v>1950</v>
      </c>
      <c r="B2011" s="1832">
        <f>'Cap Outlay Deprec 26'!C12</f>
        <v>1204926</v>
      </c>
      <c r="D2011" s="2" t="str">
        <f t="shared" si="30"/>
        <v>Error?</v>
      </c>
    </row>
    <row r="2012" spans="1:4" x14ac:dyDescent="0.2">
      <c r="A2012" s="5">
        <v>1951</v>
      </c>
      <c r="B2012" s="1832">
        <f>'Cap Outlay Deprec 26'!C13</f>
        <v>63203</v>
      </c>
      <c r="D2012" s="2" t="str">
        <f t="shared" si="30"/>
        <v>Error?</v>
      </c>
    </row>
    <row r="2013" spans="1:4" x14ac:dyDescent="0.2">
      <c r="A2013" s="5">
        <v>1952</v>
      </c>
      <c r="B2013" s="1832">
        <f>'Cap Outlay Deprec 26'!C16</f>
        <v>3706711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56601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56601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38285</v>
      </c>
      <c r="C2026" s="2" t="s">
        <v>569</v>
      </c>
      <c r="D2026" s="2" t="str">
        <f t="shared" si="30"/>
        <v>Error?</v>
      </c>
    </row>
    <row r="2027" spans="1:4" x14ac:dyDescent="0.2">
      <c r="A2027" s="5">
        <v>1966</v>
      </c>
      <c r="B2027" s="1832">
        <f>'Cap Outlay Deprec 26'!F8</f>
        <v>2376547</v>
      </c>
      <c r="C2027" s="2" t="s">
        <v>569</v>
      </c>
      <c r="D2027" s="2" t="str">
        <f t="shared" si="30"/>
        <v>Error?</v>
      </c>
    </row>
    <row r="2028" spans="1:4" x14ac:dyDescent="0.2">
      <c r="A2028" s="5">
        <v>1967</v>
      </c>
      <c r="B2028" s="1832">
        <f>'Cap Outlay Deprec 26'!F10</f>
        <v>23750</v>
      </c>
      <c r="C2028" s="2" t="s">
        <v>569</v>
      </c>
      <c r="D2028" s="2" t="str">
        <f t="shared" si="30"/>
        <v>Error?</v>
      </c>
    </row>
    <row r="2029" spans="1:4" x14ac:dyDescent="0.2">
      <c r="A2029" s="5">
        <v>1968</v>
      </c>
      <c r="B2029" s="1832">
        <f>'Cap Outlay Deprec 26'!F12</f>
        <v>1261527</v>
      </c>
      <c r="C2029" s="2" t="s">
        <v>569</v>
      </c>
      <c r="D2029" s="2" t="str">
        <f t="shared" si="30"/>
        <v>Error?</v>
      </c>
    </row>
    <row r="2030" spans="1:4" x14ac:dyDescent="0.2">
      <c r="A2030" s="5">
        <v>1969</v>
      </c>
      <c r="B2030" s="1832">
        <f>'Cap Outlay Deprec 26'!F13</f>
        <v>63203</v>
      </c>
      <c r="C2030" s="2" t="s">
        <v>569</v>
      </c>
      <c r="D2030" s="2" t="str">
        <f t="shared" si="30"/>
        <v>Error?</v>
      </c>
    </row>
    <row r="2031" spans="1:4" x14ac:dyDescent="0.2">
      <c r="A2031" s="5">
        <v>1970</v>
      </c>
      <c r="B2031" s="1832">
        <f>'Cap Outlay Deprec 26'!F16</f>
        <v>3763312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1760736</v>
      </c>
      <c r="D2033" s="2" t="str">
        <f t="shared" si="30"/>
        <v>Error?</v>
      </c>
    </row>
    <row r="2034" spans="1:4" x14ac:dyDescent="0.2">
      <c r="A2034" s="5">
        <v>1973</v>
      </c>
      <c r="B2034" s="1832">
        <f>'Cap Outlay Deprec 26'!H10</f>
        <v>20667</v>
      </c>
      <c r="D2034" s="2" t="str">
        <f t="shared" si="30"/>
        <v>Error?</v>
      </c>
    </row>
    <row r="2035" spans="1:4" x14ac:dyDescent="0.2">
      <c r="A2035" s="5">
        <v>1974</v>
      </c>
      <c r="B2035" s="1832">
        <f>'Cap Outlay Deprec 26'!H12</f>
        <v>1076369</v>
      </c>
      <c r="D2035" s="2" t="str">
        <f t="shared" si="30"/>
        <v>Error?</v>
      </c>
    </row>
    <row r="2036" spans="1:4" x14ac:dyDescent="0.2">
      <c r="A2036" s="5">
        <v>1975</v>
      </c>
      <c r="B2036" s="1832">
        <f>'Cap Outlay Deprec 26'!H13</f>
        <v>63203</v>
      </c>
      <c r="D2036" s="2" t="str">
        <f t="shared" si="30"/>
        <v>Error?</v>
      </c>
    </row>
    <row r="2037" spans="1:4" x14ac:dyDescent="0.2">
      <c r="A2037" s="5">
        <v>1976</v>
      </c>
      <c r="B2037" s="1832">
        <f>'Cap Outlay Deprec 26'!H16</f>
        <v>2920975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47531</v>
      </c>
      <c r="D2039" s="2" t="str">
        <f t="shared" si="30"/>
        <v>Error?</v>
      </c>
    </row>
    <row r="2040" spans="1:4" x14ac:dyDescent="0.2">
      <c r="A2040" s="5">
        <v>1979</v>
      </c>
      <c r="B2040" s="1832">
        <f>'Cap Outlay Deprec 26'!I10</f>
        <v>190</v>
      </c>
      <c r="D2040" s="2" t="str">
        <f t="shared" si="30"/>
        <v>Error?</v>
      </c>
    </row>
    <row r="2041" spans="1:4" x14ac:dyDescent="0.2">
      <c r="A2041" s="5">
        <v>1980</v>
      </c>
      <c r="B2041" s="1832">
        <f>'Cap Outlay Deprec 26'!I12</f>
        <v>29735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77456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1808267</v>
      </c>
      <c r="C2051" s="2" t="s">
        <v>569</v>
      </c>
      <c r="D2051" s="2" t="str">
        <f t="shared" si="31"/>
        <v>Error?</v>
      </c>
    </row>
    <row r="2052" spans="1:4" x14ac:dyDescent="0.2">
      <c r="A2052" s="5">
        <v>1991</v>
      </c>
      <c r="B2052" s="1832">
        <f>'Cap Outlay Deprec 26'!K10</f>
        <v>20857</v>
      </c>
      <c r="C2052" s="2" t="s">
        <v>569</v>
      </c>
      <c r="D2052" s="2" t="str">
        <f t="shared" si="31"/>
        <v>Error?</v>
      </c>
    </row>
    <row r="2053" spans="1:4" x14ac:dyDescent="0.2">
      <c r="A2053" s="5">
        <v>1992</v>
      </c>
      <c r="B2053" s="1832">
        <f>'Cap Outlay Deprec 26'!K12</f>
        <v>1106104</v>
      </c>
      <c r="C2053" s="2" t="s">
        <v>569</v>
      </c>
      <c r="D2053" s="2" t="str">
        <f t="shared" si="31"/>
        <v>Error?</v>
      </c>
    </row>
    <row r="2054" spans="1:4" x14ac:dyDescent="0.2">
      <c r="A2054" s="5">
        <v>1993</v>
      </c>
      <c r="B2054" s="1832">
        <f>'Cap Outlay Deprec 26'!K13</f>
        <v>63203</v>
      </c>
      <c r="C2054" s="2" t="s">
        <v>569</v>
      </c>
      <c r="D2054" s="2" t="str">
        <f t="shared" si="31"/>
        <v>Error?</v>
      </c>
    </row>
    <row r="2055" spans="1:4" x14ac:dyDescent="0.2">
      <c r="A2055" s="5">
        <v>1994</v>
      </c>
      <c r="B2055" s="1832">
        <f>'Cap Outlay Deprec 26'!K16</f>
        <v>2998431</v>
      </c>
      <c r="C2055" s="2" t="s">
        <v>569</v>
      </c>
      <c r="D2055" s="2" t="str">
        <f t="shared" si="31"/>
        <v>Error?</v>
      </c>
    </row>
    <row r="2056" spans="1:4" x14ac:dyDescent="0.2">
      <c r="A2056" s="5">
        <v>1995</v>
      </c>
      <c r="B2056" s="1832">
        <f>'Cap Outlay Deprec 26'!L5</f>
        <v>38285</v>
      </c>
      <c r="C2056" s="2" t="s">
        <v>569</v>
      </c>
      <c r="D2056" s="2" t="str">
        <f t="shared" si="31"/>
        <v>Error?</v>
      </c>
    </row>
    <row r="2057" spans="1:4" x14ac:dyDescent="0.2">
      <c r="A2057" s="5">
        <v>1996</v>
      </c>
      <c r="B2057" s="1832">
        <f>'Cap Outlay Deprec 26'!L8</f>
        <v>568280</v>
      </c>
      <c r="C2057" s="2" t="s">
        <v>569</v>
      </c>
      <c r="D2057" s="2" t="str">
        <f t="shared" si="31"/>
        <v>Error?</v>
      </c>
    </row>
    <row r="2058" spans="1:4" x14ac:dyDescent="0.2">
      <c r="A2058" s="5">
        <v>1997</v>
      </c>
      <c r="B2058" s="1832">
        <f>'Cap Outlay Deprec 26'!L10</f>
        <v>2893</v>
      </c>
      <c r="C2058" s="2" t="s">
        <v>569</v>
      </c>
      <c r="D2058" s="2" t="str">
        <f t="shared" si="31"/>
        <v>Error?</v>
      </c>
    </row>
    <row r="2059" spans="1:4" x14ac:dyDescent="0.2">
      <c r="A2059" s="5">
        <v>1998</v>
      </c>
      <c r="B2059" s="1832">
        <f>'Cap Outlay Deprec 26'!L12</f>
        <v>155423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764881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208247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218649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21173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1222398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1421833</v>
      </c>
      <c r="C2553" s="2" t="s">
        <v>569</v>
      </c>
      <c r="D2553" s="2" t="str">
        <f t="shared" si="38"/>
        <v>Error?</v>
      </c>
    </row>
    <row r="2554" spans="1:4" x14ac:dyDescent="0.2">
      <c r="A2554" s="5">
        <v>2493</v>
      </c>
      <c r="B2554" s="1832">
        <f>'Acct Summary 7-8'!C7</f>
        <v>474266</v>
      </c>
      <c r="C2554" s="2" t="s">
        <v>569</v>
      </c>
      <c r="D2554" s="2" t="str">
        <f t="shared" si="38"/>
        <v>Error?</v>
      </c>
    </row>
    <row r="2555" spans="1:4" x14ac:dyDescent="0.2">
      <c r="A2555" s="5">
        <v>2494</v>
      </c>
      <c r="B2555" s="1832">
        <f>'Acct Summary 7-8'!C8</f>
        <v>3118497</v>
      </c>
      <c r="C2555" s="2" t="s">
        <v>569</v>
      </c>
      <c r="D2555" s="2" t="str">
        <f t="shared" si="38"/>
        <v>Error?</v>
      </c>
    </row>
    <row r="2556" spans="1:4" x14ac:dyDescent="0.2">
      <c r="A2556" s="5">
        <v>2495</v>
      </c>
      <c r="B2556" s="1832">
        <f>'Acct Summary 7-8'!C12</f>
        <v>1882253</v>
      </c>
      <c r="C2556" s="2" t="s">
        <v>569</v>
      </c>
      <c r="D2556" s="2" t="str">
        <f t="shared" si="38"/>
        <v>Error?</v>
      </c>
    </row>
    <row r="2557" spans="1:4" x14ac:dyDescent="0.2">
      <c r="A2557" s="5">
        <v>2496</v>
      </c>
      <c r="B2557" s="1832">
        <f>'Acct Summary 7-8'!C13</f>
        <v>933104</v>
      </c>
      <c r="C2557" s="2" t="s">
        <v>569</v>
      </c>
      <c r="D2557" s="2" t="str">
        <f t="shared" si="38"/>
        <v>Error?</v>
      </c>
    </row>
    <row r="2558" spans="1:4" x14ac:dyDescent="0.2">
      <c r="A2558" s="5">
        <v>2497</v>
      </c>
      <c r="B2558" s="1832">
        <f>'Acct Summary 7-8'!C14</f>
        <v>882</v>
      </c>
      <c r="C2558" s="2" t="s">
        <v>569</v>
      </c>
      <c r="D2558" s="2" t="str">
        <f t="shared" si="38"/>
        <v>Error?</v>
      </c>
    </row>
    <row r="2559" spans="1:4" x14ac:dyDescent="0.2">
      <c r="A2559" s="5">
        <v>2498</v>
      </c>
      <c r="B2559" s="1832">
        <f>'Acct Summary 7-8'!C15</f>
        <v>218649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3034888</v>
      </c>
      <c r="C2561" s="2" t="s">
        <v>569</v>
      </c>
      <c r="D2561" s="2" t="str">
        <f t="shared" si="39"/>
        <v>Error?</v>
      </c>
    </row>
    <row r="2562" spans="1:4" x14ac:dyDescent="0.2">
      <c r="A2562" s="5">
        <v>2501</v>
      </c>
      <c r="B2562" s="1832">
        <f>'Acct Summary 7-8'!C20</f>
        <v>83609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127036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127036</v>
      </c>
      <c r="C2568" s="2" t="s">
        <v>569</v>
      </c>
      <c r="D2568" s="2" t="str">
        <f t="shared" si="39"/>
        <v>Error?</v>
      </c>
    </row>
    <row r="2569" spans="1:4" x14ac:dyDescent="0.2">
      <c r="A2569" s="5">
        <v>2508</v>
      </c>
      <c r="B2569" s="1832">
        <f>'Acct Summary 7-8'!D13</f>
        <v>127786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127786</v>
      </c>
      <c r="C2573" s="2" t="s">
        <v>569</v>
      </c>
      <c r="D2573" s="2" t="str">
        <f t="shared" si="39"/>
        <v>Error?</v>
      </c>
    </row>
    <row r="2574" spans="1:4" x14ac:dyDescent="0.2">
      <c r="A2574" s="5">
        <v>2513</v>
      </c>
      <c r="B2574" s="1832">
        <f>'Acct Summary 7-8'!D20</f>
        <v>-750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60895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231108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292003</v>
      </c>
      <c r="C2595" s="2" t="s">
        <v>569</v>
      </c>
      <c r="D2595" s="2" t="str">
        <f t="shared" si="39"/>
        <v>Error?</v>
      </c>
    </row>
    <row r="2596" spans="1:4" x14ac:dyDescent="0.2">
      <c r="A2596" s="5">
        <v>2535</v>
      </c>
      <c r="B2596" s="1832">
        <f>'Acct Summary 7-8'!F13</f>
        <v>251711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39917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291628</v>
      </c>
      <c r="C2600" s="2" t="s">
        <v>569</v>
      </c>
      <c r="D2600" s="2" t="str">
        <f t="shared" si="39"/>
        <v>Error?</v>
      </c>
    </row>
    <row r="2601" spans="1:4" x14ac:dyDescent="0.2">
      <c r="A2601" s="5">
        <v>2540</v>
      </c>
      <c r="B2601" s="1832">
        <f>'Acct Summary 7-8'!F20</f>
        <v>375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89145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89145</v>
      </c>
      <c r="C2606" s="2" t="s">
        <v>569</v>
      </c>
      <c r="D2606" s="2" t="str">
        <f t="shared" si="39"/>
        <v>Error?</v>
      </c>
    </row>
    <row r="2607" spans="1:4" x14ac:dyDescent="0.2">
      <c r="A2607" s="5">
        <v>2546</v>
      </c>
      <c r="B2607" s="1832">
        <f>'Acct Summary 7-8'!G12</f>
        <v>25201</v>
      </c>
      <c r="C2607" s="2" t="s">
        <v>569</v>
      </c>
      <c r="D2607" s="2" t="str">
        <f t="shared" si="39"/>
        <v>Error?</v>
      </c>
    </row>
    <row r="2608" spans="1:4" x14ac:dyDescent="0.2">
      <c r="A2608" s="5">
        <v>2547</v>
      </c>
      <c r="B2608" s="1832">
        <f>'Acct Summary 7-8'!G13</f>
        <v>59466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84667</v>
      </c>
      <c r="C2612" s="2" t="s">
        <v>569</v>
      </c>
      <c r="D2612" s="2" t="str">
        <f t="shared" si="39"/>
        <v>Error?</v>
      </c>
    </row>
    <row r="2613" spans="1:4" x14ac:dyDescent="0.2">
      <c r="A2613" s="5">
        <v>2552</v>
      </c>
      <c r="B2613" s="1832">
        <f>'Acct Summary 7-8'!G20</f>
        <v>4478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223968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223968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220862</v>
      </c>
      <c r="C2634" s="2" t="s">
        <v>569</v>
      </c>
      <c r="D2634" s="2" t="str">
        <f t="shared" si="40"/>
        <v>Error?</v>
      </c>
    </row>
    <row r="2635" spans="1:4" x14ac:dyDescent="0.2">
      <c r="A2635" s="5">
        <v>2574</v>
      </c>
      <c r="B2635" s="1832">
        <f>'Acct Summary 7-8'!E17</f>
        <v>220862</v>
      </c>
      <c r="C2635" s="2" t="s">
        <v>569</v>
      </c>
      <c r="D2635" s="2" t="str">
        <f t="shared" si="40"/>
        <v>Error?</v>
      </c>
    </row>
    <row r="2636" spans="1:4" x14ac:dyDescent="0.2">
      <c r="A2636" s="5">
        <v>2575</v>
      </c>
      <c r="B2636" s="1832">
        <f>'Acct Summary 7-8'!E20</f>
        <v>3106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10402</v>
      </c>
      <c r="C2789" s="2" t="s">
        <v>569</v>
      </c>
      <c r="D2789" s="2" t="str">
        <f t="shared" si="42"/>
        <v>Error?</v>
      </c>
    </row>
    <row r="2790" spans="1:4" x14ac:dyDescent="0.2">
      <c r="A2790" s="5">
        <v>2729</v>
      </c>
      <c r="B2790" s="1832">
        <f>'Expenditures 15-22'!E102</f>
        <v>10402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39917</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39917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63203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1500000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1512250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10688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1512250</v>
      </c>
      <c r="D2912" s="2" t="str">
        <f t="shared" si="44"/>
        <v>Error?</v>
      </c>
    </row>
    <row r="2913" spans="1:4" x14ac:dyDescent="0.2">
      <c r="A2913" s="5">
        <v>2852</v>
      </c>
      <c r="B2913" s="1832">
        <f>'Assets-Liab 5-6'!I41</f>
        <v>1512250</v>
      </c>
      <c r="C2913" s="2" t="s">
        <v>569</v>
      </c>
      <c r="D2913" s="2" t="str">
        <f t="shared" si="44"/>
        <v>Error?</v>
      </c>
    </row>
    <row r="2914" spans="1:4" x14ac:dyDescent="0.2">
      <c r="A2914" s="5">
        <v>2853</v>
      </c>
      <c r="B2914" s="1832">
        <f>'Assets-Liab 5-6'!L33</f>
        <v>10688</v>
      </c>
      <c r="D2914" s="2" t="str">
        <f t="shared" si="44"/>
        <v>Error?</v>
      </c>
    </row>
    <row r="2915" spans="1:4" x14ac:dyDescent="0.2">
      <c r="A2915" s="10">
        <v>2854</v>
      </c>
      <c r="B2915" s="1832"/>
      <c r="D2915" s="2" t="str">
        <f t="shared" si="44"/>
        <v>OK</v>
      </c>
    </row>
    <row r="2916" spans="1:4" x14ac:dyDescent="0.2">
      <c r="A2916" s="5">
        <v>2855</v>
      </c>
      <c r="B2916" s="1832">
        <f>'Assets-Liab 5-6'!L34</f>
        <v>10688</v>
      </c>
      <c r="C2916" s="2" t="s">
        <v>569</v>
      </c>
      <c r="D2916" s="2" t="str">
        <f t="shared" si="44"/>
        <v>Error?</v>
      </c>
    </row>
    <row r="2917" spans="1:4" x14ac:dyDescent="0.2">
      <c r="A2917" s="5">
        <v>2856</v>
      </c>
      <c r="B2917" s="1832">
        <f>'Assets-Liab 5-6'!L41</f>
        <v>10688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10402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208247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218649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39917</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39917</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5280</v>
      </c>
      <c r="D3055" s="2" t="str">
        <f t="shared" si="46"/>
        <v>Error?</v>
      </c>
    </row>
    <row r="3056" spans="1:4" x14ac:dyDescent="0.2">
      <c r="A3056" s="5">
        <v>2995</v>
      </c>
      <c r="B3056" s="1832">
        <f>'Expenditures 15-22'!D10</f>
        <v>1585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6865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33942</v>
      </c>
      <c r="C3225" s="2" t="s">
        <v>569</v>
      </c>
      <c r="D3225" s="2" t="str">
        <f t="shared" si="49"/>
        <v>Error?</v>
      </c>
    </row>
    <row r="3226" spans="1:4" x14ac:dyDescent="0.2">
      <c r="A3226" s="5">
        <v>3165</v>
      </c>
      <c r="B3226" s="1832">
        <f>'Acct Summary 7-8'!I8</f>
        <v>33942</v>
      </c>
      <c r="C3226" s="2" t="s">
        <v>569</v>
      </c>
      <c r="D3226" s="2" t="str">
        <f t="shared" si="49"/>
        <v>Error?</v>
      </c>
    </row>
    <row r="3227" spans="1:4" x14ac:dyDescent="0.2">
      <c r="A3227" s="5">
        <v>3166</v>
      </c>
      <c r="B3227" s="1832">
        <f>'Acct Summary 7-8'!I20</f>
        <v>33942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800000</v>
      </c>
      <c r="C3232" s="2" t="s">
        <v>569</v>
      </c>
      <c r="D3232" s="2" t="str">
        <f t="shared" si="49"/>
        <v>Error?</v>
      </c>
    </row>
    <row r="3233" spans="1:4" x14ac:dyDescent="0.2">
      <c r="A3233" s="5">
        <v>3172</v>
      </c>
      <c r="B3233" s="1832">
        <f>'Acct Summary 7-8'!C78</f>
        <v>883609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-750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375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4478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3106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1433738</v>
      </c>
      <c r="C3317" s="2" t="s">
        <v>569</v>
      </c>
      <c r="D3317" s="2" t="str">
        <f t="shared" si="50"/>
        <v>Error?</v>
      </c>
    </row>
    <row r="3318" spans="1:4" x14ac:dyDescent="0.2">
      <c r="A3318" s="5">
        <v>3257</v>
      </c>
      <c r="B3318" s="1832">
        <f>'Acct Summary 7-8'!I76</f>
        <v>830400</v>
      </c>
      <c r="C3318" s="2" t="s">
        <v>569</v>
      </c>
      <c r="D3318" s="2" t="str">
        <f t="shared" si="50"/>
        <v>Error?</v>
      </c>
    </row>
    <row r="3319" spans="1:4" x14ac:dyDescent="0.2">
      <c r="A3319" s="5">
        <v>3258</v>
      </c>
      <c r="B3319" s="1832">
        <f>'Acct Summary 7-8'!I77</f>
        <v>603338</v>
      </c>
      <c r="C3319" s="2" t="s">
        <v>569</v>
      </c>
      <c r="D3319" s="2" t="str">
        <f t="shared" si="50"/>
        <v>Error?</v>
      </c>
    </row>
    <row r="3320" spans="1:4" x14ac:dyDescent="0.2">
      <c r="A3320" s="5">
        <v>3259</v>
      </c>
      <c r="B3320" s="1832">
        <f>'Acct Summary 7-8'!I78</f>
        <v>637280</v>
      </c>
      <c r="C3320" s="2" t="s">
        <v>569</v>
      </c>
      <c r="D3320" s="2" t="str">
        <f t="shared" si="50"/>
        <v>Error?</v>
      </c>
    </row>
    <row r="3321" spans="1:4" x14ac:dyDescent="0.2">
      <c r="A3321" s="5">
        <v>3260</v>
      </c>
      <c r="B3321" s="1832">
        <f>'Acct Summary 7-8'!I79</f>
        <v>874970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1512250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176288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43021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1576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220885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21541</v>
      </c>
      <c r="D3387" s="2" t="str">
        <f t="shared" si="51"/>
        <v>Error?</v>
      </c>
    </row>
    <row r="3388" spans="1:4" x14ac:dyDescent="0.2">
      <c r="A3388" s="5">
        <v>3327</v>
      </c>
      <c r="B3388" s="1832">
        <f>'Expenditures 15-22'!D217</f>
        <v>1923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21541</v>
      </c>
      <c r="C3390" s="2" t="s">
        <v>569</v>
      </c>
      <c r="D3390" s="2" t="str">
        <f t="shared" si="51"/>
        <v>Error?</v>
      </c>
    </row>
    <row r="3391" spans="1:4" x14ac:dyDescent="0.2">
      <c r="A3391" s="5">
        <v>3330</v>
      </c>
      <c r="B3391" s="1832">
        <f>'Expenditures 15-22'!K217</f>
        <v>1923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366897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17932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6671</v>
      </c>
      <c r="D3417" s="2" t="str">
        <f t="shared" si="52"/>
        <v>Error?</v>
      </c>
    </row>
    <row r="3418" spans="1:4" x14ac:dyDescent="0.2">
      <c r="A3418" s="10">
        <v>3357</v>
      </c>
      <c r="B3418" s="1832"/>
      <c r="D3418" s="2" t="str">
        <f t="shared" si="52"/>
        <v>OK</v>
      </c>
    </row>
    <row r="3419" spans="1:4" x14ac:dyDescent="0.2">
      <c r="A3419" s="5">
        <v>3358</v>
      </c>
      <c r="B3419" s="1832">
        <f>'Assets-Liab 5-6'!F4</f>
        <v>375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11633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12250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10688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46380</v>
      </c>
      <c r="C3446" s="2" t="s">
        <v>569</v>
      </c>
      <c r="D3446" s="2" t="str">
        <f t="shared" si="52"/>
        <v>Error?</v>
      </c>
    </row>
    <row r="3447" spans="1:4" x14ac:dyDescent="0.2">
      <c r="A3447" s="5">
        <v>3386</v>
      </c>
      <c r="B3447" s="1832">
        <f>'Tax Sched 23'!D16</f>
        <v>46380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48403</v>
      </c>
      <c r="C3449" s="2" t="s">
        <v>569</v>
      </c>
      <c r="D3449" s="2" t="str">
        <f t="shared" si="52"/>
        <v>Error?</v>
      </c>
    </row>
    <row r="3450" spans="1:4" x14ac:dyDescent="0.2">
      <c r="A3450" s="5">
        <v>3389</v>
      </c>
      <c r="B3450" s="1832">
        <f>'Tax Sched 23'!E16</f>
        <v>48403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54356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120000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174356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174356</v>
      </c>
      <c r="D3567" s="2" t="str">
        <f t="shared" si="54"/>
        <v>Error?</v>
      </c>
    </row>
    <row r="3568" spans="1:4" x14ac:dyDescent="0.2">
      <c r="A3568" s="5">
        <v>3507</v>
      </c>
      <c r="B3568" s="1832">
        <f>'Assets-Liab 5-6'!K41</f>
        <v>174356</v>
      </c>
      <c r="C3568" s="2" t="s">
        <v>569</v>
      </c>
      <c r="D3568" s="2" t="str">
        <f t="shared" si="54"/>
        <v>Error?</v>
      </c>
    </row>
    <row r="3569" spans="1:4" x14ac:dyDescent="0.2">
      <c r="A3569" s="5">
        <v>3508</v>
      </c>
      <c r="B3569" s="1832">
        <f>'Acct Summary 7-8'!K4</f>
        <v>26213</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76213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76213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76213</v>
      </c>
      <c r="C3588" s="2" t="s">
        <v>569</v>
      </c>
      <c r="D3588" s="2" t="str">
        <f t="shared" si="55"/>
        <v>Error?</v>
      </c>
    </row>
    <row r="3589" spans="1:4" x14ac:dyDescent="0.2">
      <c r="A3589" s="5">
        <v>3528</v>
      </c>
      <c r="B3589" s="1832">
        <f>'Acct Summary 7-8'!K79</f>
        <v>98143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174356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76213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25244</v>
      </c>
      <c r="C3725" s="2" t="s">
        <v>569</v>
      </c>
      <c r="D3725" s="2" t="str">
        <f t="shared" si="57"/>
        <v>Error?</v>
      </c>
    </row>
    <row r="3726" spans="1:4" x14ac:dyDescent="0.2">
      <c r="A3726" s="5">
        <v>3665</v>
      </c>
      <c r="B3726" s="1832">
        <f>'Tax Sched 23'!D13</f>
        <v>25244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26136</v>
      </c>
      <c r="C3728" s="2" t="s">
        <v>569</v>
      </c>
      <c r="D3728" s="2" t="str">
        <f t="shared" si="57"/>
        <v>Error?</v>
      </c>
    </row>
    <row r="3729" spans="1:4" x14ac:dyDescent="0.2">
      <c r="A3729" s="5">
        <v>3668</v>
      </c>
      <c r="B3729" s="1832">
        <f>'Tax Sched 23'!E13</f>
        <v>26136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1420123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4538620</v>
      </c>
      <c r="C4122" s="2" t="s">
        <v>569</v>
      </c>
      <c r="D4122" s="2" t="str">
        <f t="shared" si="63"/>
        <v>Error?</v>
      </c>
    </row>
    <row r="4123" spans="1:4" x14ac:dyDescent="0.2">
      <c r="A4123" s="5">
        <v>4062</v>
      </c>
      <c r="B4123" s="1832">
        <f>'Acct Summary 7-8'!D10</f>
        <v>127036</v>
      </c>
      <c r="C4123" s="2" t="s">
        <v>569</v>
      </c>
      <c r="D4123" s="2" t="str">
        <f t="shared" si="63"/>
        <v>Error?</v>
      </c>
    </row>
    <row r="4124" spans="1:4" x14ac:dyDescent="0.2">
      <c r="A4124" s="5">
        <v>4063</v>
      </c>
      <c r="B4124" s="1832">
        <f>'Acct Summary 7-8'!E10</f>
        <v>223968</v>
      </c>
      <c r="C4124" s="2" t="s">
        <v>569</v>
      </c>
      <c r="D4124" s="2" t="str">
        <f t="shared" si="63"/>
        <v>Error?</v>
      </c>
    </row>
    <row r="4125" spans="1:4" x14ac:dyDescent="0.2">
      <c r="A4125" s="5">
        <v>4064</v>
      </c>
      <c r="B4125" s="1832">
        <f>'Acct Summary 7-8'!F10</f>
        <v>292003</v>
      </c>
      <c r="C4125" s="2" t="s">
        <v>569</v>
      </c>
      <c r="D4125" s="2" t="str">
        <f t="shared" si="63"/>
        <v>Error?</v>
      </c>
    </row>
    <row r="4126" spans="1:4" x14ac:dyDescent="0.2">
      <c r="A4126" s="5">
        <v>4065</v>
      </c>
      <c r="B4126" s="1832">
        <f>'Acct Summary 7-8'!G10</f>
        <v>89145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33942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76213</v>
      </c>
      <c r="C4130" s="2" t="s">
        <v>569</v>
      </c>
      <c r="D4130" s="2" t="str">
        <f t="shared" si="63"/>
        <v>Error?</v>
      </c>
    </row>
    <row r="4131" spans="1:4" x14ac:dyDescent="0.2">
      <c r="A4131" s="5">
        <v>4070</v>
      </c>
      <c r="B4131" s="1832">
        <f>'Acct Summary 7-8'!C18</f>
        <v>1420123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4455011</v>
      </c>
      <c r="C4136" s="2" t="s">
        <v>569</v>
      </c>
      <c r="D4136" s="2" t="str">
        <f t="shared" si="63"/>
        <v>Error?</v>
      </c>
    </row>
    <row r="4137" spans="1:4" x14ac:dyDescent="0.2">
      <c r="A4137" s="5">
        <v>4076</v>
      </c>
      <c r="B4137" s="1832">
        <f>'Acct Summary 7-8'!D19</f>
        <v>127786</v>
      </c>
      <c r="C4137" s="2" t="s">
        <v>569</v>
      </c>
      <c r="D4137" s="2" t="str">
        <f t="shared" si="63"/>
        <v>Error?</v>
      </c>
    </row>
    <row r="4138" spans="1:4" x14ac:dyDescent="0.2">
      <c r="A4138" s="5">
        <v>4077</v>
      </c>
      <c r="B4138" s="1832">
        <f>'Acct Summary 7-8'!E19</f>
        <v>220862</v>
      </c>
      <c r="C4138" s="2" t="s">
        <v>569</v>
      </c>
      <c r="D4138" s="2" t="str">
        <f t="shared" si="63"/>
        <v>Error?</v>
      </c>
    </row>
    <row r="4139" spans="1:4" x14ac:dyDescent="0.2">
      <c r="A4139" s="5">
        <v>4078</v>
      </c>
      <c r="B4139" s="1832">
        <f>'Acct Summary 7-8'!F19</f>
        <v>291628</v>
      </c>
      <c r="C4139" s="2" t="s">
        <v>569</v>
      </c>
      <c r="D4139" s="2" t="str">
        <f t="shared" si="63"/>
        <v>Error?</v>
      </c>
    </row>
    <row r="4140" spans="1:4" x14ac:dyDescent="0.2">
      <c r="A4140" s="5">
        <v>4079</v>
      </c>
      <c r="B4140" s="1832">
        <f>'Acct Summary 7-8'!G19</f>
        <v>84667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1614800</v>
      </c>
      <c r="C4171" s="2" t="s">
        <v>569</v>
      </c>
      <c r="D4171" s="2" t="str">
        <f t="shared" si="64"/>
        <v>Error?</v>
      </c>
    </row>
    <row r="4172" spans="1:4" x14ac:dyDescent="0.2">
      <c r="A4172" s="5">
        <v>4111</v>
      </c>
      <c r="B4172" s="1832">
        <f>'Short-Term Long-Term Debt 24'!J49</f>
        <v>1608129</v>
      </c>
      <c r="C4172" s="2" t="s">
        <v>569</v>
      </c>
      <c r="D4172" s="2" t="str">
        <f t="shared" si="64"/>
        <v>Error?</v>
      </c>
    </row>
    <row r="4173" spans="1:4" x14ac:dyDescent="0.2">
      <c r="A4173" s="5">
        <v>4112</v>
      </c>
      <c r="B4173" s="1832">
        <f>'Short-Term Long-Term Debt 24'!H49</f>
        <v>209400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1990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2360</v>
      </c>
      <c r="C4268" s="2" t="s">
        <v>569</v>
      </c>
      <c r="D4268" s="2" t="str">
        <f t="shared" si="65"/>
        <v>Error?</v>
      </c>
    </row>
    <row r="4269" spans="1:5" x14ac:dyDescent="0.2">
      <c r="A4269" s="12">
        <v>4208</v>
      </c>
      <c r="B4269" s="1832">
        <f>'FP Info 3'!J16</f>
        <v>3145454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42429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24137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3065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22008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22008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52270968</v>
      </c>
      <c r="D4995" s="2" t="str">
        <f t="shared" si="77"/>
        <v>Error?</v>
      </c>
    </row>
    <row r="4996" spans="1:4" x14ac:dyDescent="0.2">
      <c r="A4996" s="12">
        <v>4935</v>
      </c>
      <c r="B4996" s="1832">
        <f>'FP Info 3'!H31</f>
        <v>3606696.7920000004</v>
      </c>
      <c r="D4996" s="2" t="str">
        <f t="shared" si="77"/>
        <v>Error?</v>
      </c>
    </row>
    <row r="4997" spans="1:4" x14ac:dyDescent="0.2">
      <c r="A4997" s="12">
        <v>4936</v>
      </c>
      <c r="B4997" s="1832">
        <f>'FP Info 3'!H37</f>
        <v>1614800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25244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999735</v>
      </c>
      <c r="D5061" s="2" t="str">
        <f t="shared" si="78"/>
        <v>Error?</v>
      </c>
    </row>
    <row r="5062" spans="1:4" x14ac:dyDescent="0.2">
      <c r="A5062" s="10">
        <v>5001</v>
      </c>
      <c r="B5062" s="1832"/>
      <c r="D5062" s="2" t="str">
        <f t="shared" si="78"/>
        <v>OK</v>
      </c>
    </row>
    <row r="5063" spans="1:4" x14ac:dyDescent="0.2">
      <c r="A5063" s="5">
        <v>5002</v>
      </c>
      <c r="B5063" s="1832">
        <f>'Revenues 9-14'!C7</f>
        <v>10098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1035077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111012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111012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10638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10638</v>
      </c>
      <c r="C5090" s="2" t="s">
        <v>569</v>
      </c>
      <c r="D5090" s="2" t="str">
        <f t="shared" si="78"/>
        <v>Error?</v>
      </c>
    </row>
    <row r="5091" spans="1:4" x14ac:dyDescent="0.2">
      <c r="A5091" s="5">
        <v>5030</v>
      </c>
      <c r="B5091" s="1832">
        <f>'Revenues 9-14'!C70</f>
        <v>1732</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1564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29622</v>
      </c>
      <c r="C5096" s="2" t="s">
        <v>569</v>
      </c>
      <c r="D5096" s="2" t="str">
        <f t="shared" si="78"/>
        <v>Error?</v>
      </c>
    </row>
    <row r="5097" spans="1:4" x14ac:dyDescent="0.2">
      <c r="A5097" s="5">
        <v>5036</v>
      </c>
      <c r="B5097" s="1832">
        <f>'Revenues 9-14'!C77</f>
        <v>7225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1205</v>
      </c>
      <c r="D5101" s="2" t="str">
        <f t="shared" si="78"/>
        <v>Error?</v>
      </c>
    </row>
    <row r="5102" spans="1:4" x14ac:dyDescent="0.2">
      <c r="A5102" s="5">
        <v>5041</v>
      </c>
      <c r="B5102" s="1832">
        <f>'Revenues 9-14'!C82</f>
        <v>8430</v>
      </c>
      <c r="C5102" s="2" t="s">
        <v>569</v>
      </c>
      <c r="D5102" s="2" t="str">
        <f t="shared" si="78"/>
        <v>Error?</v>
      </c>
    </row>
    <row r="5103" spans="1:4" x14ac:dyDescent="0.2">
      <c r="A5103" s="5">
        <v>5042</v>
      </c>
      <c r="B5103" s="1832">
        <f>'Revenues 9-14'!C84</f>
        <v>15108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15108</v>
      </c>
      <c r="C5112" s="2" t="s">
        <v>569</v>
      </c>
      <c r="D5112" s="2" t="str">
        <f t="shared" si="78"/>
        <v>Error?</v>
      </c>
    </row>
    <row r="5113" spans="1:4" x14ac:dyDescent="0.2">
      <c r="A5113" s="5">
        <v>5052</v>
      </c>
      <c r="B5113" s="1832">
        <f>'Revenues 9-14'!C95</f>
        <v>12500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12511</v>
      </c>
      <c r="C5120" s="2" t="s">
        <v>569</v>
      </c>
      <c r="D5120" s="2" t="str">
        <f t="shared" si="79"/>
        <v>Error?</v>
      </c>
    </row>
    <row r="5121" spans="1:4" x14ac:dyDescent="0.2">
      <c r="A5121" s="5">
        <v>5060</v>
      </c>
      <c r="B5121" s="1832">
        <f>'Revenues 9-14'!C109</f>
        <v>1222398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1330404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1330404</v>
      </c>
      <c r="C5132" s="2" t="s">
        <v>569</v>
      </c>
      <c r="D5132" s="2" t="str">
        <f t="shared" si="79"/>
        <v>Error?</v>
      </c>
    </row>
    <row r="5133" spans="1:4" x14ac:dyDescent="0.2">
      <c r="A5133" s="5">
        <v>5072</v>
      </c>
      <c r="B5133" s="1832">
        <f>'Revenues 9-14'!C125</f>
        <v>7206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7206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1359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82114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91429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1421833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76408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22979</v>
      </c>
      <c r="D5241" s="2" t="str">
        <f t="shared" si="80"/>
        <v>Error?</v>
      </c>
    </row>
    <row r="5242" spans="1:4" x14ac:dyDescent="0.2">
      <c r="A5242" s="5">
        <v>5181</v>
      </c>
      <c r="B5242" s="1832">
        <f>'Revenues 9-14'!C194</f>
        <v>64112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163499</v>
      </c>
      <c r="C5246" s="2" t="s">
        <v>569</v>
      </c>
      <c r="D5246" s="2" t="str">
        <f t="shared" si="80"/>
        <v>Error?</v>
      </c>
    </row>
    <row r="5247" spans="1:4" x14ac:dyDescent="0.2">
      <c r="A5247" s="5">
        <v>5186</v>
      </c>
      <c r="B5247" s="1832">
        <f>'Revenues 9-14'!C200</f>
        <v>106040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148469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4629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98162</v>
      </c>
      <c r="D5278" s="2" t="str">
        <f t="shared" si="81"/>
        <v>Error?</v>
      </c>
    </row>
    <row r="5279" spans="1:4" x14ac:dyDescent="0.2">
      <c r="A5279" s="5">
        <v>5218</v>
      </c>
      <c r="B5279" s="1832">
        <f>'Revenues 9-14'!C214</f>
        <v>10297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113088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474266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474266</v>
      </c>
      <c r="C5326" s="2" t="s">
        <v>569</v>
      </c>
      <c r="D5326" s="2" t="str">
        <f t="shared" si="82"/>
        <v>Error?</v>
      </c>
    </row>
    <row r="5327" spans="1:5" x14ac:dyDescent="0.2">
      <c r="A5327" s="5">
        <v>5266</v>
      </c>
      <c r="B5327" s="1832">
        <f>'Revenues 9-14'!C268</f>
        <v>3118497</v>
      </c>
      <c r="C5327" s="2" t="s">
        <v>569</v>
      </c>
      <c r="D5327" s="2" t="str">
        <f t="shared" si="82"/>
        <v>Error?</v>
      </c>
    </row>
    <row r="5328" spans="1:5" x14ac:dyDescent="0.2">
      <c r="A5328" s="5">
        <v>5267</v>
      </c>
      <c r="B5328" s="1832">
        <f>'Revenues 9-14'!D5</f>
        <v>126219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126219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817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817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127036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127036</v>
      </c>
      <c r="C5508" s="2" t="s">
        <v>569</v>
      </c>
      <c r="D5508" s="2" t="str">
        <f t="shared" si="85"/>
        <v>Error?</v>
      </c>
    </row>
    <row r="5509" spans="1:4" x14ac:dyDescent="0.2">
      <c r="A5509" s="5">
        <v>5448</v>
      </c>
      <c r="B5509" s="1832">
        <f>'Revenues 9-14'!E5</f>
        <v>223110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223110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858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858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223968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223968</v>
      </c>
      <c r="C5552" s="2" t="s">
        <v>569</v>
      </c>
      <c r="D5552" s="2" t="str">
        <f t="shared" si="85"/>
        <v>Error?</v>
      </c>
    </row>
    <row r="5553" spans="1:4" x14ac:dyDescent="0.2">
      <c r="A5553" s="5">
        <v>5492</v>
      </c>
      <c r="B5553" s="1832">
        <f>'Revenues 9-14'!F5</f>
        <v>60585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60585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310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310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60895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16500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16500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156686</v>
      </c>
      <c r="D5615" s="2" t="str">
        <f t="shared" si="86"/>
        <v>Error?</v>
      </c>
    </row>
    <row r="5616" spans="1:4" x14ac:dyDescent="0.2">
      <c r="A5616" s="10">
        <v>5555</v>
      </c>
      <c r="B5616" s="1832"/>
      <c r="D5616" s="2" t="str">
        <f t="shared" si="86"/>
        <v>OK</v>
      </c>
    </row>
    <row r="5617" spans="1:5" x14ac:dyDescent="0.2">
      <c r="A5617" s="5">
        <v>5556</v>
      </c>
      <c r="B5617" s="1832">
        <f>'Revenues 9-14'!F153</f>
        <v>57922</v>
      </c>
      <c r="D5617" s="2" t="str">
        <f t="shared" si="86"/>
        <v>Error?</v>
      </c>
    </row>
    <row r="5618" spans="1:5" x14ac:dyDescent="0.2">
      <c r="A5618" s="5">
        <v>5557</v>
      </c>
      <c r="B5618" s="1832">
        <f>'Revenues 9-14'!F155</f>
        <v>214608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214608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231108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292003</v>
      </c>
      <c r="C5720" s="2" t="s">
        <v>569</v>
      </c>
      <c r="D5720" s="2" t="str">
        <f t="shared" si="88"/>
        <v>Error?</v>
      </c>
    </row>
    <row r="5721" spans="1:4" x14ac:dyDescent="0.2">
      <c r="A5721" s="5">
        <v>5660</v>
      </c>
      <c r="B5721" s="1832">
        <f>'Revenues 9-14'!G5</f>
        <v>36275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46380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82655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5492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5492</v>
      </c>
      <c r="C5730" s="2" t="s">
        <v>569</v>
      </c>
      <c r="D5730" s="2" t="str">
        <f t="shared" si="88"/>
        <v>Error?</v>
      </c>
    </row>
    <row r="5731" spans="1:4" x14ac:dyDescent="0.2">
      <c r="A5731" s="5">
        <v>5670</v>
      </c>
      <c r="B5731" s="1832">
        <f>'Revenues 9-14'!G65</f>
        <v>998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89145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25244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25244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8698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8698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33942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25244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25244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969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969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76213</v>
      </c>
      <c r="C6023" s="2" t="s">
        <v>569</v>
      </c>
      <c r="D6023" s="2" t="str">
        <f t="shared" si="93"/>
        <v>Error?</v>
      </c>
    </row>
    <row r="6024" spans="1:5" x14ac:dyDescent="0.2">
      <c r="A6024" s="5">
        <v>5963</v>
      </c>
      <c r="B6024" s="1832">
        <f>'Revenues 9-14'!G109</f>
        <v>89145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33942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26213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26326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162821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162821</v>
      </c>
      <c r="D6215" s="2" t="str">
        <f t="shared" si="96"/>
        <v>Error?</v>
      </c>
      <c r="E6215" s="2" t="s">
        <v>189</v>
      </c>
    </row>
    <row r="6216" spans="1:5" x14ac:dyDescent="0.2">
      <c r="A6216">
        <v>6155</v>
      </c>
      <c r="B6216" s="1832">
        <f>'Assets-Liab 5-6'!J41</f>
        <v>162821</v>
      </c>
      <c r="D6216" s="2" t="str">
        <f t="shared" si="96"/>
        <v>Error?</v>
      </c>
      <c r="E6216" s="2" t="s">
        <v>189</v>
      </c>
    </row>
    <row r="6217" spans="1:5" x14ac:dyDescent="0.2">
      <c r="A6217">
        <v>6156</v>
      </c>
      <c r="B6217" s="1832">
        <f>'Assets-Liab 5-6'!J4</f>
        <v>12821</v>
      </c>
      <c r="D6217" s="2" t="str">
        <f t="shared" si="96"/>
        <v>Error?</v>
      </c>
      <c r="E6217" s="2" t="s">
        <v>189</v>
      </c>
    </row>
    <row r="6218" spans="1:5" x14ac:dyDescent="0.2">
      <c r="A6218">
        <v>6157</v>
      </c>
      <c r="B6218" s="1832">
        <f>'Assets-Liab 5-6'!J5</f>
        <v>150000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167204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167204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167204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199028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199028</v>
      </c>
      <c r="D6229" s="2" t="str">
        <f t="shared" si="96"/>
        <v>Error?</v>
      </c>
      <c r="E6229" s="2" t="s">
        <v>189</v>
      </c>
    </row>
    <row r="6230" spans="1:5" x14ac:dyDescent="0.2">
      <c r="A6230">
        <v>6169</v>
      </c>
      <c r="B6230" s="1832">
        <f>'Acct Summary 7-8'!J20</f>
        <v>-31824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30400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-31824</v>
      </c>
      <c r="D6263" s="2" t="str">
        <f t="shared" si="96"/>
        <v>Error?</v>
      </c>
      <c r="E6263" s="2" t="s">
        <v>189</v>
      </c>
    </row>
    <row r="6264" spans="1:5" x14ac:dyDescent="0.2">
      <c r="A6264">
        <v>6203</v>
      </c>
      <c r="B6264" s="1832">
        <f>'Acct Summary 7-8'!J79</f>
        <v>194645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162821</v>
      </c>
      <c r="D6266" s="2" t="str">
        <f t="shared" si="96"/>
        <v>Error?</v>
      </c>
      <c r="E6266" s="2" t="s">
        <v>189</v>
      </c>
    </row>
    <row r="6267" spans="1:5" x14ac:dyDescent="0.2">
      <c r="A6267">
        <v>6206</v>
      </c>
      <c r="B6267" s="1832">
        <f>'Acct Summary 7-8'!C82</f>
        <v>883609</v>
      </c>
      <c r="D6267" s="2" t="str">
        <f t="shared" si="96"/>
        <v>Error?</v>
      </c>
      <c r="E6267" s="2" t="s">
        <v>189</v>
      </c>
    </row>
    <row r="6268" spans="1:5" x14ac:dyDescent="0.2">
      <c r="A6268">
        <v>6207</v>
      </c>
      <c r="B6268" s="1832">
        <f>'Acct Summary 7-8'!D82</f>
        <v>-750</v>
      </c>
      <c r="D6268" s="2" t="str">
        <f t="shared" si="96"/>
        <v>Error?</v>
      </c>
      <c r="E6268" s="2" t="s">
        <v>189</v>
      </c>
    </row>
    <row r="6269" spans="1:5" x14ac:dyDescent="0.2">
      <c r="A6269">
        <v>6208</v>
      </c>
      <c r="B6269" s="1832">
        <f>'Acct Summary 7-8'!E82</f>
        <v>3106</v>
      </c>
      <c r="D6269" s="2" t="str">
        <f t="shared" si="96"/>
        <v>Error?</v>
      </c>
      <c r="E6269" s="2" t="s">
        <v>189</v>
      </c>
    </row>
    <row r="6270" spans="1:5" x14ac:dyDescent="0.2">
      <c r="A6270">
        <v>6209</v>
      </c>
      <c r="B6270" s="1832">
        <f>'Acct Summary 7-8'!F82</f>
        <v>375</v>
      </c>
      <c r="D6270" s="2" t="str">
        <f t="shared" si="96"/>
        <v>Error?</v>
      </c>
      <c r="E6270" s="2" t="s">
        <v>189</v>
      </c>
    </row>
    <row r="6271" spans="1:5" x14ac:dyDescent="0.2">
      <c r="A6271">
        <v>6210</v>
      </c>
      <c r="B6271" s="1832">
        <f>'Acct Summary 7-8'!G82</f>
        <v>4478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637280</v>
      </c>
      <c r="D6273" s="2" t="str">
        <f t="shared" si="97"/>
        <v>Error?</v>
      </c>
      <c r="E6273" s="2" t="s">
        <v>189</v>
      </c>
    </row>
    <row r="6274" spans="1:5" x14ac:dyDescent="0.2">
      <c r="A6274">
        <v>6213</v>
      </c>
      <c r="B6274" s="1832">
        <f>'Acct Summary 7-8'!J82</f>
        <v>-31824</v>
      </c>
      <c r="D6274" s="2" t="str">
        <f t="shared" si="97"/>
        <v>Error?</v>
      </c>
      <c r="E6274" s="2" t="s">
        <v>189</v>
      </c>
    </row>
    <row r="6275" spans="1:5" x14ac:dyDescent="0.2">
      <c r="A6275">
        <v>6214</v>
      </c>
      <c r="B6275" s="1832">
        <f>'Acct Summary 7-8'!K82</f>
        <v>76213</v>
      </c>
      <c r="D6275" s="2" t="str">
        <f t="shared" si="97"/>
        <v>Error?</v>
      </c>
      <c r="E6275" s="2" t="s">
        <v>189</v>
      </c>
    </row>
    <row r="6276" spans="1:5" x14ac:dyDescent="0.2">
      <c r="A6276">
        <v>6215</v>
      </c>
      <c r="B6276" s="1832">
        <f>'Acct Summary 7-8'!C83</f>
        <v>0.56464355162033031</v>
      </c>
      <c r="D6276" s="2" t="str">
        <f t="shared" si="97"/>
        <v>Error?</v>
      </c>
      <c r="E6276" s="2" t="s">
        <v>189</v>
      </c>
    </row>
    <row r="6277" spans="1:5" x14ac:dyDescent="0.2">
      <c r="A6277">
        <v>6216</v>
      </c>
      <c r="B6277" s="1832">
        <f>'Acct Summary 7-8'!D83</f>
        <v>-1.1040452216922805E-2</v>
      </c>
      <c r="D6277" s="2" t="str">
        <f t="shared" si="97"/>
        <v>Error?</v>
      </c>
      <c r="E6277" s="2" t="s">
        <v>189</v>
      </c>
    </row>
    <row r="6278" spans="1:5" x14ac:dyDescent="0.2">
      <c r="A6278">
        <v>6217</v>
      </c>
      <c r="B6278" s="1832">
        <f>'Acct Summary 7-8'!E83</f>
        <v>0.4655973617148853</v>
      </c>
      <c r="D6278" s="2" t="str">
        <f t="shared" si="97"/>
        <v>Error?</v>
      </c>
      <c r="E6278" s="2" t="s">
        <v>189</v>
      </c>
    </row>
    <row r="6279" spans="1:5" x14ac:dyDescent="0.2">
      <c r="A6279">
        <v>6218</v>
      </c>
      <c r="B6279" s="1832">
        <f>'Acct Summary 7-8'!F83</f>
        <v>1</v>
      </c>
      <c r="D6279" s="2" t="str">
        <f t="shared" si="97"/>
        <v>Error?</v>
      </c>
      <c r="E6279" s="2" t="s">
        <v>189</v>
      </c>
    </row>
    <row r="6280" spans="1:5" x14ac:dyDescent="0.2">
      <c r="A6280">
        <v>6219</v>
      </c>
      <c r="B6280" s="1832">
        <f>'Acct Summary 7-8'!G83</f>
        <v>4.8868857289404474E-2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0.42141180360390146</v>
      </c>
      <c r="D6282" s="2" t="str">
        <f t="shared" si="97"/>
        <v>Error?</v>
      </c>
      <c r="E6282" s="2" t="s">
        <v>189</v>
      </c>
    </row>
    <row r="6283" spans="1:5" x14ac:dyDescent="0.2">
      <c r="A6283">
        <v>6222</v>
      </c>
      <c r="B6283" s="1832">
        <f>'Acct Summary 7-8'!J83</f>
        <v>-0.19545390336627338</v>
      </c>
      <c r="D6283" s="2" t="str">
        <f t="shared" si="97"/>
        <v>Error?</v>
      </c>
      <c r="E6283" s="2" t="s">
        <v>189</v>
      </c>
    </row>
    <row r="6284" spans="1:5" x14ac:dyDescent="0.2">
      <c r="A6284">
        <v>6223</v>
      </c>
      <c r="B6284" s="1832">
        <f>'Acct Summary 7-8'!K83</f>
        <v>0.43711142719493451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162961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162961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1691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1691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2552</v>
      </c>
      <c r="D6350" s="2" t="str">
        <f t="shared" si="98"/>
        <v>Error?</v>
      </c>
      <c r="E6350" s="2" t="s">
        <v>189</v>
      </c>
    </row>
    <row r="6351" spans="1:5" x14ac:dyDescent="0.2">
      <c r="A6351">
        <v>6290</v>
      </c>
      <c r="B6351" s="1832">
        <f>'Revenues 9-14'!J108</f>
        <v>2552</v>
      </c>
      <c r="D6351" s="2" t="str">
        <f t="shared" si="98"/>
        <v>Error?</v>
      </c>
      <c r="E6351" s="2" t="s">
        <v>189</v>
      </c>
    </row>
    <row r="6352" spans="1:5" x14ac:dyDescent="0.2">
      <c r="A6352">
        <v>6291</v>
      </c>
      <c r="B6352" s="1832">
        <f>'Revenues 9-14'!J109</f>
        <v>167204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45540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76354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199028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167204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v>
      </c>
      <c r="D7073" s="2" t="str">
        <f t="shared" si="109"/>
        <v>Error?</v>
      </c>
    </row>
    <row r="7074" spans="1:4" x14ac:dyDescent="0.2">
      <c r="A7074">
        <v>7013</v>
      </c>
      <c r="B7074" s="1832">
        <f>'Expenditures 15-22'!K216</f>
        <v>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7715</v>
      </c>
      <c r="D7089" s="2" t="str">
        <f t="shared" si="109"/>
        <v>Error?</v>
      </c>
    </row>
    <row r="7090" spans="1:4" x14ac:dyDescent="0.2">
      <c r="A7090">
        <v>7029</v>
      </c>
      <c r="B7090" s="1832">
        <f>'Expenditures 15-22'!K252</f>
        <v>7715</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8135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8135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31657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31657</v>
      </c>
      <c r="D7153" s="2" t="str">
        <f t="shared" si="110"/>
        <v>Error?</v>
      </c>
    </row>
    <row r="7154" spans="1:4" x14ac:dyDescent="0.2">
      <c r="A7154">
        <v>7093</v>
      </c>
      <c r="B7154" s="1832">
        <f>'Expenditures 15-22'!C323</f>
        <v>83092</v>
      </c>
      <c r="D7154" s="2" t="str">
        <f t="shared" si="110"/>
        <v>Error?</v>
      </c>
    </row>
    <row r="7155" spans="1:4" x14ac:dyDescent="0.2">
      <c r="A7155">
        <v>7094</v>
      </c>
      <c r="B7155" s="1832">
        <f>'Expenditures 15-22'!D323</f>
        <v>23791</v>
      </c>
      <c r="D7155" s="2" t="str">
        <f t="shared" si="110"/>
        <v>Error?</v>
      </c>
    </row>
    <row r="7156" spans="1:4" x14ac:dyDescent="0.2">
      <c r="A7156">
        <v>7095</v>
      </c>
      <c r="B7156" s="1832">
        <f>'Expenditures 15-22'!E323</f>
        <v>6186</v>
      </c>
      <c r="D7156" s="2" t="str">
        <f t="shared" si="110"/>
        <v>Error?</v>
      </c>
    </row>
    <row r="7157" spans="1:4" x14ac:dyDescent="0.2">
      <c r="A7157">
        <v>7096</v>
      </c>
      <c r="B7157" s="1832">
        <f>'Expenditures 15-22'!F323</f>
        <v>368</v>
      </c>
      <c r="D7157" s="2" t="str">
        <f t="shared" si="110"/>
        <v>Error?</v>
      </c>
    </row>
    <row r="7158" spans="1:4" x14ac:dyDescent="0.2">
      <c r="A7158">
        <v>7097</v>
      </c>
      <c r="B7158" s="1832">
        <f>'Expenditures 15-22'!G323</f>
        <v>30600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144037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6833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6833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8366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8366</v>
      </c>
      <c r="D7198" s="2" t="str">
        <f t="shared" si="111"/>
        <v>Error?</v>
      </c>
    </row>
    <row r="7199" spans="1:4" x14ac:dyDescent="0.2">
      <c r="A7199">
        <v>7138</v>
      </c>
      <c r="B7199" s="1832">
        <f>'Expenditures 15-22'!C330</f>
        <v>83092</v>
      </c>
      <c r="D7199" s="2" t="str">
        <f t="shared" si="111"/>
        <v>Error?</v>
      </c>
    </row>
    <row r="7200" spans="1:4" x14ac:dyDescent="0.2">
      <c r="A7200">
        <v>7139</v>
      </c>
      <c r="B7200" s="1832">
        <f>'Expenditures 15-22'!D330</f>
        <v>23791</v>
      </c>
      <c r="D7200" s="2" t="str">
        <f t="shared" si="111"/>
        <v>Error?</v>
      </c>
    </row>
    <row r="7201" spans="1:4" x14ac:dyDescent="0.2">
      <c r="A7201">
        <v>7140</v>
      </c>
      <c r="B7201" s="1832">
        <f>'Expenditures 15-22'!E330</f>
        <v>61177</v>
      </c>
      <c r="D7201" s="2" t="str">
        <f t="shared" si="111"/>
        <v>Error?</v>
      </c>
    </row>
    <row r="7202" spans="1:4" x14ac:dyDescent="0.2">
      <c r="A7202">
        <v>7141</v>
      </c>
      <c r="B7202" s="1832">
        <f>'Expenditures 15-22'!F330</f>
        <v>368</v>
      </c>
      <c r="D7202" s="2" t="str">
        <f t="shared" si="111"/>
        <v>Error?</v>
      </c>
    </row>
    <row r="7203" spans="1:4" x14ac:dyDescent="0.2">
      <c r="A7203">
        <v>7142</v>
      </c>
      <c r="B7203" s="1832">
        <f>'Expenditures 15-22'!G330</f>
        <v>30600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199028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83092</v>
      </c>
      <c r="D7216" s="2" t="str">
        <f t="shared" si="111"/>
        <v>Error?</v>
      </c>
    </row>
    <row r="7217" spans="1:4" x14ac:dyDescent="0.2">
      <c r="A7217">
        <v>7156</v>
      </c>
      <c r="B7217" s="1832">
        <f>'Expenditures 15-22'!D342</f>
        <v>23791</v>
      </c>
      <c r="D7217" s="2" t="str">
        <f t="shared" si="111"/>
        <v>Error?</v>
      </c>
    </row>
    <row r="7218" spans="1:4" x14ac:dyDescent="0.2">
      <c r="A7218">
        <v>7157</v>
      </c>
      <c r="B7218" s="1832">
        <f>'Expenditures 15-22'!E342</f>
        <v>61177</v>
      </c>
      <c r="D7218" s="2" t="str">
        <f t="shared" si="111"/>
        <v>Error?</v>
      </c>
    </row>
    <row r="7219" spans="1:4" x14ac:dyDescent="0.2">
      <c r="A7219">
        <v>7158</v>
      </c>
      <c r="B7219" s="1832">
        <f>'Expenditures 15-22'!F342</f>
        <v>368</v>
      </c>
      <c r="D7219" s="2" t="str">
        <f t="shared" si="111"/>
        <v>Error?</v>
      </c>
    </row>
    <row r="7220" spans="1:4" x14ac:dyDescent="0.2">
      <c r="A7220">
        <v>7159</v>
      </c>
      <c r="B7220" s="1832">
        <f>'Expenditures 15-22'!G342</f>
        <v>30600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199028</v>
      </c>
      <c r="D7224" s="2" t="str">
        <f t="shared" si="111"/>
        <v>Error?</v>
      </c>
    </row>
    <row r="7225" spans="1:4" x14ac:dyDescent="0.2">
      <c r="A7225">
        <v>7164</v>
      </c>
      <c r="B7225" s="1832">
        <f>'Expenditures 15-22'!K343</f>
        <v>-31824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14028</v>
      </c>
      <c r="D7246" s="2" t="str">
        <f t="shared" si="112"/>
        <v>Error?</v>
      </c>
    </row>
    <row r="7247" spans="1:4" x14ac:dyDescent="0.2">
      <c r="A7247">
        <f t="shared" si="113"/>
        <v>7186</v>
      </c>
      <c r="B7247" s="1832">
        <f>'Expenditures 15-22'!E7</f>
        <v>462</v>
      </c>
      <c r="D7247" s="2" t="str">
        <f t="shared" si="112"/>
        <v>Error?</v>
      </c>
    </row>
    <row r="7248" spans="1:4" x14ac:dyDescent="0.2">
      <c r="A7248">
        <f t="shared" si="113"/>
        <v>7187</v>
      </c>
      <c r="B7248" s="1832">
        <f>'Expenditures 15-22'!F7</f>
        <v>15427</v>
      </c>
      <c r="D7248" s="2" t="str">
        <f t="shared" si="112"/>
        <v>Error?</v>
      </c>
    </row>
    <row r="7249" spans="1:4" x14ac:dyDescent="0.2">
      <c r="A7249">
        <f t="shared" si="113"/>
        <v>7188</v>
      </c>
      <c r="B7249" s="1832">
        <f>'Expenditures 15-22'!G7</f>
        <v>897</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77456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10098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800000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2089000</v>
      </c>
      <c r="D7817" s="2" t="str">
        <f t="shared" si="128"/>
        <v>Error?</v>
      </c>
      <c r="E7817" s="4" t="s">
        <v>1966</v>
      </c>
    </row>
    <row r="7818" spans="1:5" x14ac:dyDescent="0.2">
      <c r="A7818">
        <v>7757</v>
      </c>
      <c r="B7818" s="1832">
        <f>'PCTC-OEPP 27-28'!F172</f>
        <v>127311</v>
      </c>
      <c r="D7818" s="2" t="str">
        <f t="shared" si="128"/>
        <v>Error?</v>
      </c>
      <c r="E7818" s="4" t="s">
        <v>1980</v>
      </c>
    </row>
    <row r="7819" spans="1:5" x14ac:dyDescent="0.2">
      <c r="A7819">
        <v>7758</v>
      </c>
      <c r="B7819" s="1832">
        <f>'PCTC-OEPP 27-28'!F173</f>
        <v>70</v>
      </c>
      <c r="D7819" s="2" t="str">
        <f t="shared" si="128"/>
        <v>Error?</v>
      </c>
      <c r="E7819" s="4" t="s">
        <v>1980</v>
      </c>
    </row>
    <row r="7820" spans="1:5" x14ac:dyDescent="0.2">
      <c r="A7820">
        <v>7759</v>
      </c>
      <c r="B7820" s="1832">
        <f>'ICR Computation 30'!E40</f>
        <v>-204732</v>
      </c>
      <c r="D7820" s="2" t="str">
        <f t="shared" si="128"/>
        <v>Error?</v>
      </c>
    </row>
    <row r="7821" spans="1:5" x14ac:dyDescent="0.2">
      <c r="A7821">
        <v>7760</v>
      </c>
      <c r="B7821" s="1832">
        <f>'ICR Computation 30'!G40</f>
        <v>-204732</v>
      </c>
      <c r="D7821" s="2" t="str">
        <f t="shared" si="128"/>
        <v>Error?</v>
      </c>
    </row>
    <row r="7822" spans="1:5" x14ac:dyDescent="0.2">
      <c r="A7822" s="1">
        <v>7761</v>
      </c>
      <c r="B7822" s="1832">
        <f>'PCTC-OEPP 27-28'!F14</f>
        <v>3958859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75457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882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600907</v>
      </c>
      <c r="D7834" s="2" t="str">
        <f t="shared" si="129"/>
        <v>Error?</v>
      </c>
      <c r="E7834" s="4" t="s">
        <v>1998</v>
      </c>
    </row>
    <row r="7835" spans="1:5" x14ac:dyDescent="0.2">
      <c r="A7835">
        <v>7774</v>
      </c>
      <c r="B7835" s="1832">
        <f>'PCTC-OEPP 27-28'!F78</f>
        <v>3357952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11155.986710963454</v>
      </c>
      <c r="D7837" s="2" t="str">
        <f t="shared" si="129"/>
        <v>Error?</v>
      </c>
      <c r="E7837" s="4" t="s">
        <v>1998</v>
      </c>
    </row>
    <row r="7838" spans="1:5" x14ac:dyDescent="0.2">
      <c r="A7838">
        <v>7777</v>
      </c>
      <c r="B7838" s="1832">
        <f>'PCTC-OEPP 27-28'!F96</f>
        <v>8430</v>
      </c>
      <c r="D7838" s="2" t="str">
        <f t="shared" si="129"/>
        <v>Error?</v>
      </c>
      <c r="E7838" s="4" t="s">
        <v>1998</v>
      </c>
    </row>
    <row r="7839" spans="1:5" x14ac:dyDescent="0.2">
      <c r="A7839">
        <v>7778</v>
      </c>
      <c r="B7839" s="1832">
        <f>'PCTC-OEPP 27-28'!F102</f>
        <v>12500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7206</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214608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22008</v>
      </c>
      <c r="D7857" s="2" t="str">
        <f t="shared" si="129"/>
        <v>Error?</v>
      </c>
      <c r="E7857" s="4" t="s">
        <v>1998</v>
      </c>
    </row>
    <row r="7858" spans="1:5" x14ac:dyDescent="0.2">
      <c r="A7858">
        <v>7797</v>
      </c>
      <c r="B7858" s="1832">
        <f>'PCTC-OEPP 27-28'!F126</f>
        <v>163499</v>
      </c>
      <c r="D7858" s="2" t="str">
        <f t="shared" si="129"/>
        <v>Error?</v>
      </c>
      <c r="E7858" s="4" t="s">
        <v>1998</v>
      </c>
    </row>
    <row r="7859" spans="1:5" x14ac:dyDescent="0.2">
      <c r="A7859">
        <v>7798</v>
      </c>
      <c r="B7859" s="1832">
        <f>'PCTC-OEPP 27-28'!F127</f>
        <v>148469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98162</v>
      </c>
      <c r="D7861" s="2" t="str">
        <f t="shared" si="129"/>
        <v>Error?</v>
      </c>
      <c r="E7861" s="4" t="s">
        <v>1998</v>
      </c>
    </row>
    <row r="7862" spans="1:5" x14ac:dyDescent="0.2">
      <c r="A7862">
        <v>7801</v>
      </c>
      <c r="B7862" s="1832">
        <f>'PCTC-OEPP 27-28'!F130</f>
        <v>10297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24137</v>
      </c>
      <c r="D7874" s="2" t="str">
        <f t="shared" si="129"/>
        <v>Error?</v>
      </c>
      <c r="E7874" s="4" t="s">
        <v>1998</v>
      </c>
    </row>
    <row r="7875" spans="1:5" x14ac:dyDescent="0.2">
      <c r="A7875">
        <v>7814</v>
      </c>
      <c r="B7875" s="1832">
        <f>'PCTC-OEPP 27-28'!F170</f>
        <v>3065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886601</v>
      </c>
      <c r="D7877" s="2" t="str">
        <f t="shared" si="129"/>
        <v>Error?</v>
      </c>
      <c r="E7877" s="4" t="s">
        <v>1998</v>
      </c>
    </row>
    <row r="7878" spans="1:5" x14ac:dyDescent="0.2">
      <c r="A7878">
        <v>7817</v>
      </c>
      <c r="B7878" s="1832">
        <f>'PCTC-OEPP 27-28'!F176</f>
        <v>2471351</v>
      </c>
      <c r="D7878" s="2" t="str">
        <f t="shared" si="129"/>
        <v>Error?</v>
      </c>
      <c r="E7878" s="4" t="s">
        <v>1998</v>
      </c>
    </row>
    <row r="7879" spans="1:5" x14ac:dyDescent="0.2">
      <c r="A7879">
        <v>7818</v>
      </c>
      <c r="B7879" s="1832">
        <f>'PCTC-OEPP 27-28'!F178</f>
        <v>2548807</v>
      </c>
      <c r="D7879" s="2" t="str">
        <f t="shared" si="129"/>
        <v>Error?</v>
      </c>
      <c r="E7879" s="4" t="s">
        <v>1998</v>
      </c>
    </row>
    <row r="7880" spans="1:5" x14ac:dyDescent="0.2">
      <c r="A7880">
        <v>7819</v>
      </c>
      <c r="B7880" s="1832">
        <f>'PCTC-OEPP 27-28'!F180</f>
        <v>8467.7973421926908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30600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St Anne CCSD 256</v>
      </c>
      <c r="B7" s="2535"/>
      <c r="C7" s="2535"/>
      <c r="D7" s="2536"/>
      <c r="E7" s="2537">
        <f>COVER!A13</f>
        <v>32046256004</v>
      </c>
      <c r="F7" s="2538"/>
      <c r="G7" s="2544" t="str">
        <f>COVER!T23</f>
        <v>065-018319</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Russell Leigh &amp; Associates LLC</v>
      </c>
      <c r="H9" s="2550"/>
      <c r="I9" s="2550"/>
      <c r="J9" s="2550"/>
      <c r="K9" s="2550"/>
      <c r="L9" s="2551"/>
    </row>
    <row r="10" spans="1:29" ht="13.5" customHeight="1" x14ac:dyDescent="0.2">
      <c r="A10" s="2523" t="str">
        <f>COVER!A38</f>
        <v>Charles Stegall</v>
      </c>
      <c r="B10" s="2524"/>
      <c r="C10" s="2524"/>
      <c r="D10" s="2524"/>
      <c r="E10" s="2524"/>
      <c r="F10" s="2525"/>
      <c r="G10" s="2517" t="str">
        <f>COVER!T17</f>
        <v>228 E Main</v>
      </c>
      <c r="H10" s="2518"/>
      <c r="I10" s="2518"/>
      <c r="J10" s="2518"/>
      <c r="K10" s="2518"/>
      <c r="L10" s="2519"/>
    </row>
    <row r="11" spans="1:29" ht="13.5" customHeight="1" x14ac:dyDescent="0.2">
      <c r="A11" s="963" t="s">
        <v>1502</v>
      </c>
      <c r="B11" s="964"/>
      <c r="C11" s="965"/>
      <c r="D11" s="970"/>
      <c r="E11" s="965"/>
      <c r="F11" s="969"/>
      <c r="G11" s="2517" t="str">
        <f>COVER!T19</f>
        <v>Hoopestonj</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admin@russleigh.com</v>
      </c>
      <c r="J13" s="2530"/>
      <c r="K13" s="2530"/>
      <c r="L13" s="2531"/>
    </row>
    <row r="14" spans="1:29" ht="13.5" customHeight="1" x14ac:dyDescent="0.2">
      <c r="A14" s="2517" t="str">
        <f>COVER!A19</f>
        <v>333 St Louis Ave</v>
      </c>
      <c r="B14" s="2518"/>
      <c r="C14" s="2518"/>
      <c r="D14" s="2518"/>
      <c r="E14" s="2518"/>
      <c r="F14" s="2519"/>
      <c r="G14" s="974" t="s">
        <v>1175</v>
      </c>
      <c r="H14" s="972"/>
      <c r="I14" s="972"/>
      <c r="J14" s="972"/>
      <c r="K14" s="972"/>
      <c r="L14" s="973"/>
    </row>
    <row r="15" spans="1:29" ht="13.5" customHeight="1" x14ac:dyDescent="0.2">
      <c r="A15" s="2517" t="str">
        <f>COVER!A21</f>
        <v xml:space="preserve">St Anne  </v>
      </c>
      <c r="B15" s="2518"/>
      <c r="C15" s="2518"/>
      <c r="D15" s="2518"/>
      <c r="E15" s="2518"/>
      <c r="F15" s="2519"/>
      <c r="G15" s="2514" t="str">
        <f>COVER!T15</f>
        <v>Russ Leigh</v>
      </c>
      <c r="H15" s="2515"/>
      <c r="I15" s="2515"/>
      <c r="J15" s="2515"/>
      <c r="K15" s="2515"/>
      <c r="L15" s="2516"/>
    </row>
    <row r="16" spans="1:29" ht="12.2" customHeight="1" x14ac:dyDescent="0.2">
      <c r="A16" s="2540">
        <f>COVER!A25</f>
        <v>60964</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217-283-9336</v>
      </c>
      <c r="H18" s="2535"/>
      <c r="I18" s="2535"/>
      <c r="J18" s="2535"/>
      <c r="K18" s="2534" t="str">
        <f>COVER!X21</f>
        <v>217-283-9736</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St Anne CCSD 256</v>
      </c>
      <c r="B1" s="2557"/>
      <c r="C1" s="2557"/>
      <c r="D1" s="2557"/>
    </row>
    <row r="2" spans="1:11" s="991" customFormat="1" ht="12.75" x14ac:dyDescent="0.2">
      <c r="A2" s="2558">
        <f>'Single Audit Cover'!E7</f>
        <v>32046256004</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St Anne CCSD 256</v>
      </c>
      <c r="B1" s="2561"/>
      <c r="C1" s="2561"/>
      <c r="D1" s="2561"/>
      <c r="E1" s="2561"/>
    </row>
    <row r="2" spans="1:5" x14ac:dyDescent="0.2">
      <c r="A2" s="2562">
        <f>'Single Audit Cover'!E7</f>
        <v>32046256004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474266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-3065</v>
      </c>
    </row>
    <row r="19" spans="1:4" ht="13.5" thickBot="1" x14ac:dyDescent="0.25">
      <c r="A19" s="1041" t="s">
        <v>1224</v>
      </c>
      <c r="D19" s="1042">
        <f>SUM(D10:D17)</f>
        <v>471201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471201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471201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St Anne CCSD 256</v>
      </c>
      <c r="C1" s="2565"/>
      <c r="D1" s="2565"/>
      <c r="E1" s="2565"/>
      <c r="F1" s="2565"/>
      <c r="G1" s="2565"/>
      <c r="H1" s="2565"/>
      <c r="I1" s="2565"/>
      <c r="J1" s="2565"/>
      <c r="K1" s="2565"/>
      <c r="L1" s="2565"/>
      <c r="M1" s="2565"/>
    </row>
    <row r="2" spans="2:14" ht="15" x14ac:dyDescent="0.2">
      <c r="B2" s="2566">
        <f>'Single Audit Cover'!E7</f>
        <v>32046256004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St Anne CCSD 256</v>
      </c>
      <c r="B1" s="2578"/>
      <c r="C1" s="2578"/>
      <c r="D1" s="2578"/>
      <c r="E1" s="2578"/>
      <c r="F1" s="2578"/>
    </row>
    <row r="2" spans="1:7" ht="13.5" customHeight="1" x14ac:dyDescent="0.2">
      <c r="A2" s="2566">
        <f>'Single Audit Cover'!E7</f>
        <v>32046256004</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1709</v>
      </c>
      <c r="B32" s="2571"/>
      <c r="C32" s="2571"/>
      <c r="D32" s="2571"/>
      <c r="E32" s="2571"/>
      <c r="F32" s="257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2">
        <f>+C33+C34</f>
        <v>0</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2057</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2057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St Anne CCSD 256</v>
      </c>
      <c r="C1" s="2593"/>
      <c r="D1" s="2593"/>
      <c r="E1" s="2593"/>
      <c r="F1" s="2593"/>
      <c r="G1" s="2593"/>
      <c r="H1" s="2593"/>
      <c r="I1" s="2593"/>
      <c r="J1" s="1178"/>
    </row>
    <row r="2" spans="2:10" s="295" customFormat="1" ht="12.75" customHeight="1" x14ac:dyDescent="0.2">
      <c r="B2" s="2594">
        <f>'Single Audit Cover'!E7</f>
        <v>32046256004</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1576</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7"/>
      <c r="F49" s="2587"/>
      <c r="G49" s="258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St Anne CCSD 256</v>
      </c>
      <c r="C1" s="2592"/>
      <c r="D1" s="2592"/>
      <c r="E1" s="2592"/>
      <c r="F1" s="2592"/>
      <c r="G1" s="2592"/>
      <c r="H1" s="2592"/>
      <c r="I1" s="2592"/>
      <c r="J1" s="2592"/>
      <c r="K1" s="2592"/>
      <c r="L1" s="1144"/>
      <c r="M1" s="1144"/>
    </row>
    <row r="2" spans="1:13" ht="12" customHeight="1" x14ac:dyDescent="0.2">
      <c r="B2" s="2594">
        <f>'Single Audit Cover'!E7</f>
        <v>32046256004</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St Anne CCSD 256</v>
      </c>
      <c r="C1" s="2615"/>
      <c r="D1" s="2615"/>
      <c r="E1" s="2615"/>
      <c r="F1" s="2615"/>
      <c r="G1" s="2615"/>
      <c r="H1" s="2615"/>
      <c r="I1" s="2615"/>
      <c r="J1" s="2615"/>
      <c r="K1" s="2615"/>
      <c r="L1" s="1221"/>
    </row>
    <row r="2" spans="1:12" ht="12.75" customHeight="1" x14ac:dyDescent="0.2">
      <c r="B2" s="2616">
        <f>'Single Audit Cover'!E7</f>
        <v>32046256004</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St Anne CCSD 256</v>
      </c>
      <c r="C1" s="2592"/>
      <c r="D1" s="2592"/>
      <c r="E1" s="1240"/>
    </row>
    <row r="2" spans="2:5" s="1058" customFormat="1" ht="12.75" customHeight="1" x14ac:dyDescent="0.2">
      <c r="B2" s="2594">
        <f>'Single Audit Cover'!E7</f>
        <v>32046256004</v>
      </c>
      <c r="C2" s="2594"/>
      <c r="D2" s="2594"/>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B1" colorId="8" zoomScale="110" zoomScaleNormal="110" workbookViewId="0">
      <selection activeCell="D50" sqref="D5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52270968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1.9900000000000001E-2</v>
      </c>
      <c r="E10" s="333" t="s">
        <v>998</v>
      </c>
      <c r="F10" s="332">
        <v>2.5000000000000001E-3</v>
      </c>
      <c r="G10" s="333" t="s">
        <v>998</v>
      </c>
      <c r="H10" s="332">
        <v>1.1999999999999999E-3</v>
      </c>
      <c r="I10" s="333" t="s">
        <v>999</v>
      </c>
      <c r="J10" s="1424">
        <f>ROUND(D10+F10+H10,5)</f>
        <v>2.3599999999999999E-2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3571478</v>
      </c>
      <c r="E16" s="1547"/>
      <c r="F16" s="1546">
        <f>SUM('Acct Summary 7-8'!C17,'Acct Summary 7-8'!D17,'Acct Summary 7-8'!F17)</f>
        <v>3454302</v>
      </c>
      <c r="G16" s="1547"/>
      <c r="H16" s="1546">
        <f>SUM(D16-F16)</f>
        <v>117176</v>
      </c>
      <c r="I16" s="1548"/>
      <c r="J16" s="1546">
        <f>SUM('Acct Summary 7-8'!C81,'Acct Summary 7-8'!D81,'Acct Summary 7-8'!F81,'Acct Summary 7-8'!I81)</f>
        <v>3145454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2066</v>
      </c>
      <c r="C31" s="344" t="s">
        <v>582</v>
      </c>
      <c r="D31" s="232" t="s">
        <v>1063</v>
      </c>
      <c r="E31" s="217"/>
      <c r="F31" s="217"/>
      <c r="G31" s="340"/>
      <c r="H31" s="1425">
        <f>IF(B31="X",(J7*0.069),IF(B32="X",(J7*0.138),"Enter x in a.or b."))</f>
        <v>3606696.7920000004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1614800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 Anne CCSD 256</v>
      </c>
      <c r="E7" s="368"/>
      <c r="G7" s="247"/>
      <c r="H7" s="364"/>
      <c r="I7" s="364"/>
      <c r="J7" s="364"/>
      <c r="K7" s="364"/>
      <c r="L7" s="307"/>
      <c r="M7" s="307"/>
      <c r="N7" s="307"/>
      <c r="O7" s="307"/>
      <c r="P7" s="307"/>
    </row>
    <row r="8" spans="1:18" ht="12.75" x14ac:dyDescent="0.2">
      <c r="A8" s="307"/>
      <c r="B8" s="307"/>
      <c r="C8" s="366" t="s">
        <v>1115</v>
      </c>
      <c r="D8" s="369">
        <f>COVER!A13</f>
        <v>32046256004</v>
      </c>
      <c r="E8" s="370"/>
      <c r="G8" s="307"/>
      <c r="H8" s="307"/>
      <c r="I8" s="307"/>
      <c r="J8" s="307"/>
      <c r="K8" s="307"/>
      <c r="L8" s="307"/>
      <c r="M8" s="307"/>
      <c r="N8" s="307"/>
      <c r="O8" s="307"/>
      <c r="P8" s="307"/>
    </row>
    <row r="9" spans="1:18" ht="12.75" x14ac:dyDescent="0.2">
      <c r="A9" s="307"/>
      <c r="B9" s="307"/>
      <c r="C9" s="366" t="s">
        <v>708</v>
      </c>
      <c r="D9" s="371" t="str">
        <f>COVER!A15</f>
        <v xml:space="preserve">Kankakee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3145454</v>
      </c>
      <c r="I12" s="380"/>
      <c r="J12" s="380"/>
      <c r="K12" s="1559">
        <f>TRUNC((H12/H13*100000),5)/100000</f>
        <v>0.88071493090000008</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3571478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3454302</v>
      </c>
      <c r="I17" s="380"/>
      <c r="J17" s="389"/>
      <c r="K17" s="1559">
        <f>TRUNC((H17/H18*100000),5)/100000</f>
        <v>0.96719117399999999</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3571478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3145454</v>
      </c>
      <c r="I24" s="394"/>
      <c r="J24" s="394"/>
      <c r="K24" s="1555">
        <f>TRUNC(((H24/H25*100000)/100000),2)</f>
        <v>327.81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9595.2833300000002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1048555.61808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1614800</v>
      </c>
      <c r="I32" s="392"/>
      <c r="J32" s="392"/>
      <c r="K32" s="1555">
        <f>TRUNC(100-((((H32/H33*100))*100)/100),2)</f>
        <v>55.22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3606696.7920000004</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366897</v>
      </c>
      <c r="D4" s="1573">
        <v>17932</v>
      </c>
      <c r="E4" s="1573">
        <v>6671</v>
      </c>
      <c r="F4" s="1573">
        <v>375</v>
      </c>
      <c r="G4" s="1573">
        <v>11633</v>
      </c>
      <c r="H4" s="1573"/>
      <c r="I4" s="1573">
        <v>12250</v>
      </c>
      <c r="J4" s="1574">
        <v>12821</v>
      </c>
      <c r="K4" s="1573">
        <v>54356</v>
      </c>
      <c r="L4" s="1573">
        <v>10688</v>
      </c>
      <c r="M4" s="1575"/>
      <c r="N4" s="1576"/>
    </row>
    <row r="5" spans="1:14" x14ac:dyDescent="0.2">
      <c r="A5" s="427" t="s">
        <v>985</v>
      </c>
      <c r="B5" s="429">
        <v>120</v>
      </c>
      <c r="C5" s="1572">
        <v>1198000</v>
      </c>
      <c r="D5" s="1573">
        <v>50000</v>
      </c>
      <c r="E5" s="1573"/>
      <c r="F5" s="1573"/>
      <c r="G5" s="1573">
        <v>80000</v>
      </c>
      <c r="H5" s="1573"/>
      <c r="I5" s="1573">
        <v>1500000</v>
      </c>
      <c r="J5" s="1574">
        <v>150000</v>
      </c>
      <c r="K5" s="1577">
        <v>120000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1564897</v>
      </c>
      <c r="D13" s="1587">
        <f t="shared" ref="D13:L13" si="0">SUM(D4:D12)</f>
        <v>67932</v>
      </c>
      <c r="E13" s="1587">
        <f t="shared" si="0"/>
        <v>6671</v>
      </c>
      <c r="F13" s="1587">
        <f t="shared" si="0"/>
        <v>375</v>
      </c>
      <c r="G13" s="1587">
        <f t="shared" si="0"/>
        <v>91633</v>
      </c>
      <c r="H13" s="1587">
        <f t="shared" si="0"/>
        <v>0</v>
      </c>
      <c r="I13" s="1587">
        <f t="shared" si="0"/>
        <v>1512250</v>
      </c>
      <c r="J13" s="1587">
        <f t="shared" si="0"/>
        <v>162821</v>
      </c>
      <c r="K13" s="1587">
        <f t="shared" si="0"/>
        <v>174356</v>
      </c>
      <c r="L13" s="1587">
        <f t="shared" si="0"/>
        <v>10688</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68285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2376547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23750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1261527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63203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6671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1608129</v>
      </c>
    </row>
    <row r="23" spans="1:14" ht="13.5" customHeight="1" thickBot="1" x14ac:dyDescent="0.25">
      <c r="A23" s="1426" t="s">
        <v>638</v>
      </c>
      <c r="B23" s="1429"/>
      <c r="C23" s="1575"/>
      <c r="D23" s="1575"/>
      <c r="E23" s="1575"/>
      <c r="F23" s="1575"/>
      <c r="G23" s="1575"/>
      <c r="H23" s="1575"/>
      <c r="I23" s="1575"/>
      <c r="J23" s="1575"/>
      <c r="K23" s="1575"/>
      <c r="L23" s="1575"/>
      <c r="M23" s="1594">
        <f>SUM(M15:M22)</f>
        <v>3793312</v>
      </c>
      <c r="N23" s="1594">
        <f>SUM(N21:N22)</f>
        <v>1614800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10688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10688</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1614800</v>
      </c>
    </row>
    <row r="37" spans="1:14" ht="13.5" thickBot="1" x14ac:dyDescent="0.25">
      <c r="A37" s="1426" t="s">
        <v>648</v>
      </c>
      <c r="B37" s="1429"/>
      <c r="C37" s="1582"/>
      <c r="D37" s="1582"/>
      <c r="E37" s="1582"/>
      <c r="F37" s="1582"/>
      <c r="G37" s="1582"/>
      <c r="H37" s="1582"/>
      <c r="I37" s="1582"/>
      <c r="J37" s="1582"/>
      <c r="K37" s="1582"/>
      <c r="L37" s="1585"/>
      <c r="M37" s="1575"/>
      <c r="N37" s="1594">
        <f>SUM(N36:N36)</f>
        <v>1614800</v>
      </c>
    </row>
    <row r="38" spans="1:14" s="307" customFormat="1" ht="13.5" customHeight="1" thickTop="1" x14ac:dyDescent="0.2">
      <c r="A38" s="438" t="s">
        <v>417</v>
      </c>
      <c r="B38" s="432">
        <v>714</v>
      </c>
      <c r="C38" s="1573">
        <v>0</v>
      </c>
      <c r="D38" s="1573">
        <v>0</v>
      </c>
      <c r="E38" s="1573">
        <v>0</v>
      </c>
      <c r="F38" s="1573">
        <v>0</v>
      </c>
      <c r="G38" s="1573">
        <v>21173</v>
      </c>
      <c r="H38" s="1573"/>
      <c r="I38" s="1573">
        <v>0</v>
      </c>
      <c r="J38" s="1574">
        <v>0</v>
      </c>
      <c r="K38" s="1573">
        <v>0</v>
      </c>
      <c r="L38" s="1586"/>
      <c r="M38" s="1604"/>
      <c r="N38" s="1604"/>
    </row>
    <row r="39" spans="1:14" s="307" customFormat="1" ht="13.5" customHeight="1" x14ac:dyDescent="0.2">
      <c r="A39" s="438" t="s">
        <v>339</v>
      </c>
      <c r="B39" s="432">
        <v>730</v>
      </c>
      <c r="C39" s="1573">
        <v>1564897</v>
      </c>
      <c r="D39" s="1573">
        <v>67932</v>
      </c>
      <c r="E39" s="1573">
        <v>6671</v>
      </c>
      <c r="F39" s="1573">
        <v>375</v>
      </c>
      <c r="G39" s="1573">
        <v>70460</v>
      </c>
      <c r="H39" s="1573"/>
      <c r="I39" s="1573">
        <v>1512250</v>
      </c>
      <c r="J39" s="1574">
        <v>162821</v>
      </c>
      <c r="K39" s="1573">
        <v>174356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3793312</v>
      </c>
      <c r="N40" s="1604"/>
    </row>
    <row r="41" spans="1:14" ht="13.5" customHeight="1" thickBot="1" x14ac:dyDescent="0.25">
      <c r="A41" s="1426" t="s">
        <v>650</v>
      </c>
      <c r="B41" s="1405"/>
      <c r="C41" s="1594">
        <f>(SUM(C34,C37,C38,C39))</f>
        <v>1564897</v>
      </c>
      <c r="D41" s="1594">
        <f t="shared" ref="D41:L41" si="2">SUM(D34,D37,D38:D39)</f>
        <v>67932</v>
      </c>
      <c r="E41" s="1594">
        <f t="shared" si="2"/>
        <v>6671</v>
      </c>
      <c r="F41" s="1594">
        <f t="shared" si="2"/>
        <v>375</v>
      </c>
      <c r="G41" s="1594">
        <f t="shared" si="2"/>
        <v>91633</v>
      </c>
      <c r="H41" s="1594">
        <f t="shared" si="2"/>
        <v>0</v>
      </c>
      <c r="I41" s="1594">
        <f t="shared" si="2"/>
        <v>1512250</v>
      </c>
      <c r="J41" s="1594">
        <f t="shared" si="2"/>
        <v>162821</v>
      </c>
      <c r="K41" s="1594">
        <f t="shared" si="2"/>
        <v>174356</v>
      </c>
      <c r="L41" s="1594">
        <f t="shared" si="2"/>
        <v>10688</v>
      </c>
      <c r="M41" s="1594">
        <f>SUM(M40)</f>
        <v>3793312</v>
      </c>
      <c r="N41" s="1594">
        <f>SUM(N37)</f>
        <v>1614800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1222398</v>
      </c>
      <c r="D4" s="1606">
        <f>'Revenues 9-14'!D109</f>
        <v>127036</v>
      </c>
      <c r="E4" s="1606">
        <f>'Revenues 9-14'!E109</f>
        <v>223968</v>
      </c>
      <c r="F4" s="1606">
        <f>'Revenues 9-14'!F109</f>
        <v>60895</v>
      </c>
      <c r="G4" s="1606">
        <f>'Revenues 9-14'!G109</f>
        <v>89145</v>
      </c>
      <c r="H4" s="1606">
        <f>'Revenues 9-14'!H109</f>
        <v>0</v>
      </c>
      <c r="I4" s="1606">
        <f>'Revenues 9-14'!I109</f>
        <v>33942</v>
      </c>
      <c r="J4" s="1606">
        <f>'Revenues 9-14'!J109</f>
        <v>167204</v>
      </c>
      <c r="K4" s="1606">
        <f>'Revenues 9-14'!K109</f>
        <v>26213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1421833</v>
      </c>
      <c r="D6" s="1607">
        <f>'Revenues 9-14'!D170</f>
        <v>0</v>
      </c>
      <c r="E6" s="1607">
        <f>'Revenues 9-14'!E170</f>
        <v>0</v>
      </c>
      <c r="F6" s="1607">
        <f>'Revenues 9-14'!F170</f>
        <v>231108</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474266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3118497</v>
      </c>
      <c r="D8" s="1594">
        <f t="shared" ref="D8:K8" si="0">SUM(D4:D7)</f>
        <v>127036</v>
      </c>
      <c r="E8" s="1594">
        <f t="shared" si="0"/>
        <v>223968</v>
      </c>
      <c r="F8" s="1594">
        <f t="shared" si="0"/>
        <v>292003</v>
      </c>
      <c r="G8" s="1594">
        <f t="shared" si="0"/>
        <v>89145</v>
      </c>
      <c r="H8" s="1594">
        <f t="shared" si="0"/>
        <v>0</v>
      </c>
      <c r="I8" s="1594">
        <f t="shared" si="0"/>
        <v>33942</v>
      </c>
      <c r="J8" s="1594">
        <f t="shared" si="0"/>
        <v>167204</v>
      </c>
      <c r="K8" s="1594">
        <f t="shared" si="0"/>
        <v>76213</v>
      </c>
      <c r="L8" s="325"/>
    </row>
    <row r="9" spans="1:13" ht="15.75" thickTop="1" x14ac:dyDescent="0.2">
      <c r="A9" s="449" t="s">
        <v>1634</v>
      </c>
      <c r="B9" s="450">
        <v>3998</v>
      </c>
      <c r="C9" s="1586">
        <v>1420123</v>
      </c>
      <c r="D9" s="1613"/>
      <c r="E9" s="1586"/>
      <c r="F9" s="1586"/>
      <c r="G9" s="1614"/>
      <c r="H9" s="1586"/>
      <c r="I9" s="1609" t="s">
        <v>1159</v>
      </c>
      <c r="J9" s="1583"/>
      <c r="K9" s="1586"/>
      <c r="L9" s="325"/>
    </row>
    <row r="10" spans="1:13" s="452" customFormat="1" ht="13.5" thickBot="1" x14ac:dyDescent="0.25">
      <c r="A10" s="1426" t="s">
        <v>1163</v>
      </c>
      <c r="B10" s="1407"/>
      <c r="C10" s="1594">
        <f>SUM(C8:C9)</f>
        <v>4538620</v>
      </c>
      <c r="D10" s="1594">
        <f t="shared" ref="D10:K10" si="1">SUM(D8:D9)</f>
        <v>127036</v>
      </c>
      <c r="E10" s="1594">
        <f t="shared" si="1"/>
        <v>223968</v>
      </c>
      <c r="F10" s="1594">
        <f t="shared" si="1"/>
        <v>292003</v>
      </c>
      <c r="G10" s="1594">
        <f t="shared" si="1"/>
        <v>89145</v>
      </c>
      <c r="H10" s="1594">
        <f t="shared" si="1"/>
        <v>0</v>
      </c>
      <c r="I10" s="1594">
        <f t="shared" si="1"/>
        <v>33942</v>
      </c>
      <c r="J10" s="1594">
        <f t="shared" si="1"/>
        <v>167204</v>
      </c>
      <c r="K10" s="1594">
        <f t="shared" si="1"/>
        <v>76213</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1882253</v>
      </c>
      <c r="D12" s="1616" t="s">
        <v>1159</v>
      </c>
      <c r="E12" s="1575" t="s">
        <v>1159</v>
      </c>
      <c r="F12" s="1575" t="s">
        <v>1159</v>
      </c>
      <c r="G12" s="1606">
        <f>'Expenditures 15-22'!K229</f>
        <v>25201</v>
      </c>
      <c r="H12" s="1617"/>
      <c r="I12" s="1575" t="s">
        <v>1159</v>
      </c>
      <c r="J12" s="1575" t="s">
        <v>1159</v>
      </c>
      <c r="K12" s="1617" t="s">
        <v>1159</v>
      </c>
      <c r="L12" s="325"/>
    </row>
    <row r="13" spans="1:13" ht="15.75" customHeight="1" x14ac:dyDescent="0.2">
      <c r="A13" s="1314" t="s">
        <v>454</v>
      </c>
      <c r="B13" s="1316">
        <v>2000</v>
      </c>
      <c r="C13" s="1607">
        <f>'Expenditures 15-22'!K74</f>
        <v>933104</v>
      </c>
      <c r="D13" s="1607">
        <f>'Expenditures 15-22'!K129</f>
        <v>127786</v>
      </c>
      <c r="E13" s="1576" t="s">
        <v>1159</v>
      </c>
      <c r="F13" s="1607">
        <f>'Expenditures 15-22'!K184</f>
        <v>251711</v>
      </c>
      <c r="G13" s="1607">
        <f>'Expenditures 15-22'!K279</f>
        <v>59466</v>
      </c>
      <c r="H13" s="1607">
        <f>'Expenditures 15-22'!K303</f>
        <v>0</v>
      </c>
      <c r="I13" s="1575" t="s">
        <v>1159</v>
      </c>
      <c r="J13" s="1607">
        <f>'Expenditures 15-22'!K330</f>
        <v>199028</v>
      </c>
      <c r="K13" s="1618">
        <f>'Expenditures 15-22'!K352</f>
        <v>0</v>
      </c>
      <c r="L13" s="325"/>
    </row>
    <row r="14" spans="1:13" ht="15.75" customHeight="1" x14ac:dyDescent="0.2">
      <c r="A14" s="1314" t="s">
        <v>446</v>
      </c>
      <c r="B14" s="1316">
        <v>3000</v>
      </c>
      <c r="C14" s="1607">
        <f>'Expenditures 15-22'!K75</f>
        <v>882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218649</v>
      </c>
      <c r="D15" s="1607">
        <f>'Expenditures 15-22'!K139</f>
        <v>0</v>
      </c>
      <c r="E15" s="1607">
        <f>'Expenditures 15-22'!K160</f>
        <v>0</v>
      </c>
      <c r="F15" s="1607">
        <f>'Expenditures 15-22'!K196</f>
        <v>39917</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220862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3034888</v>
      </c>
      <c r="D17" s="1594">
        <f t="shared" si="2"/>
        <v>127786</v>
      </c>
      <c r="E17" s="1594">
        <f t="shared" si="2"/>
        <v>220862</v>
      </c>
      <c r="F17" s="1594">
        <f t="shared" si="2"/>
        <v>291628</v>
      </c>
      <c r="G17" s="1594">
        <f t="shared" si="2"/>
        <v>84667</v>
      </c>
      <c r="H17" s="1594">
        <f t="shared" si="2"/>
        <v>0</v>
      </c>
      <c r="I17" s="1575"/>
      <c r="J17" s="1594">
        <f>SUM(J12:J16)</f>
        <v>199028</v>
      </c>
      <c r="K17" s="1594">
        <f>SUM(K12:K16)</f>
        <v>0</v>
      </c>
      <c r="L17" s="325"/>
    </row>
    <row r="18" spans="1:12" ht="15" customHeight="1" thickTop="1" x14ac:dyDescent="0.2">
      <c r="A18" s="1430" t="s">
        <v>1635</v>
      </c>
      <c r="B18" s="1431">
        <v>4180</v>
      </c>
      <c r="C18" s="1606">
        <f t="shared" ref="C18:H18" si="3">C9</f>
        <v>1420123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4455011</v>
      </c>
      <c r="D19" s="1594">
        <f t="shared" si="4"/>
        <v>127786</v>
      </c>
      <c r="E19" s="1594">
        <f t="shared" si="4"/>
        <v>220862</v>
      </c>
      <c r="F19" s="1594">
        <f t="shared" si="4"/>
        <v>291628</v>
      </c>
      <c r="G19" s="1594">
        <f t="shared" si="4"/>
        <v>84667</v>
      </c>
      <c r="H19" s="1594">
        <f t="shared" si="4"/>
        <v>0</v>
      </c>
      <c r="I19" s="1575"/>
      <c r="J19" s="1594">
        <f>SUM(J17:J18)</f>
        <v>199028</v>
      </c>
      <c r="K19" s="1594">
        <f>SUM(K17:K18)</f>
        <v>0</v>
      </c>
      <c r="L19" s="325"/>
    </row>
    <row r="20" spans="1:12" ht="16.5" thickTop="1" thickBot="1" x14ac:dyDescent="0.25">
      <c r="A20" s="2230" t="s">
        <v>1636</v>
      </c>
      <c r="B20" s="2231"/>
      <c r="C20" s="1622">
        <f>C8-C17</f>
        <v>83609</v>
      </c>
      <c r="D20" s="1622">
        <f t="shared" ref="D20:K20" si="5">D8-D17</f>
        <v>-750</v>
      </c>
      <c r="E20" s="1622">
        <f t="shared" si="5"/>
        <v>3106</v>
      </c>
      <c r="F20" s="1622">
        <f t="shared" si="5"/>
        <v>375</v>
      </c>
      <c r="G20" s="1622">
        <f t="shared" si="5"/>
        <v>4478</v>
      </c>
      <c r="H20" s="1622">
        <f t="shared" si="5"/>
        <v>0</v>
      </c>
      <c r="I20" s="1622">
        <f t="shared" si="5"/>
        <v>33942</v>
      </c>
      <c r="J20" s="1622">
        <f t="shared" si="5"/>
        <v>-31824</v>
      </c>
      <c r="K20" s="1622">
        <f t="shared" si="5"/>
        <v>76213</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800000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1400000</v>
      </c>
      <c r="J33" s="1574"/>
      <c r="K33" s="1574"/>
      <c r="L33" s="453"/>
    </row>
    <row r="34" spans="1:12" s="433" customFormat="1" x14ac:dyDescent="0.2">
      <c r="A34" s="1260" t="s">
        <v>994</v>
      </c>
      <c r="B34" s="454">
        <v>7220</v>
      </c>
      <c r="C34" s="1574"/>
      <c r="D34" s="1574"/>
      <c r="E34" s="1574"/>
      <c r="F34" s="1574"/>
      <c r="G34" s="1582"/>
      <c r="H34" s="1583"/>
      <c r="I34" s="1583">
        <v>33738</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800000</v>
      </c>
      <c r="D44" s="1624">
        <f t="shared" ref="D44:K44" si="6">SUM(D24:D43)</f>
        <v>0</v>
      </c>
      <c r="E44" s="1624">
        <f t="shared" si="6"/>
        <v>0</v>
      </c>
      <c r="F44" s="1624">
        <f t="shared" si="6"/>
        <v>0</v>
      </c>
      <c r="G44" s="1624">
        <f t="shared" si="6"/>
        <v>0</v>
      </c>
      <c r="H44" s="1624">
        <f t="shared" si="6"/>
        <v>0</v>
      </c>
      <c r="I44" s="1624">
        <f t="shared" si="6"/>
        <v>1433738</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30400</v>
      </c>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830400</v>
      </c>
      <c r="J76" s="1624">
        <f t="shared" si="7"/>
        <v>0</v>
      </c>
      <c r="K76" s="1624">
        <f t="shared" si="7"/>
        <v>0</v>
      </c>
      <c r="L76" s="453"/>
    </row>
    <row r="77" spans="1:12" ht="14.25" thickTop="1" thickBot="1" x14ac:dyDescent="0.25">
      <c r="A77" s="2222" t="s">
        <v>1167</v>
      </c>
      <c r="B77" s="2223"/>
      <c r="C77" s="1624">
        <f t="shared" ref="C77:K77" si="8">C44-C76</f>
        <v>800000</v>
      </c>
      <c r="D77" s="1624">
        <f t="shared" si="8"/>
        <v>0</v>
      </c>
      <c r="E77" s="1624">
        <f t="shared" si="8"/>
        <v>0</v>
      </c>
      <c r="F77" s="1624">
        <f t="shared" si="8"/>
        <v>0</v>
      </c>
      <c r="G77" s="1624">
        <f t="shared" si="8"/>
        <v>0</v>
      </c>
      <c r="H77" s="1624">
        <f t="shared" si="8"/>
        <v>0</v>
      </c>
      <c r="I77" s="1624">
        <f t="shared" si="8"/>
        <v>603338</v>
      </c>
      <c r="J77" s="1624">
        <f t="shared" si="8"/>
        <v>0</v>
      </c>
      <c r="K77" s="1624">
        <f t="shared" si="8"/>
        <v>0</v>
      </c>
      <c r="L77" s="325"/>
    </row>
    <row r="78" spans="1:12" ht="21.75" customHeight="1" thickTop="1" thickBot="1" x14ac:dyDescent="0.25">
      <c r="A78" s="2226" t="s">
        <v>593</v>
      </c>
      <c r="B78" s="2227"/>
      <c r="C78" s="1629">
        <f t="shared" ref="C78:K78" si="9">C20+C77</f>
        <v>883609</v>
      </c>
      <c r="D78" s="1629">
        <f t="shared" si="9"/>
        <v>-750</v>
      </c>
      <c r="E78" s="1629">
        <f t="shared" si="9"/>
        <v>3106</v>
      </c>
      <c r="F78" s="1629">
        <f t="shared" si="9"/>
        <v>375</v>
      </c>
      <c r="G78" s="1629">
        <f t="shared" si="9"/>
        <v>4478</v>
      </c>
      <c r="H78" s="1629">
        <f t="shared" si="9"/>
        <v>0</v>
      </c>
      <c r="I78" s="1629">
        <f t="shared" si="9"/>
        <v>637280</v>
      </c>
      <c r="J78" s="1629">
        <f t="shared" si="9"/>
        <v>-31824</v>
      </c>
      <c r="K78" s="1629">
        <f t="shared" si="9"/>
        <v>76213</v>
      </c>
      <c r="L78" s="457"/>
    </row>
    <row r="79" spans="1:12" ht="13.5" thickTop="1" x14ac:dyDescent="0.2">
      <c r="A79" s="1844" t="str">
        <f>"Fund Balances - July 1, "&amp;'AFR20'!E2-1</f>
        <v>Fund Balances - July 1, 2019</v>
      </c>
      <c r="B79" s="458"/>
      <c r="C79" s="1583">
        <v>681288</v>
      </c>
      <c r="D79" s="1630">
        <v>68682</v>
      </c>
      <c r="E79" s="1630">
        <v>3565</v>
      </c>
      <c r="F79" s="1630">
        <v>0</v>
      </c>
      <c r="G79" s="1630">
        <v>87155</v>
      </c>
      <c r="H79" s="1630">
        <v>0</v>
      </c>
      <c r="I79" s="1630">
        <v>874970</v>
      </c>
      <c r="J79" s="1630">
        <v>194645</v>
      </c>
      <c r="K79" s="1630">
        <v>98143</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1564897</v>
      </c>
      <c r="D81" s="1594">
        <f>SUM(D78:D80)</f>
        <v>67932</v>
      </c>
      <c r="E81" s="1594">
        <f t="shared" ref="E81:K81" si="10">SUM(E78:E80)</f>
        <v>6671</v>
      </c>
      <c r="F81" s="1594">
        <f t="shared" si="10"/>
        <v>375</v>
      </c>
      <c r="G81" s="1594">
        <f t="shared" si="10"/>
        <v>91633</v>
      </c>
      <c r="H81" s="1594">
        <f t="shared" si="10"/>
        <v>0</v>
      </c>
      <c r="I81" s="1594">
        <f t="shared" si="10"/>
        <v>1512250</v>
      </c>
      <c r="J81" s="1594">
        <f t="shared" si="10"/>
        <v>162821</v>
      </c>
      <c r="K81" s="1594">
        <f t="shared" si="10"/>
        <v>174356</v>
      </c>
      <c r="L81" s="325"/>
    </row>
    <row r="82" spans="1:12" ht="0.75" customHeight="1" thickTop="1" thickBot="1" x14ac:dyDescent="0.25">
      <c r="A82" s="459" t="s">
        <v>340</v>
      </c>
      <c r="B82" s="460"/>
      <c r="C82" s="461">
        <f>(C81-C79)</f>
        <v>883609</v>
      </c>
      <c r="D82" s="461">
        <f t="shared" ref="D82:K82" si="11">(D81-D79)</f>
        <v>-750</v>
      </c>
      <c r="E82" s="461">
        <f t="shared" si="11"/>
        <v>3106</v>
      </c>
      <c r="F82" s="461">
        <f t="shared" si="11"/>
        <v>375</v>
      </c>
      <c r="G82" s="461">
        <f t="shared" si="11"/>
        <v>4478</v>
      </c>
      <c r="H82" s="461">
        <f t="shared" si="11"/>
        <v>0</v>
      </c>
      <c r="I82" s="461">
        <f t="shared" si="11"/>
        <v>637280</v>
      </c>
      <c r="J82" s="461">
        <f t="shared" si="11"/>
        <v>-31824</v>
      </c>
      <c r="K82" s="461">
        <f t="shared" si="11"/>
        <v>76213</v>
      </c>
    </row>
    <row r="83" spans="1:12" ht="14.25" hidden="1" thickTop="1" thickBot="1" x14ac:dyDescent="0.25">
      <c r="A83" s="462" t="s">
        <v>341</v>
      </c>
      <c r="B83" s="428"/>
      <c r="C83" s="463">
        <f>C82/C81</f>
        <v>0.56464355162033031</v>
      </c>
      <c r="D83" s="463">
        <f t="shared" ref="D83:K83" si="12">D82/D81</f>
        <v>-1.1040452216922805E-2</v>
      </c>
      <c r="E83" s="463">
        <f t="shared" si="12"/>
        <v>0.4655973617148853</v>
      </c>
      <c r="F83" s="463">
        <f t="shared" si="12"/>
        <v>1</v>
      </c>
      <c r="G83" s="463">
        <f t="shared" si="12"/>
        <v>4.8868857289404474E-2</v>
      </c>
      <c r="H83" s="463" t="e">
        <f t="shared" si="12"/>
        <v>#DIV/0!</v>
      </c>
      <c r="I83" s="463">
        <f t="shared" si="12"/>
        <v>0.42141180360390146</v>
      </c>
      <c r="J83" s="463">
        <f t="shared" si="12"/>
        <v>-0.19545390336627338</v>
      </c>
      <c r="K83" s="463">
        <f t="shared" si="12"/>
        <v>0.43711142719493451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0"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999735</v>
      </c>
      <c r="D5" s="1586">
        <v>126219</v>
      </c>
      <c r="E5" s="1573">
        <v>223110</v>
      </c>
      <c r="F5" s="1631">
        <v>60585</v>
      </c>
      <c r="G5" s="1573">
        <v>36275</v>
      </c>
      <c r="H5" s="1573"/>
      <c r="I5" s="1573">
        <v>25244</v>
      </c>
      <c r="J5" s="1574">
        <v>162961</v>
      </c>
      <c r="K5" s="1573">
        <v>25244</v>
      </c>
    </row>
    <row r="6" spans="1:12" ht="15" x14ac:dyDescent="0.2">
      <c r="A6" s="427" t="s">
        <v>1643</v>
      </c>
      <c r="B6" s="429">
        <v>1130</v>
      </c>
      <c r="C6" s="1573">
        <v>25244</v>
      </c>
      <c r="D6" s="1573"/>
      <c r="E6" s="1580"/>
      <c r="F6" s="1580"/>
      <c r="G6" s="1575"/>
      <c r="H6" s="1575"/>
      <c r="I6" s="1575"/>
      <c r="J6" s="1575"/>
      <c r="K6" s="1575"/>
    </row>
    <row r="7" spans="1:12" x14ac:dyDescent="0.2">
      <c r="A7" s="427" t="s">
        <v>110</v>
      </c>
      <c r="B7" s="471">
        <v>1140</v>
      </c>
      <c r="C7" s="1573">
        <v>10098</v>
      </c>
      <c r="D7" s="1573"/>
      <c r="E7" s="1575"/>
      <c r="F7" s="1574"/>
      <c r="G7" s="1574"/>
      <c r="H7" s="1574"/>
      <c r="I7" s="1575"/>
      <c r="J7" s="1575"/>
      <c r="K7" s="1575"/>
    </row>
    <row r="8" spans="1:12" x14ac:dyDescent="0.2">
      <c r="A8" s="427" t="s">
        <v>410</v>
      </c>
      <c r="B8" s="429">
        <v>1150</v>
      </c>
      <c r="C8" s="1580"/>
      <c r="D8" s="1580"/>
      <c r="E8" s="1582"/>
      <c r="F8" s="1582"/>
      <c r="G8" s="1586">
        <v>46380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1035077</v>
      </c>
      <c r="D12" s="1633">
        <f t="shared" si="0"/>
        <v>126219</v>
      </c>
      <c r="E12" s="1633">
        <f t="shared" si="0"/>
        <v>223110</v>
      </c>
      <c r="F12" s="1633">
        <f t="shared" si="0"/>
        <v>60585</v>
      </c>
      <c r="G12" s="1633">
        <f t="shared" si="0"/>
        <v>82655</v>
      </c>
      <c r="H12" s="1633">
        <f t="shared" si="0"/>
        <v>0</v>
      </c>
      <c r="I12" s="1633">
        <f t="shared" si="0"/>
        <v>25244</v>
      </c>
      <c r="J12" s="1633">
        <f t="shared" si="0"/>
        <v>162961</v>
      </c>
      <c r="K12" s="1594">
        <f t="shared" si="0"/>
        <v>25244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111012</v>
      </c>
      <c r="D16" s="1573"/>
      <c r="E16" s="1573"/>
      <c r="F16" s="1573"/>
      <c r="G16" s="1573">
        <v>5492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111012</v>
      </c>
      <c r="D18" s="1635">
        <f t="shared" ref="D18:K18" si="1">SUM(D14:D17)</f>
        <v>0</v>
      </c>
      <c r="E18" s="1635">
        <f t="shared" si="1"/>
        <v>0</v>
      </c>
      <c r="F18" s="1635">
        <f t="shared" si="1"/>
        <v>0</v>
      </c>
      <c r="G18" s="1635">
        <f t="shared" si="1"/>
        <v>5492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10638</v>
      </c>
      <c r="D65" s="1573">
        <v>817</v>
      </c>
      <c r="E65" s="1573">
        <v>858</v>
      </c>
      <c r="F65" s="1574">
        <v>310</v>
      </c>
      <c r="G65" s="1573">
        <v>998</v>
      </c>
      <c r="H65" s="1573"/>
      <c r="I65" s="1573">
        <v>8698</v>
      </c>
      <c r="J65" s="1574">
        <v>1691</v>
      </c>
      <c r="K65" s="1573">
        <v>969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10638</v>
      </c>
      <c r="D67" s="1594">
        <f t="shared" ref="D67:K67" si="2">SUM(D65:D66)</f>
        <v>817</v>
      </c>
      <c r="E67" s="1594">
        <f t="shared" si="2"/>
        <v>858</v>
      </c>
      <c r="F67" s="1594">
        <f t="shared" si="2"/>
        <v>310</v>
      </c>
      <c r="G67" s="1594">
        <f t="shared" si="2"/>
        <v>998</v>
      </c>
      <c r="H67" s="1594">
        <f t="shared" si="2"/>
        <v>0</v>
      </c>
      <c r="I67" s="1594">
        <f t="shared" si="2"/>
        <v>8698</v>
      </c>
      <c r="J67" s="1594">
        <f t="shared" si="2"/>
        <v>1691</v>
      </c>
      <c r="K67" s="1594">
        <f t="shared" si="2"/>
        <v>969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26326</v>
      </c>
      <c r="D69" s="1575"/>
      <c r="E69" s="1575"/>
      <c r="F69" s="1575"/>
      <c r="G69" s="1575"/>
      <c r="H69" s="1575"/>
      <c r="I69" s="1575"/>
      <c r="J69" s="1575"/>
      <c r="K69" s="1575"/>
    </row>
    <row r="70" spans="1:11" ht="12.75" customHeight="1" x14ac:dyDescent="0.2">
      <c r="A70" s="427" t="s">
        <v>990</v>
      </c>
      <c r="B70" s="429">
        <v>1612</v>
      </c>
      <c r="C70" s="1632">
        <v>1732</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1564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29622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7225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1205</v>
      </c>
      <c r="D81" s="1573"/>
      <c r="E81" s="1575"/>
      <c r="F81" s="1575"/>
      <c r="G81" s="1575"/>
      <c r="H81" s="1575"/>
      <c r="I81" s="1575"/>
      <c r="J81" s="1575"/>
      <c r="K81" s="1575"/>
    </row>
    <row r="82" spans="1:11" ht="12.75" customHeight="1" thickBot="1" x14ac:dyDescent="0.25">
      <c r="A82" s="1406" t="s">
        <v>239</v>
      </c>
      <c r="B82" s="1407"/>
      <c r="C82" s="1633">
        <f>SUM(C77:C81)</f>
        <v>8430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15108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15108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12500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11</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v>2552</v>
      </c>
      <c r="K107" s="1573"/>
    </row>
    <row r="108" spans="1:12" ht="12.75" customHeight="1" thickBot="1" x14ac:dyDescent="0.25">
      <c r="A108" s="1406" t="s">
        <v>484</v>
      </c>
      <c r="B108" s="1408"/>
      <c r="C108" s="1633">
        <f>SUM(C95:C107)</f>
        <v>12511</v>
      </c>
      <c r="D108" s="1633">
        <f t="shared" ref="D108:K108" si="3">SUM(D95:D107)</f>
        <v>0</v>
      </c>
      <c r="E108" s="1633">
        <f t="shared" si="3"/>
        <v>0</v>
      </c>
      <c r="F108" s="1633">
        <f t="shared" si="3"/>
        <v>0</v>
      </c>
      <c r="G108" s="1633">
        <f t="shared" si="3"/>
        <v>0</v>
      </c>
      <c r="H108" s="1633">
        <f t="shared" si="3"/>
        <v>0</v>
      </c>
      <c r="I108" s="1633">
        <f t="shared" si="3"/>
        <v>0</v>
      </c>
      <c r="J108" s="1633">
        <f t="shared" si="3"/>
        <v>2552</v>
      </c>
      <c r="K108" s="1594">
        <f t="shared" si="3"/>
        <v>0</v>
      </c>
    </row>
    <row r="109" spans="1:12" ht="14.25" thickTop="1" thickBot="1" x14ac:dyDescent="0.25">
      <c r="A109" s="1409" t="s">
        <v>246</v>
      </c>
      <c r="B109" s="1410" t="s">
        <v>566</v>
      </c>
      <c r="C109" s="1641">
        <f t="shared" ref="C109:K109" si="4">SUM(C12,C18,C40,C63,C67,C75,C82,C93,C108,)</f>
        <v>1222398</v>
      </c>
      <c r="D109" s="1641">
        <f t="shared" si="4"/>
        <v>127036</v>
      </c>
      <c r="E109" s="1641">
        <f t="shared" si="4"/>
        <v>223968</v>
      </c>
      <c r="F109" s="1641">
        <f t="shared" si="4"/>
        <v>60895</v>
      </c>
      <c r="G109" s="1641">
        <f t="shared" si="4"/>
        <v>89145</v>
      </c>
      <c r="H109" s="1641">
        <f t="shared" si="4"/>
        <v>0</v>
      </c>
      <c r="I109" s="1641">
        <f t="shared" si="4"/>
        <v>33942</v>
      </c>
      <c r="J109" s="1641">
        <f t="shared" si="4"/>
        <v>167204</v>
      </c>
      <c r="K109" s="1629">
        <f t="shared" si="4"/>
        <v>26213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1330404</v>
      </c>
      <c r="D117" s="1586"/>
      <c r="E117" s="1573"/>
      <c r="F117" s="1586">
        <v>16500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1330404</v>
      </c>
      <c r="D122" s="1633">
        <f t="shared" si="5"/>
        <v>0</v>
      </c>
      <c r="E122" s="1633">
        <f t="shared" si="5"/>
        <v>0</v>
      </c>
      <c r="F122" s="1633">
        <f t="shared" si="5"/>
        <v>16500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7206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7206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1359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156686</v>
      </c>
      <c r="G152" s="1574"/>
      <c r="H152" s="1575"/>
      <c r="I152" s="1575"/>
      <c r="J152" s="1575"/>
      <c r="K152" s="1575"/>
    </row>
    <row r="153" spans="1:11" ht="12.75" customHeight="1" x14ac:dyDescent="0.2">
      <c r="A153" s="427" t="s">
        <v>1048</v>
      </c>
      <c r="B153" s="478">
        <v>3510</v>
      </c>
      <c r="C153" s="1632"/>
      <c r="D153" s="1573"/>
      <c r="E153" s="1640"/>
      <c r="F153" s="1573">
        <v>57922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214608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82114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91429</v>
      </c>
      <c r="D169" s="1658">
        <f t="shared" si="6"/>
        <v>0</v>
      </c>
      <c r="E169" s="1658">
        <f t="shared" si="6"/>
        <v>0</v>
      </c>
      <c r="F169" s="1658">
        <f t="shared" si="6"/>
        <v>214608</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1421833</v>
      </c>
      <c r="D170" s="1641">
        <f t="shared" si="7"/>
        <v>0</v>
      </c>
      <c r="E170" s="1641">
        <f t="shared" si="7"/>
        <v>0</v>
      </c>
      <c r="F170" s="1641">
        <f t="shared" si="7"/>
        <v>231108</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22008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22008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76408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22979</v>
      </c>
      <c r="D193" s="1575"/>
      <c r="E193" s="1640"/>
      <c r="F193" s="1575"/>
      <c r="G193" s="1664"/>
      <c r="H193" s="1575"/>
      <c r="I193" s="1575"/>
      <c r="J193" s="1575"/>
      <c r="K193" s="1575"/>
    </row>
    <row r="194" spans="1:11" ht="12.75" customHeight="1" x14ac:dyDescent="0.2">
      <c r="A194" s="427" t="s">
        <v>1434</v>
      </c>
      <c r="B194" s="429">
        <v>4225</v>
      </c>
      <c r="C194" s="1632">
        <v>64112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163499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106040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42429</v>
      </c>
      <c r="D203" s="1573"/>
      <c r="E203" s="1575"/>
      <c r="F203" s="1573"/>
      <c r="G203" s="1573"/>
      <c r="H203" s="1575"/>
      <c r="I203" s="1575"/>
      <c r="J203" s="1575"/>
      <c r="K203" s="1575"/>
    </row>
    <row r="204" spans="1:11" ht="12.75" customHeight="1" thickBot="1" x14ac:dyDescent="0.25">
      <c r="A204" s="1406" t="s">
        <v>397</v>
      </c>
      <c r="B204" s="1407"/>
      <c r="C204" s="1633">
        <f>SUM(C200:C203)</f>
        <v>148469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4629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98162</v>
      </c>
      <c r="D213" s="1573"/>
      <c r="E213" s="1575"/>
      <c r="F213" s="1573"/>
      <c r="G213" s="1573"/>
      <c r="H213" s="1575"/>
      <c r="I213" s="1575"/>
      <c r="J213" s="1575"/>
      <c r="K213" s="1575"/>
    </row>
    <row r="214" spans="1:11" ht="12.75" customHeight="1" x14ac:dyDescent="0.2">
      <c r="A214" s="427" t="s">
        <v>1045</v>
      </c>
      <c r="B214" s="429">
        <v>4625</v>
      </c>
      <c r="C214" s="1632">
        <v>10297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113088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24137</v>
      </c>
      <c r="D263" s="1651"/>
      <c r="E263" s="1575"/>
      <c r="F263" s="1651"/>
      <c r="G263" s="1651"/>
      <c r="H263" s="1575"/>
      <c r="I263" s="1575"/>
      <c r="J263" s="1575"/>
      <c r="K263" s="1575"/>
    </row>
    <row r="264" spans="1:11" ht="12.75" customHeight="1" thickTop="1" thickBot="1" x14ac:dyDescent="0.25">
      <c r="A264" s="427" t="s">
        <v>374</v>
      </c>
      <c r="B264" s="429">
        <v>4992</v>
      </c>
      <c r="C264" s="1650">
        <v>3065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474266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474266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3118497</v>
      </c>
      <c r="D268" s="1641">
        <f t="shared" si="12"/>
        <v>127036</v>
      </c>
      <c r="E268" s="1641">
        <f t="shared" si="12"/>
        <v>223968</v>
      </c>
      <c r="F268" s="1641">
        <f t="shared" si="12"/>
        <v>292003</v>
      </c>
      <c r="G268" s="1641">
        <f t="shared" si="12"/>
        <v>89145</v>
      </c>
      <c r="H268" s="1641">
        <f t="shared" si="12"/>
        <v>0</v>
      </c>
      <c r="I268" s="1641">
        <f t="shared" si="12"/>
        <v>33942</v>
      </c>
      <c r="J268" s="1641">
        <f t="shared" si="12"/>
        <v>167204</v>
      </c>
      <c r="K268" s="1629">
        <f t="shared" si="12"/>
        <v>76213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4" activePane="bottomLeft" state="frozen"/>
      <selection pane="bottomLeft" activeCell="E190" sqref="E19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1127015</v>
      </c>
      <c r="D5" s="1573">
        <v>255422</v>
      </c>
      <c r="E5" s="1573">
        <v>82102</v>
      </c>
      <c r="F5" s="1573">
        <v>36857</v>
      </c>
      <c r="G5" s="1573">
        <v>21565</v>
      </c>
      <c r="H5" s="1573">
        <v>2511</v>
      </c>
      <c r="I5" s="1574"/>
      <c r="J5" s="1574"/>
      <c r="K5" s="1672">
        <f>SUM(C5:J5)</f>
        <v>1525472</v>
      </c>
      <c r="L5" s="1573">
        <v>1560536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45540</v>
      </c>
      <c r="D7" s="1574">
        <v>14028</v>
      </c>
      <c r="E7" s="1574">
        <v>462</v>
      </c>
      <c r="F7" s="1574">
        <v>15427</v>
      </c>
      <c r="G7" s="1574">
        <v>897</v>
      </c>
      <c r="H7" s="1574"/>
      <c r="I7" s="1574"/>
      <c r="J7" s="1574"/>
      <c r="K7" s="1672">
        <f t="shared" ref="K7:K32" si="0">SUM(C7:J7)</f>
        <v>76354</v>
      </c>
      <c r="L7" s="1573">
        <v>122272</v>
      </c>
    </row>
    <row r="8" spans="1:14" x14ac:dyDescent="0.2">
      <c r="A8" s="1274" t="s">
        <v>163</v>
      </c>
      <c r="B8" s="503">
        <v>1200</v>
      </c>
      <c r="C8" s="1573">
        <v>176288</v>
      </c>
      <c r="D8" s="1573">
        <v>43021</v>
      </c>
      <c r="E8" s="1573"/>
      <c r="F8" s="1573">
        <v>1576</v>
      </c>
      <c r="G8" s="1573"/>
      <c r="H8" s="1573"/>
      <c r="I8" s="1574"/>
      <c r="J8" s="1574"/>
      <c r="K8" s="1672">
        <f t="shared" si="0"/>
        <v>220885</v>
      </c>
      <c r="L8" s="1573">
        <v>218023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5280</v>
      </c>
      <c r="D10" s="1573">
        <v>1585</v>
      </c>
      <c r="E10" s="1573"/>
      <c r="F10" s="1573"/>
      <c r="G10" s="1573"/>
      <c r="H10" s="1573"/>
      <c r="I10" s="1574"/>
      <c r="J10" s="1574"/>
      <c r="K10" s="1672">
        <f t="shared" si="0"/>
        <v>6865</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38535</v>
      </c>
      <c r="D14" s="1573">
        <v>3124</v>
      </c>
      <c r="E14" s="1573">
        <v>5852</v>
      </c>
      <c r="F14" s="1573">
        <v>3206</v>
      </c>
      <c r="G14" s="1573"/>
      <c r="H14" s="1573">
        <v>1960</v>
      </c>
      <c r="I14" s="1574"/>
      <c r="J14" s="1574"/>
      <c r="K14" s="1672">
        <f t="shared" si="0"/>
        <v>52677</v>
      </c>
      <c r="L14" s="1573">
        <v>58010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1392658</v>
      </c>
      <c r="D33" s="1674">
        <f t="shared" ref="D33:L33" si="1">SUM(D5:D32)</f>
        <v>317180</v>
      </c>
      <c r="E33" s="1674">
        <f t="shared" si="1"/>
        <v>88416</v>
      </c>
      <c r="F33" s="1674">
        <f t="shared" si="1"/>
        <v>57066</v>
      </c>
      <c r="G33" s="1674">
        <f t="shared" si="1"/>
        <v>22462</v>
      </c>
      <c r="H33" s="1674">
        <f t="shared" si="1"/>
        <v>4471</v>
      </c>
      <c r="I33" s="1674">
        <f t="shared" si="1"/>
        <v>0</v>
      </c>
      <c r="J33" s="1674">
        <f t="shared" si="1"/>
        <v>0</v>
      </c>
      <c r="K33" s="1674">
        <f t="shared" si="1"/>
        <v>1882253</v>
      </c>
      <c r="L33" s="1674">
        <f t="shared" si="1"/>
        <v>1958841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40501</v>
      </c>
      <c r="D36" s="1586">
        <v>6530</v>
      </c>
      <c r="E36" s="1586"/>
      <c r="F36" s="1586">
        <v>60</v>
      </c>
      <c r="G36" s="1586"/>
      <c r="H36" s="1586"/>
      <c r="I36" s="1574"/>
      <c r="J36" s="1574"/>
      <c r="K36" s="1672">
        <f t="shared" ref="K36:K41" si="2">SUM(C36:J36)</f>
        <v>47091</v>
      </c>
      <c r="L36" s="1573">
        <v>47508</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157</v>
      </c>
      <c r="F38" s="1573">
        <v>34</v>
      </c>
      <c r="G38" s="1573"/>
      <c r="H38" s="1573"/>
      <c r="I38" s="1574"/>
      <c r="J38" s="1574"/>
      <c r="K38" s="1672">
        <f t="shared" si="2"/>
        <v>191</v>
      </c>
      <c r="L38" s="1573">
        <v>1960</v>
      </c>
    </row>
    <row r="39" spans="1:14" x14ac:dyDescent="0.2">
      <c r="A39" s="1274" t="s">
        <v>197</v>
      </c>
      <c r="B39" s="503">
        <v>2140</v>
      </c>
      <c r="C39" s="1573">
        <v>24612</v>
      </c>
      <c r="D39" s="1573">
        <v>8428</v>
      </c>
      <c r="E39" s="1573"/>
      <c r="F39" s="1573"/>
      <c r="G39" s="1573"/>
      <c r="H39" s="1573"/>
      <c r="I39" s="1574"/>
      <c r="J39" s="1574"/>
      <c r="K39" s="1672">
        <f t="shared" si="2"/>
        <v>33040</v>
      </c>
      <c r="L39" s="1573">
        <v>33459</v>
      </c>
    </row>
    <row r="40" spans="1:14" x14ac:dyDescent="0.2">
      <c r="A40" s="1274" t="s">
        <v>198</v>
      </c>
      <c r="B40" s="503">
        <v>2150</v>
      </c>
      <c r="C40" s="1573">
        <v>67300</v>
      </c>
      <c r="D40" s="1573">
        <v>9580</v>
      </c>
      <c r="E40" s="1573"/>
      <c r="F40" s="1573">
        <v>375</v>
      </c>
      <c r="G40" s="1573">
        <v>1600</v>
      </c>
      <c r="H40" s="1573"/>
      <c r="I40" s="1574"/>
      <c r="J40" s="1574"/>
      <c r="K40" s="1672">
        <f t="shared" si="2"/>
        <v>78855</v>
      </c>
      <c r="L40" s="1573">
        <v>79647</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132413</v>
      </c>
      <c r="D42" s="1674">
        <f t="shared" ref="D42:L42" si="3">SUM(D36:D41)</f>
        <v>24538</v>
      </c>
      <c r="E42" s="1674">
        <f t="shared" si="3"/>
        <v>157</v>
      </c>
      <c r="F42" s="1674">
        <f t="shared" si="3"/>
        <v>469</v>
      </c>
      <c r="G42" s="1674">
        <f t="shared" si="3"/>
        <v>1600</v>
      </c>
      <c r="H42" s="1674">
        <f t="shared" si="3"/>
        <v>0</v>
      </c>
      <c r="I42" s="1674">
        <f t="shared" si="3"/>
        <v>0</v>
      </c>
      <c r="J42" s="1674">
        <f t="shared" si="3"/>
        <v>0</v>
      </c>
      <c r="K42" s="1674">
        <f t="shared" si="3"/>
        <v>159177</v>
      </c>
      <c r="L42" s="1674">
        <f t="shared" si="3"/>
        <v>162574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4230</v>
      </c>
      <c r="D44" s="1586">
        <v>133</v>
      </c>
      <c r="E44" s="1586">
        <v>41136</v>
      </c>
      <c r="F44" s="1586">
        <v>172</v>
      </c>
      <c r="G44" s="1586"/>
      <c r="H44" s="1586"/>
      <c r="I44" s="1574"/>
      <c r="J44" s="1574"/>
      <c r="K44" s="1678">
        <f>SUM(C44:J44)</f>
        <v>45671</v>
      </c>
      <c r="L44" s="1586">
        <v>30009</v>
      </c>
    </row>
    <row r="45" spans="1:14" x14ac:dyDescent="0.2">
      <c r="A45" s="1274" t="s">
        <v>810</v>
      </c>
      <c r="B45" s="503">
        <v>2220</v>
      </c>
      <c r="C45" s="1573">
        <v>12131</v>
      </c>
      <c r="D45" s="1573">
        <v>72</v>
      </c>
      <c r="E45" s="1573"/>
      <c r="F45" s="1573">
        <v>584</v>
      </c>
      <c r="G45" s="1573"/>
      <c r="H45" s="1573"/>
      <c r="I45" s="1574"/>
      <c r="J45" s="1574"/>
      <c r="K45" s="1678">
        <f>SUM(C45:J45)</f>
        <v>12787</v>
      </c>
      <c r="L45" s="1573">
        <v>12959</v>
      </c>
    </row>
    <row r="46" spans="1:14" x14ac:dyDescent="0.2">
      <c r="A46" s="1274" t="s">
        <v>811</v>
      </c>
      <c r="B46" s="503">
        <v>2230</v>
      </c>
      <c r="C46" s="1573"/>
      <c r="D46" s="1573"/>
      <c r="E46" s="1573">
        <v>3870</v>
      </c>
      <c r="F46" s="1573"/>
      <c r="G46" s="1573"/>
      <c r="H46" s="1573"/>
      <c r="I46" s="1574"/>
      <c r="J46" s="1574"/>
      <c r="K46" s="1678">
        <f>SUM(C46:J46)</f>
        <v>3870</v>
      </c>
      <c r="L46" s="1573">
        <v>5053</v>
      </c>
    </row>
    <row r="47" spans="1:14" ht="12.75" customHeight="1" thickBot="1" x14ac:dyDescent="0.25">
      <c r="A47" s="1380" t="s">
        <v>557</v>
      </c>
      <c r="B47" s="1381" t="s">
        <v>32</v>
      </c>
      <c r="C47" s="1674">
        <f>SUM(C44:C46)</f>
        <v>16361</v>
      </c>
      <c r="D47" s="1674">
        <f t="shared" ref="D47:K47" si="4">SUM(D44:D46)</f>
        <v>205</v>
      </c>
      <c r="E47" s="1674">
        <f t="shared" si="4"/>
        <v>45006</v>
      </c>
      <c r="F47" s="1674">
        <f t="shared" si="4"/>
        <v>756</v>
      </c>
      <c r="G47" s="1674">
        <f t="shared" si="4"/>
        <v>0</v>
      </c>
      <c r="H47" s="1674">
        <f t="shared" si="4"/>
        <v>0</v>
      </c>
      <c r="I47" s="1674">
        <f t="shared" si="4"/>
        <v>0</v>
      </c>
      <c r="J47" s="1674">
        <f t="shared" si="4"/>
        <v>0</v>
      </c>
      <c r="K47" s="1674">
        <f t="shared" si="4"/>
        <v>62328</v>
      </c>
      <c r="L47" s="1674">
        <f>SUM(L44:L46)</f>
        <v>48021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2600</v>
      </c>
      <c r="D49" s="1586"/>
      <c r="E49" s="1586">
        <v>11254</v>
      </c>
      <c r="F49" s="1586">
        <v>292</v>
      </c>
      <c r="G49" s="1586"/>
      <c r="H49" s="1586">
        <v>7454</v>
      </c>
      <c r="I49" s="1574"/>
      <c r="J49" s="1574"/>
      <c r="K49" s="1678">
        <f>SUM(C49:J49)</f>
        <v>21600</v>
      </c>
      <c r="L49" s="1586">
        <v>23450</v>
      </c>
    </row>
    <row r="50" spans="1:14" x14ac:dyDescent="0.2">
      <c r="A50" s="1274" t="s">
        <v>813</v>
      </c>
      <c r="B50" s="503">
        <v>2320</v>
      </c>
      <c r="C50" s="1573">
        <v>59185</v>
      </c>
      <c r="D50" s="1573">
        <v>18331</v>
      </c>
      <c r="E50" s="1573">
        <v>1735</v>
      </c>
      <c r="F50" s="1573">
        <v>362</v>
      </c>
      <c r="G50" s="1573"/>
      <c r="H50" s="1573">
        <v>935</v>
      </c>
      <c r="I50" s="1574"/>
      <c r="J50" s="1574"/>
      <c r="K50" s="1678">
        <f>SUM(C50:J50)</f>
        <v>80548</v>
      </c>
      <c r="L50" s="1573">
        <v>81067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61785</v>
      </c>
      <c r="D53" s="1674">
        <f t="shared" ref="D53:L53" si="5">SUM(D49:D52)</f>
        <v>18331</v>
      </c>
      <c r="E53" s="1674">
        <f t="shared" si="5"/>
        <v>12989</v>
      </c>
      <c r="F53" s="1674">
        <f t="shared" si="5"/>
        <v>654</v>
      </c>
      <c r="G53" s="1674">
        <f t="shared" si="5"/>
        <v>0</v>
      </c>
      <c r="H53" s="1674">
        <f t="shared" si="5"/>
        <v>8389</v>
      </c>
      <c r="I53" s="1674">
        <f t="shared" si="5"/>
        <v>0</v>
      </c>
      <c r="J53" s="1674">
        <f t="shared" si="5"/>
        <v>0</v>
      </c>
      <c r="K53" s="1674">
        <f t="shared" si="5"/>
        <v>102148</v>
      </c>
      <c r="L53" s="1674">
        <f t="shared" si="5"/>
        <v>104517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149575</v>
      </c>
      <c r="D55" s="1586">
        <v>58394</v>
      </c>
      <c r="E55" s="1586">
        <v>2485</v>
      </c>
      <c r="F55" s="1586">
        <v>822</v>
      </c>
      <c r="G55" s="1586">
        <v>1219</v>
      </c>
      <c r="H55" s="1586">
        <v>673</v>
      </c>
      <c r="I55" s="1574"/>
      <c r="J55" s="1574"/>
      <c r="K55" s="1678">
        <f>SUM(C55:J55)</f>
        <v>213168</v>
      </c>
      <c r="L55" s="1586">
        <v>219171</v>
      </c>
    </row>
    <row r="56" spans="1:14" ht="12.75" customHeight="1" x14ac:dyDescent="0.2">
      <c r="A56" s="1278" t="s">
        <v>373</v>
      </c>
      <c r="B56" s="512">
        <v>2490</v>
      </c>
      <c r="C56" s="1573">
        <v>38571</v>
      </c>
      <c r="D56" s="1573">
        <v>4976</v>
      </c>
      <c r="E56" s="1573">
        <v>13840</v>
      </c>
      <c r="F56" s="1573"/>
      <c r="G56" s="1573"/>
      <c r="H56" s="1573"/>
      <c r="I56" s="1574"/>
      <c r="J56" s="1574"/>
      <c r="K56" s="1678">
        <f>SUM(C56:J56)</f>
        <v>57387</v>
      </c>
      <c r="L56" s="1573">
        <v>57383</v>
      </c>
    </row>
    <row r="57" spans="1:14" s="321" customFormat="1" ht="12.75" customHeight="1" thickBot="1" x14ac:dyDescent="0.25">
      <c r="A57" s="1380" t="s">
        <v>261</v>
      </c>
      <c r="B57" s="1382" t="s">
        <v>34</v>
      </c>
      <c r="C57" s="1679">
        <f>SUM(C55:C56)</f>
        <v>188146</v>
      </c>
      <c r="D57" s="1679">
        <f t="shared" ref="D57:K57" si="6">SUM(D55:D56)</f>
        <v>63370</v>
      </c>
      <c r="E57" s="1679">
        <f t="shared" si="6"/>
        <v>16325</v>
      </c>
      <c r="F57" s="1679">
        <f t="shared" si="6"/>
        <v>822</v>
      </c>
      <c r="G57" s="1679">
        <f t="shared" si="6"/>
        <v>1219</v>
      </c>
      <c r="H57" s="1679">
        <f t="shared" si="6"/>
        <v>673</v>
      </c>
      <c r="I57" s="1679">
        <f t="shared" si="6"/>
        <v>0</v>
      </c>
      <c r="J57" s="1679">
        <f t="shared" si="6"/>
        <v>0</v>
      </c>
      <c r="K57" s="1679">
        <f t="shared" si="6"/>
        <v>270555</v>
      </c>
      <c r="L57" s="1674">
        <f>SUM(L55:L56)</f>
        <v>276554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48712</v>
      </c>
      <c r="D60" s="1573">
        <v>7089</v>
      </c>
      <c r="E60" s="1573">
        <v>14230</v>
      </c>
      <c r="F60" s="1573">
        <v>779</v>
      </c>
      <c r="G60" s="1573">
        <v>720</v>
      </c>
      <c r="H60" s="1573">
        <v>113</v>
      </c>
      <c r="I60" s="1574"/>
      <c r="J60" s="1574"/>
      <c r="K60" s="1678">
        <f t="shared" si="7"/>
        <v>71643</v>
      </c>
      <c r="L60" s="1573">
        <v>73667</v>
      </c>
      <c r="M60" s="501"/>
      <c r="N60" s="501"/>
    </row>
    <row r="61" spans="1:14" s="321" customFormat="1" x14ac:dyDescent="0.2">
      <c r="A61" s="1274" t="s">
        <v>195</v>
      </c>
      <c r="B61" s="503">
        <v>2540</v>
      </c>
      <c r="C61" s="1573"/>
      <c r="D61" s="1573"/>
      <c r="E61" s="1573">
        <v>10163</v>
      </c>
      <c r="F61" s="1573">
        <v>53517</v>
      </c>
      <c r="G61" s="1573"/>
      <c r="H61" s="1573"/>
      <c r="I61" s="1574"/>
      <c r="J61" s="1574"/>
      <c r="K61" s="1678">
        <f t="shared" si="7"/>
        <v>63680</v>
      </c>
      <c r="L61" s="1573">
        <v>73363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59718</v>
      </c>
      <c r="D63" s="1573">
        <v>5230</v>
      </c>
      <c r="E63" s="1573">
        <v>1099</v>
      </c>
      <c r="F63" s="1573">
        <v>76084</v>
      </c>
      <c r="G63" s="1573"/>
      <c r="H63" s="1573"/>
      <c r="I63" s="1574"/>
      <c r="J63" s="1574"/>
      <c r="K63" s="1678">
        <f t="shared" si="7"/>
        <v>142131</v>
      </c>
      <c r="L63" s="1573">
        <v>159526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108430</v>
      </c>
      <c r="D65" s="1674">
        <f t="shared" ref="D65:L65" si="8">SUM(D59:D64)</f>
        <v>12319</v>
      </c>
      <c r="E65" s="1674">
        <f t="shared" si="8"/>
        <v>25492</v>
      </c>
      <c r="F65" s="1674">
        <f t="shared" si="8"/>
        <v>130380</v>
      </c>
      <c r="G65" s="1674">
        <f t="shared" si="8"/>
        <v>720</v>
      </c>
      <c r="H65" s="1674">
        <f t="shared" si="8"/>
        <v>113</v>
      </c>
      <c r="I65" s="1674">
        <f t="shared" si="8"/>
        <v>0</v>
      </c>
      <c r="J65" s="1674">
        <f t="shared" si="8"/>
        <v>0</v>
      </c>
      <c r="K65" s="1674">
        <f t="shared" si="8"/>
        <v>277454</v>
      </c>
      <c r="L65" s="1674">
        <f t="shared" si="8"/>
        <v>306556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35914</v>
      </c>
      <c r="D71" s="1573">
        <v>672</v>
      </c>
      <c r="E71" s="1573">
        <v>24856</v>
      </c>
      <c r="F71" s="1573"/>
      <c r="G71" s="1573"/>
      <c r="H71" s="1573"/>
      <c r="I71" s="1574"/>
      <c r="J71" s="1574"/>
      <c r="K71" s="1678">
        <f>SUM(C71:J71)</f>
        <v>61442</v>
      </c>
      <c r="L71" s="1573">
        <v>79595</v>
      </c>
      <c r="M71" s="501"/>
      <c r="N71" s="501"/>
    </row>
    <row r="72" spans="1:14" s="321" customFormat="1" ht="12.75" customHeight="1" thickBot="1" x14ac:dyDescent="0.25">
      <c r="A72" s="1380" t="s">
        <v>37</v>
      </c>
      <c r="B72" s="1383" t="s">
        <v>36</v>
      </c>
      <c r="C72" s="1674">
        <f>SUM(C67:C71)</f>
        <v>35914</v>
      </c>
      <c r="D72" s="1674">
        <f t="shared" ref="D72:K72" si="9">SUM(D67:D71)</f>
        <v>672</v>
      </c>
      <c r="E72" s="1674">
        <f t="shared" si="9"/>
        <v>24856</v>
      </c>
      <c r="F72" s="1674">
        <f t="shared" si="9"/>
        <v>0</v>
      </c>
      <c r="G72" s="1674">
        <f t="shared" si="9"/>
        <v>0</v>
      </c>
      <c r="H72" s="1674">
        <f t="shared" si="9"/>
        <v>0</v>
      </c>
      <c r="I72" s="1674">
        <f t="shared" si="9"/>
        <v>0</v>
      </c>
      <c r="J72" s="1674">
        <f t="shared" si="9"/>
        <v>0</v>
      </c>
      <c r="K72" s="1674">
        <f t="shared" si="9"/>
        <v>61442</v>
      </c>
      <c r="L72" s="1674">
        <f>SUM(L67:L71)</f>
        <v>79595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543049</v>
      </c>
      <c r="D74" s="1681">
        <f t="shared" ref="D74:K74" si="10">SUM(D42,D47,D53,D57,D65,D72,D73)</f>
        <v>119435</v>
      </c>
      <c r="E74" s="1681">
        <f t="shared" si="10"/>
        <v>124825</v>
      </c>
      <c r="F74" s="1681">
        <f t="shared" si="10"/>
        <v>133081</v>
      </c>
      <c r="G74" s="1681">
        <f t="shared" si="10"/>
        <v>3539</v>
      </c>
      <c r="H74" s="1681">
        <f t="shared" si="10"/>
        <v>9175</v>
      </c>
      <c r="I74" s="1681">
        <f t="shared" si="10"/>
        <v>0</v>
      </c>
      <c r="J74" s="1681">
        <f t="shared" si="10"/>
        <v>0</v>
      </c>
      <c r="K74" s="1681">
        <f t="shared" si="10"/>
        <v>933104</v>
      </c>
      <c r="L74" s="1681">
        <f>SUM(L42,L47,L53,L57,L65,L72,L73)</f>
        <v>977817</v>
      </c>
    </row>
    <row r="75" spans="1:14" s="254" customFormat="1" ht="15.75" customHeight="1" thickTop="1" thickBot="1" x14ac:dyDescent="0.25">
      <c r="A75" s="1348" t="s">
        <v>47</v>
      </c>
      <c r="B75" s="1349" t="s">
        <v>571</v>
      </c>
      <c r="C75" s="1649"/>
      <c r="D75" s="1649"/>
      <c r="E75" s="1649">
        <v>882</v>
      </c>
      <c r="F75" s="1649"/>
      <c r="G75" s="1649"/>
      <c r="H75" s="1649"/>
      <c r="I75" s="1627"/>
      <c r="J75" s="1627"/>
      <c r="K75" s="1674">
        <f>SUM(C75:J75)</f>
        <v>882</v>
      </c>
      <c r="L75" s="1651">
        <v>1394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10402</v>
      </c>
      <c r="F79" s="1673"/>
      <c r="G79" s="1673"/>
      <c r="H79" s="1573">
        <v>208247</v>
      </c>
      <c r="I79" s="1582"/>
      <c r="J79" s="1582"/>
      <c r="K79" s="1672">
        <f t="shared" si="11"/>
        <v>218649</v>
      </c>
      <c r="L79" s="1573">
        <v>219132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10402</v>
      </c>
      <c r="F84" s="1673"/>
      <c r="G84" s="1673"/>
      <c r="H84" s="1674">
        <f>SUM(H78:H83)</f>
        <v>208247</v>
      </c>
      <c r="I84" s="1582"/>
      <c r="J84" s="1582"/>
      <c r="K84" s="1674">
        <f>SUM(K78:K83)</f>
        <v>218649</v>
      </c>
      <c r="L84" s="1674">
        <f>SUM(L78:L83)</f>
        <v>219132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10402</v>
      </c>
      <c r="F102" s="1673"/>
      <c r="G102" s="1673"/>
      <c r="H102" s="1681">
        <f>SUM(H84,H92,H100,H101)</f>
        <v>208247</v>
      </c>
      <c r="I102" s="1582"/>
      <c r="J102" s="1582"/>
      <c r="K102" s="1681">
        <f>SUM(K84,K92,K100,K101)</f>
        <v>218649</v>
      </c>
      <c r="L102" s="1681">
        <f>SUM(L84,L92,L100,L101)</f>
        <v>219132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1935707</v>
      </c>
      <c r="D114" s="1674">
        <f t="shared" ref="D114:K114" si="13">SUM(D33,D74,D75,D102,D112,D113)</f>
        <v>436615</v>
      </c>
      <c r="E114" s="1674">
        <f t="shared" si="13"/>
        <v>224525</v>
      </c>
      <c r="F114" s="1674">
        <f t="shared" si="13"/>
        <v>190147</v>
      </c>
      <c r="G114" s="1674">
        <f t="shared" si="13"/>
        <v>26001</v>
      </c>
      <c r="H114" s="1674">
        <f>SUM(H33,H74,H75,H102,H112,H113)</f>
        <v>221893</v>
      </c>
      <c r="I114" s="1674">
        <f t="shared" si="13"/>
        <v>0</v>
      </c>
      <c r="J114" s="1674">
        <f t="shared" si="13"/>
        <v>0</v>
      </c>
      <c r="K114" s="1674">
        <f t="shared" si="13"/>
        <v>3034888</v>
      </c>
      <c r="L114" s="1674">
        <f>SUM(L33,L74,L75,L102,L112,L113)</f>
        <v>3157184</v>
      </c>
    </row>
    <row r="115" spans="1:14" ht="13.5" thickTop="1" x14ac:dyDescent="0.2">
      <c r="A115" s="2285" t="s">
        <v>989</v>
      </c>
      <c r="B115" s="2286"/>
      <c r="C115" s="1675"/>
      <c r="D115" s="1675"/>
      <c r="E115" s="1675"/>
      <c r="F115" s="1675"/>
      <c r="G115" s="1675"/>
      <c r="H115" s="1675"/>
      <c r="I115" s="1675"/>
      <c r="J115" s="1675"/>
      <c r="K115" s="1689">
        <f>'Revenues 9-14'!C268-'Expenditures 15-22'!K114</f>
        <v>83609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52262</v>
      </c>
      <c r="D124" s="1573">
        <v>6404</v>
      </c>
      <c r="E124" s="1573">
        <v>69120</v>
      </c>
      <c r="F124" s="1573"/>
      <c r="G124" s="1573"/>
      <c r="H124" s="1573"/>
      <c r="I124" s="1574"/>
      <c r="J124" s="1574"/>
      <c r="K124" s="1674">
        <f>SUM(C124:J124)</f>
        <v>127786</v>
      </c>
      <c r="L124" s="1573">
        <v>132067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52262</v>
      </c>
      <c r="D127" s="1674">
        <f t="shared" ref="D127:L127" si="14">SUM(D122:D126)</f>
        <v>6404</v>
      </c>
      <c r="E127" s="1674">
        <f t="shared" si="14"/>
        <v>69120</v>
      </c>
      <c r="F127" s="1674">
        <f t="shared" si="14"/>
        <v>0</v>
      </c>
      <c r="G127" s="1674">
        <f t="shared" si="14"/>
        <v>0</v>
      </c>
      <c r="H127" s="1674">
        <f t="shared" si="14"/>
        <v>0</v>
      </c>
      <c r="I127" s="1674">
        <f t="shared" si="14"/>
        <v>0</v>
      </c>
      <c r="J127" s="1674">
        <f t="shared" si="14"/>
        <v>0</v>
      </c>
      <c r="K127" s="1674">
        <f t="shared" si="14"/>
        <v>127786</v>
      </c>
      <c r="L127" s="1674">
        <f t="shared" si="14"/>
        <v>132067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52262</v>
      </c>
      <c r="D129" s="1681">
        <f t="shared" ref="D129:L129" si="15">SUM(D120,D127,D128)</f>
        <v>6404</v>
      </c>
      <c r="E129" s="1681">
        <f t="shared" si="15"/>
        <v>69120</v>
      </c>
      <c r="F129" s="1681">
        <f t="shared" si="15"/>
        <v>0</v>
      </c>
      <c r="G129" s="1681">
        <f t="shared" si="15"/>
        <v>0</v>
      </c>
      <c r="H129" s="1681">
        <f t="shared" si="15"/>
        <v>0</v>
      </c>
      <c r="I129" s="1681">
        <f t="shared" si="15"/>
        <v>0</v>
      </c>
      <c r="J129" s="1681">
        <f t="shared" si="15"/>
        <v>0</v>
      </c>
      <c r="K129" s="1681">
        <f t="shared" si="15"/>
        <v>127786</v>
      </c>
      <c r="L129" s="1681">
        <f t="shared" si="15"/>
        <v>132067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5" t="s">
        <v>616</v>
      </c>
      <c r="B151" s="2257"/>
      <c r="C151" s="1674">
        <f>SUM(C129,C130,C139,C149,C150)</f>
        <v>52262</v>
      </c>
      <c r="D151" s="1674">
        <f t="shared" ref="D151:K151" si="16">SUM(D129,D130,D139,D149,D150)</f>
        <v>6404</v>
      </c>
      <c r="E151" s="1674">
        <f t="shared" si="16"/>
        <v>69120</v>
      </c>
      <c r="F151" s="1674">
        <f t="shared" si="16"/>
        <v>0</v>
      </c>
      <c r="G151" s="1674">
        <f t="shared" si="16"/>
        <v>0</v>
      </c>
      <c r="H151" s="1674">
        <f t="shared" si="16"/>
        <v>0</v>
      </c>
      <c r="I151" s="1674">
        <f t="shared" si="16"/>
        <v>0</v>
      </c>
      <c r="J151" s="1674">
        <f t="shared" si="16"/>
        <v>0</v>
      </c>
      <c r="K151" s="1674">
        <f t="shared" si="16"/>
        <v>127786</v>
      </c>
      <c r="L151" s="1674">
        <f>SUM(L129,L130,L139,L149,L150)</f>
        <v>132067</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-750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11462</v>
      </c>
      <c r="I169" s="1673"/>
      <c r="J169" s="1673"/>
      <c r="K169" s="1672">
        <f>SUM(C169:H169)</f>
        <v>11462</v>
      </c>
      <c r="L169" s="1695">
        <v>11462</v>
      </c>
    </row>
    <row r="170" spans="1:14" ht="33.75" customHeight="1" x14ac:dyDescent="0.2">
      <c r="A170" s="543" t="s">
        <v>1651</v>
      </c>
      <c r="B170" s="545" t="s">
        <v>31</v>
      </c>
      <c r="C170" s="1673"/>
      <c r="D170" s="1673"/>
      <c r="E170" s="1673"/>
      <c r="F170" s="1673"/>
      <c r="G170" s="1673"/>
      <c r="H170" s="1646">
        <v>209400</v>
      </c>
      <c r="I170" s="1673"/>
      <c r="J170" s="1673"/>
      <c r="K170" s="1672">
        <f>SUM(C170:J170)</f>
        <v>209400</v>
      </c>
      <c r="L170" s="1646">
        <v>209400</v>
      </c>
    </row>
    <row r="171" spans="1:14" ht="15.75" customHeight="1" x14ac:dyDescent="0.2">
      <c r="A171" s="507" t="s">
        <v>761</v>
      </c>
      <c r="B171" s="546" t="s">
        <v>84</v>
      </c>
      <c r="C171" s="1673"/>
      <c r="D171" s="1673"/>
      <c r="E171" s="1573"/>
      <c r="F171" s="1673"/>
      <c r="G171" s="1673"/>
      <c r="H171" s="1646"/>
      <c r="I171" s="1582"/>
      <c r="J171" s="1673"/>
      <c r="K171" s="1672">
        <f>SUM(C171:J171)</f>
        <v>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220862</v>
      </c>
      <c r="I172" s="1684"/>
      <c r="J172" s="1673"/>
      <c r="K172" s="1681">
        <f>SUM(K168,K169,K170,K171)</f>
        <v>220862</v>
      </c>
      <c r="L172" s="1681">
        <f>SUM(L168,L169,L170,L171)</f>
        <v>221362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220862</v>
      </c>
      <c r="I174" s="1684"/>
      <c r="J174" s="1673"/>
      <c r="K174" s="1681">
        <f>SUM(K160,K172,K173)</f>
        <v>220862</v>
      </c>
      <c r="L174" s="1681">
        <f>SUM(L160,L172,L173)</f>
        <v>221362</v>
      </c>
    </row>
    <row r="175" spans="1:14" ht="13.5" thickTop="1" x14ac:dyDescent="0.2">
      <c r="A175" s="2285" t="s">
        <v>989</v>
      </c>
      <c r="B175" s="2286"/>
      <c r="C175" s="1673"/>
      <c r="D175" s="1673"/>
      <c r="E175" s="1673"/>
      <c r="F175" s="1673"/>
      <c r="G175" s="1673"/>
      <c r="H175" s="1675"/>
      <c r="I175" s="1673"/>
      <c r="J175" s="1673"/>
      <c r="K175" s="1689">
        <f>'Revenues 9-14'!E268-'Expenditures 15-22'!K174</f>
        <v>3106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12596</v>
      </c>
      <c r="D182" s="1573">
        <v>2645</v>
      </c>
      <c r="E182" s="1573">
        <v>236470</v>
      </c>
      <c r="F182" s="1573"/>
      <c r="G182" s="1573"/>
      <c r="H182" s="1573"/>
      <c r="I182" s="1574"/>
      <c r="J182" s="1574"/>
      <c r="K182" s="1672">
        <f>SUM(C182:J182)</f>
        <v>251711</v>
      </c>
      <c r="L182" s="1573">
        <v>247528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12596</v>
      </c>
      <c r="D184" s="1681">
        <f t="shared" ref="D184:J184" si="17">SUM(D180,D182,D183)</f>
        <v>2645</v>
      </c>
      <c r="E184" s="1681">
        <f t="shared" si="17"/>
        <v>236470</v>
      </c>
      <c r="F184" s="1681">
        <f t="shared" si="17"/>
        <v>0</v>
      </c>
      <c r="G184" s="1681">
        <f t="shared" si="17"/>
        <v>0</v>
      </c>
      <c r="H184" s="1681">
        <f t="shared" si="17"/>
        <v>0</v>
      </c>
      <c r="I184" s="1681">
        <f t="shared" si="17"/>
        <v>0</v>
      </c>
      <c r="J184" s="1681">
        <f t="shared" si="17"/>
        <v>0</v>
      </c>
      <c r="K184" s="1681">
        <f>SUM(K180,K182,K183)</f>
        <v>251711</v>
      </c>
      <c r="L184" s="1681">
        <f>SUM(L180, L182:L183)</f>
        <v>247528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39917</v>
      </c>
      <c r="F189" s="1673"/>
      <c r="G189" s="1673"/>
      <c r="H189" s="1573"/>
      <c r="I189" s="1582"/>
      <c r="J189" s="1673"/>
      <c r="K189" s="1672">
        <f t="shared" si="18"/>
        <v>39917</v>
      </c>
      <c r="L189" s="1573">
        <v>46648</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39917</v>
      </c>
      <c r="F194" s="1673"/>
      <c r="G194" s="1673"/>
      <c r="H194" s="1674">
        <f>SUM(H188:H193)</f>
        <v>0</v>
      </c>
      <c r="I194" s="1582"/>
      <c r="J194" s="1673"/>
      <c r="K194" s="1674">
        <f>SUM(K188:K193)</f>
        <v>39917</v>
      </c>
      <c r="L194" s="1674">
        <f>SUM(L188:L193)</f>
        <v>46648</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39917</v>
      </c>
      <c r="F196" s="1673"/>
      <c r="G196" s="1673"/>
      <c r="H196" s="1681">
        <f>SUM(H194,H195)</f>
        <v>0</v>
      </c>
      <c r="I196" s="1582"/>
      <c r="J196" s="1673"/>
      <c r="K196" s="1681">
        <f>SUM(K194,K195)</f>
        <v>39917</v>
      </c>
      <c r="L196" s="1681">
        <f>SUM(L194,L195)</f>
        <v>46648</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12596</v>
      </c>
      <c r="D210" s="1674">
        <f>SUM(D184,D185)</f>
        <v>2645</v>
      </c>
      <c r="E210" s="1674">
        <f>SUM(E184,E185,E196)</f>
        <v>276387</v>
      </c>
      <c r="F210" s="1674">
        <f>SUM(F184,F185)</f>
        <v>0</v>
      </c>
      <c r="G210" s="1674">
        <f>SUM(G184,G185)</f>
        <v>0</v>
      </c>
      <c r="H210" s="1674">
        <f>SUM(H184,H185,H196,H208,H209)</f>
        <v>0</v>
      </c>
      <c r="I210" s="1674">
        <f>SUM(I184,I185)</f>
        <v>0</v>
      </c>
      <c r="J210" s="1674">
        <f>SUM(J184,J185)</f>
        <v>0</v>
      </c>
      <c r="K210" s="1672">
        <f>SUM(K184,K185,K196,K208,K209)</f>
        <v>291628</v>
      </c>
      <c r="L210" s="1674">
        <f>SUM(L184,L185,L196,L208,L209)</f>
        <v>294176</v>
      </c>
    </row>
    <row r="211" spans="1:14" ht="13.5" thickTop="1" x14ac:dyDescent="0.2">
      <c r="A211" s="2285" t="s">
        <v>989</v>
      </c>
      <c r="B211" s="2286"/>
      <c r="C211" s="1675"/>
      <c r="D211" s="1675"/>
      <c r="E211" s="1675"/>
      <c r="F211" s="1675"/>
      <c r="G211" s="1675"/>
      <c r="H211" s="1675"/>
      <c r="I211" s="1673"/>
      <c r="J211" s="1673"/>
      <c r="K211" s="1689">
        <f>'Revenues 9-14'!F268-'Expenditures 15-22'!K210</f>
        <v>375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21541</v>
      </c>
      <c r="E215" s="1673"/>
      <c r="F215" s="1673"/>
      <c r="G215" s="1673"/>
      <c r="H215" s="1673"/>
      <c r="I215" s="1673"/>
      <c r="J215" s="1673"/>
      <c r="K215" s="1672">
        <f>D215</f>
        <v>21541</v>
      </c>
      <c r="L215" s="1573">
        <v>22415</v>
      </c>
    </row>
    <row r="216" spans="1:14" x14ac:dyDescent="0.2">
      <c r="A216" s="1274" t="s">
        <v>162</v>
      </c>
      <c r="B216" s="503" t="s">
        <v>961</v>
      </c>
      <c r="C216" s="1673"/>
      <c r="D216" s="1574">
        <v>1</v>
      </c>
      <c r="E216" s="1673"/>
      <c r="F216" s="1673"/>
      <c r="G216" s="1673"/>
      <c r="H216" s="1673"/>
      <c r="I216" s="1673"/>
      <c r="J216" s="1673"/>
      <c r="K216" s="1672">
        <f t="shared" ref="K216:K228" si="19">D216</f>
        <v>1</v>
      </c>
      <c r="L216" s="1573">
        <v>0</v>
      </c>
    </row>
    <row r="217" spans="1:14" x14ac:dyDescent="0.2">
      <c r="A217" s="1274" t="s">
        <v>163</v>
      </c>
      <c r="B217" s="503">
        <v>1200</v>
      </c>
      <c r="C217" s="1673"/>
      <c r="D217" s="1573">
        <v>1923</v>
      </c>
      <c r="E217" s="1673"/>
      <c r="F217" s="1673"/>
      <c r="G217" s="1673"/>
      <c r="H217" s="1673"/>
      <c r="I217" s="1673"/>
      <c r="J217" s="1673"/>
      <c r="K217" s="1672">
        <f t="shared" si="19"/>
        <v>1923</v>
      </c>
      <c r="L217" s="1573">
        <v>2048</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1736</v>
      </c>
      <c r="E223" s="1673"/>
      <c r="F223" s="1673"/>
      <c r="G223" s="1673"/>
      <c r="H223" s="1673"/>
      <c r="I223" s="1673"/>
      <c r="J223" s="1673"/>
      <c r="K223" s="1672">
        <f t="shared" si="19"/>
        <v>1736</v>
      </c>
      <c r="L223" s="1573">
        <v>1700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25201</v>
      </c>
      <c r="E229" s="1673"/>
      <c r="F229" s="1673"/>
      <c r="G229" s="1673"/>
      <c r="H229" s="1673"/>
      <c r="I229" s="1673"/>
      <c r="J229" s="1673"/>
      <c r="K229" s="1674">
        <f>SUM(K215:K228)</f>
        <v>25201</v>
      </c>
      <c r="L229" s="1674">
        <f>SUM(L215:L228)</f>
        <v>26163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713</v>
      </c>
      <c r="E232" s="1673"/>
      <c r="F232" s="1673"/>
      <c r="G232" s="1673"/>
      <c r="H232" s="1673"/>
      <c r="I232" s="1673"/>
      <c r="J232" s="1673"/>
      <c r="K232" s="1672">
        <f t="shared" ref="K232:K237" si="20">D232</f>
        <v>713</v>
      </c>
      <c r="L232" s="1573">
        <v>604</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474</v>
      </c>
      <c r="E235" s="1673"/>
      <c r="F235" s="1673"/>
      <c r="G235" s="1673"/>
      <c r="H235" s="1673"/>
      <c r="I235" s="1673"/>
      <c r="J235" s="1673"/>
      <c r="K235" s="1672">
        <f t="shared" si="20"/>
        <v>474</v>
      </c>
      <c r="L235" s="1573">
        <v>390</v>
      </c>
    </row>
    <row r="236" spans="1:12" x14ac:dyDescent="0.2">
      <c r="A236" s="1274" t="s">
        <v>198</v>
      </c>
      <c r="B236" s="503">
        <v>2150</v>
      </c>
      <c r="C236" s="1673"/>
      <c r="D236" s="1573">
        <v>990</v>
      </c>
      <c r="E236" s="1673"/>
      <c r="F236" s="1673"/>
      <c r="G236" s="1673"/>
      <c r="H236" s="1673"/>
      <c r="I236" s="1673"/>
      <c r="J236" s="1673"/>
      <c r="K236" s="1672">
        <f t="shared" si="20"/>
        <v>990</v>
      </c>
      <c r="L236" s="1573">
        <v>1011</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2177</v>
      </c>
      <c r="E238" s="1673"/>
      <c r="F238" s="1673"/>
      <c r="G238" s="1673"/>
      <c r="H238" s="1673"/>
      <c r="I238" s="1673"/>
      <c r="J238" s="1673"/>
      <c r="K238" s="1674">
        <f>SUM(K232:K237)</f>
        <v>2177</v>
      </c>
      <c r="L238" s="1674">
        <f>SUM(L232:L237)</f>
        <v>2005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2288</v>
      </c>
      <c r="E241" s="1673"/>
      <c r="F241" s="1673"/>
      <c r="G241" s="1673"/>
      <c r="H241" s="1673"/>
      <c r="I241" s="1673"/>
      <c r="J241" s="1673"/>
      <c r="K241" s="1678">
        <f>D241</f>
        <v>2288</v>
      </c>
      <c r="L241" s="1573">
        <v>2317</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2288</v>
      </c>
      <c r="E243" s="1673"/>
      <c r="F243" s="1673"/>
      <c r="G243" s="1673"/>
      <c r="H243" s="1673"/>
      <c r="I243" s="1673"/>
      <c r="J243" s="1673"/>
      <c r="K243" s="1674">
        <f>SUM(K240:K242)</f>
        <v>2288</v>
      </c>
      <c r="L243" s="1674">
        <f>SUM(L240:L242)</f>
        <v>2317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199</v>
      </c>
      <c r="E245" s="1673"/>
      <c r="F245" s="1673"/>
      <c r="G245" s="1673"/>
      <c r="H245" s="1673"/>
      <c r="I245" s="1673"/>
      <c r="J245" s="1673"/>
      <c r="K245" s="1678">
        <f>D245</f>
        <v>199</v>
      </c>
      <c r="L245" s="1586">
        <v>199</v>
      </c>
    </row>
    <row r="246" spans="1:12" x14ac:dyDescent="0.2">
      <c r="A246" s="1274" t="s">
        <v>813</v>
      </c>
      <c r="B246" s="503">
        <v>2320</v>
      </c>
      <c r="C246" s="1673"/>
      <c r="D246" s="1573">
        <v>858</v>
      </c>
      <c r="E246" s="1673"/>
      <c r="F246" s="1673"/>
      <c r="G246" s="1673"/>
      <c r="H246" s="1673"/>
      <c r="I246" s="1673"/>
      <c r="J246" s="1673"/>
      <c r="K246" s="1678">
        <f t="shared" ref="K246:K256" si="21">D246</f>
        <v>858</v>
      </c>
      <c r="L246" s="1573">
        <v>859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7715</v>
      </c>
      <c r="E252" s="1673"/>
      <c r="F252" s="1673"/>
      <c r="G252" s="1673"/>
      <c r="H252" s="1673"/>
      <c r="I252" s="1673"/>
      <c r="J252" s="1673"/>
      <c r="K252" s="1678">
        <f t="shared" si="21"/>
        <v>7715</v>
      </c>
      <c r="L252" s="1573">
        <v>6866</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8772</v>
      </c>
      <c r="E257" s="1673"/>
      <c r="F257" s="1673"/>
      <c r="G257" s="1673"/>
      <c r="H257" s="1673"/>
      <c r="I257" s="1673"/>
      <c r="J257" s="1673"/>
      <c r="K257" s="1674">
        <f>SUM(K245:K256)</f>
        <v>8772</v>
      </c>
      <c r="L257" s="1674">
        <f>SUM(L245:L256)</f>
        <v>7924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9744</v>
      </c>
      <c r="E259" s="1673"/>
      <c r="F259" s="1673"/>
      <c r="G259" s="1673"/>
      <c r="H259" s="1673"/>
      <c r="I259" s="1673"/>
      <c r="J259" s="1673"/>
      <c r="K259" s="1678">
        <f>D259</f>
        <v>9744</v>
      </c>
      <c r="L259" s="1586">
        <v>9690</v>
      </c>
    </row>
    <row r="260" spans="1:14" s="493" customFormat="1" x14ac:dyDescent="0.2">
      <c r="A260" s="1292" t="s">
        <v>1781</v>
      </c>
      <c r="B260" s="512">
        <v>2490</v>
      </c>
      <c r="C260" s="1673"/>
      <c r="D260" s="1573">
        <v>559</v>
      </c>
      <c r="E260" s="1673"/>
      <c r="F260" s="1673"/>
      <c r="G260" s="1673"/>
      <c r="H260" s="1673"/>
      <c r="I260" s="1673"/>
      <c r="J260" s="1673"/>
      <c r="K260" s="1678">
        <f>D260</f>
        <v>559</v>
      </c>
      <c r="L260" s="1573">
        <v>543</v>
      </c>
      <c r="M260" s="205"/>
      <c r="N260" s="205"/>
    </row>
    <row r="261" spans="1:14" ht="12.75" customHeight="1" thickBot="1" x14ac:dyDescent="0.25">
      <c r="A261" s="1394" t="s">
        <v>261</v>
      </c>
      <c r="B261" s="1399" t="s">
        <v>34</v>
      </c>
      <c r="C261" s="1673"/>
      <c r="D261" s="1674">
        <f>SUM(D259:D260)</f>
        <v>10303</v>
      </c>
      <c r="E261" s="1673"/>
      <c r="F261" s="1673"/>
      <c r="G261" s="1673"/>
      <c r="H261" s="1673"/>
      <c r="I261" s="1673"/>
      <c r="J261" s="1673"/>
      <c r="K261" s="1674">
        <f>SUM(K259:K260)</f>
        <v>10303</v>
      </c>
      <c r="L261" s="1674">
        <f>SUM(L259:L260)</f>
        <v>10233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9010</v>
      </c>
      <c r="E264" s="1673"/>
      <c r="F264" s="1673"/>
      <c r="G264" s="1673"/>
      <c r="H264" s="1673"/>
      <c r="I264" s="1673"/>
      <c r="J264" s="1673"/>
      <c r="K264" s="1678">
        <f t="shared" ref="K264:K269" si="22">D264</f>
        <v>9010</v>
      </c>
      <c r="L264" s="1573">
        <v>9186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9895</v>
      </c>
      <c r="E266" s="1673"/>
      <c r="F266" s="1673"/>
      <c r="G266" s="1673"/>
      <c r="H266" s="1673"/>
      <c r="I266" s="1673"/>
      <c r="J266" s="1673"/>
      <c r="K266" s="1678">
        <f t="shared" si="22"/>
        <v>9895</v>
      </c>
      <c r="L266" s="1573">
        <v>11712</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10234</v>
      </c>
      <c r="E268" s="1673"/>
      <c r="F268" s="1673"/>
      <c r="G268" s="1673"/>
      <c r="H268" s="1673"/>
      <c r="I268" s="1673"/>
      <c r="J268" s="1673"/>
      <c r="K268" s="1678">
        <f t="shared" si="22"/>
        <v>10234</v>
      </c>
      <c r="L268" s="1573">
        <v>10559</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29139</v>
      </c>
      <c r="E270" s="1673"/>
      <c r="F270" s="1673"/>
      <c r="G270" s="1673"/>
      <c r="H270" s="1673"/>
      <c r="I270" s="1673"/>
      <c r="J270" s="1673"/>
      <c r="K270" s="1674">
        <f>SUM(K263:K269)</f>
        <v>29139</v>
      </c>
      <c r="L270" s="1674">
        <f>SUM(L263:L269)</f>
        <v>31457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6787</v>
      </c>
      <c r="E276" s="1673"/>
      <c r="F276" s="1673"/>
      <c r="G276" s="1673"/>
      <c r="H276" s="1673"/>
      <c r="I276" s="1673"/>
      <c r="J276" s="1673"/>
      <c r="K276" s="1678">
        <f>D276</f>
        <v>6787</v>
      </c>
      <c r="L276" s="1573">
        <v>7079</v>
      </c>
    </row>
    <row r="277" spans="1:12" ht="12.75" customHeight="1" thickBot="1" x14ac:dyDescent="0.25">
      <c r="A277" s="1393" t="s">
        <v>37</v>
      </c>
      <c r="B277" s="1381" t="s">
        <v>36</v>
      </c>
      <c r="C277" s="1673"/>
      <c r="D277" s="1674">
        <f>SUM(D272:D276)</f>
        <v>6787</v>
      </c>
      <c r="E277" s="1673"/>
      <c r="F277" s="1673"/>
      <c r="G277" s="1673"/>
      <c r="H277" s="1673"/>
      <c r="I277" s="1673"/>
      <c r="J277" s="1673"/>
      <c r="K277" s="1674">
        <f>SUM(K272:K276)</f>
        <v>6787</v>
      </c>
      <c r="L277" s="1674">
        <f>SUM(L272:L276)</f>
        <v>7079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59466</v>
      </c>
      <c r="E279" s="1673"/>
      <c r="F279" s="1673"/>
      <c r="G279" s="1673"/>
      <c r="H279" s="1673"/>
      <c r="I279" s="1673"/>
      <c r="J279" s="1673"/>
      <c r="K279" s="1681">
        <f>SUM(K238,K243,K257,K261,K270,K277,K278)</f>
        <v>59466</v>
      </c>
      <c r="L279" s="1681">
        <f>SUM(L238,L243,L257,L261,L270,L277,L278)</f>
        <v>61015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6" t="s">
        <v>502</v>
      </c>
      <c r="B295" s="2277"/>
      <c r="C295" s="1673"/>
      <c r="D295" s="1674">
        <f>SUM(D229,D279,D280,D285)</f>
        <v>84667</v>
      </c>
      <c r="E295" s="1673"/>
      <c r="F295" s="1673"/>
      <c r="G295" s="1673"/>
      <c r="H295" s="1674">
        <f>H293</f>
        <v>0</v>
      </c>
      <c r="I295" s="1673"/>
      <c r="J295" s="1673"/>
      <c r="K295" s="1674">
        <f>SUM(K229,K279,K280,K285,K293,K294)</f>
        <v>84667</v>
      </c>
      <c r="L295" s="1674">
        <f>SUM(L229,L279,L280,L285,L293,L294)</f>
        <v>87178</v>
      </c>
    </row>
    <row r="296" spans="1:14" ht="13.5" thickTop="1" x14ac:dyDescent="0.2">
      <c r="A296" s="2285" t="s">
        <v>989</v>
      </c>
      <c r="B296" s="2286"/>
      <c r="C296" s="1673"/>
      <c r="D296" s="1675"/>
      <c r="E296" s="1673"/>
      <c r="F296" s="1673"/>
      <c r="G296" s="1673"/>
      <c r="H296" s="1707"/>
      <c r="I296" s="1673"/>
      <c r="J296" s="1673"/>
      <c r="K296" s="1689">
        <f>'Revenues 9-14'!G268-'Expenditures 15-22'!K295</f>
        <v>4478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3" t="s">
        <v>275</v>
      </c>
      <c r="B312" s="227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8135</v>
      </c>
      <c r="F320" s="1574"/>
      <c r="G320" s="1574"/>
      <c r="H320" s="1574"/>
      <c r="I320" s="1574"/>
      <c r="J320" s="1574"/>
      <c r="K320" s="1672">
        <f t="shared" ref="K320:K327" si="24">SUM(C320:J320)</f>
        <v>8135</v>
      </c>
      <c r="L320" s="1574">
        <v>8910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500</v>
      </c>
      <c r="M321" s="539"/>
      <c r="N321" s="539"/>
    </row>
    <row r="322" spans="1:14" s="548" customFormat="1" x14ac:dyDescent="0.2">
      <c r="A322" s="1289" t="s">
        <v>236</v>
      </c>
      <c r="B322" s="567" t="s">
        <v>282</v>
      </c>
      <c r="C322" s="1574"/>
      <c r="D322" s="1574"/>
      <c r="E322" s="1574">
        <v>31657</v>
      </c>
      <c r="F322" s="1574"/>
      <c r="G322" s="1574"/>
      <c r="H322" s="1574"/>
      <c r="I322" s="1574"/>
      <c r="J322" s="1574"/>
      <c r="K322" s="1672">
        <f t="shared" si="24"/>
        <v>31657</v>
      </c>
      <c r="L322" s="1574">
        <v>34947</v>
      </c>
      <c r="M322" s="539"/>
      <c r="N322" s="539"/>
    </row>
    <row r="323" spans="1:14" s="548" customFormat="1" x14ac:dyDescent="0.2">
      <c r="A323" s="1289" t="s">
        <v>697</v>
      </c>
      <c r="B323" s="567" t="s">
        <v>283</v>
      </c>
      <c r="C323" s="1574">
        <v>83092</v>
      </c>
      <c r="D323" s="1574">
        <v>23791</v>
      </c>
      <c r="E323" s="1574">
        <v>6186</v>
      </c>
      <c r="F323" s="1574">
        <v>368</v>
      </c>
      <c r="G323" s="1574">
        <v>30600</v>
      </c>
      <c r="H323" s="1574"/>
      <c r="I323" s="1574"/>
      <c r="J323" s="1574"/>
      <c r="K323" s="1672">
        <f t="shared" si="24"/>
        <v>144037</v>
      </c>
      <c r="L323" s="1574">
        <v>161749</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6833</v>
      </c>
      <c r="F325" s="1574"/>
      <c r="G325" s="1574"/>
      <c r="H325" s="1574"/>
      <c r="I325" s="1574"/>
      <c r="J325" s="1574"/>
      <c r="K325" s="1672">
        <f t="shared" si="24"/>
        <v>6833</v>
      </c>
      <c r="L325" s="1574">
        <v>6872</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8366</v>
      </c>
      <c r="F327" s="1574"/>
      <c r="G327" s="1574"/>
      <c r="H327" s="1574"/>
      <c r="I327" s="1574"/>
      <c r="J327" s="1574"/>
      <c r="K327" s="1672">
        <f t="shared" si="24"/>
        <v>8366</v>
      </c>
      <c r="L327" s="1574">
        <v>20000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83092</v>
      </c>
      <c r="D330" s="1674">
        <f t="shared" ref="D330:J330" si="25">SUM(D319:D329)</f>
        <v>23791</v>
      </c>
      <c r="E330" s="1674">
        <f t="shared" si="25"/>
        <v>61177</v>
      </c>
      <c r="F330" s="1674">
        <f t="shared" si="25"/>
        <v>368</v>
      </c>
      <c r="G330" s="1674">
        <f t="shared" si="25"/>
        <v>30600</v>
      </c>
      <c r="H330" s="1674">
        <f t="shared" si="25"/>
        <v>0</v>
      </c>
      <c r="I330" s="1674">
        <f t="shared" si="25"/>
        <v>0</v>
      </c>
      <c r="J330" s="1674">
        <f t="shared" si="25"/>
        <v>0</v>
      </c>
      <c r="K330" s="1674">
        <f>SUM(K319:K329)</f>
        <v>199028</v>
      </c>
      <c r="L330" s="1674">
        <f>SUM(L319:L329)</f>
        <v>232978</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83092</v>
      </c>
      <c r="D342" s="1674">
        <f>SUM(D330)</f>
        <v>23791</v>
      </c>
      <c r="E342" s="1674">
        <f>SUM(E330)</f>
        <v>61177</v>
      </c>
      <c r="F342" s="1674">
        <f>SUM(F330)</f>
        <v>368</v>
      </c>
      <c r="G342" s="1674">
        <f>SUM(G330)</f>
        <v>30600</v>
      </c>
      <c r="H342" s="1674">
        <f>SUM(H330,H334,H340)</f>
        <v>0</v>
      </c>
      <c r="I342" s="1674">
        <f>SUM(I330)</f>
        <v>0</v>
      </c>
      <c r="J342" s="1674">
        <f>SUM(J330)</f>
        <v>0</v>
      </c>
      <c r="K342" s="1674">
        <f>SUM(K330,K334,K340)</f>
        <v>199028</v>
      </c>
      <c r="L342" s="1681">
        <f>SUM(L330,L334,L340,L341)</f>
        <v>232978</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-31824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5000</v>
      </c>
    </row>
    <row r="368" spans="1:14" ht="13.5" thickTop="1" x14ac:dyDescent="0.2">
      <c r="A368" s="2285" t="s">
        <v>989</v>
      </c>
      <c r="B368" s="2286"/>
      <c r="C368" s="1694"/>
      <c r="D368" s="1694"/>
      <c r="E368" s="1677"/>
      <c r="F368" s="1677"/>
      <c r="G368" s="1677"/>
      <c r="H368" s="1677"/>
      <c r="I368" s="1677"/>
      <c r="J368" s="1676"/>
      <c r="K368" s="1672">
        <f>'Revenues 9-14'!K268-'Expenditures 15-22'!K367</f>
        <v>76213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openxmlformats.org/package/2006/metadata/core-properties"/>
    <ds:schemaRef ds:uri="http://schemas.microsoft.com/sharepoint/v3"/>
    <ds:schemaRef ds:uri="http://schemas.microsoft.com/office/2006/documentManagement/types"/>
    <ds:schemaRef ds:uri="d21dc803-237d-4c68-8692-8d731fd29118"/>
    <ds:schemaRef ds:uri="http://purl.org/dc/dcmitype/"/>
    <ds:schemaRef ds:uri="http://purl.org/dc/terms/"/>
    <ds:schemaRef ds:uri="http://schemas.microsoft.com/office/infopath/2007/PartnerControl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2020-10-05T20:11:51Z</cp:lastPrinted>
  <dcterms:created xsi:type="dcterms:W3CDTF">2003-10-29T19:06:34Z</dcterms:created>
  <dcterms:modified xsi:type="dcterms:W3CDTF">2020-11-23T19:55:59Z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